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3FD6131-5085-458C-847B-99DC851C76DF}" xr6:coauthVersionLast="43" xr6:coauthVersionMax="43" xr10:uidLastSave="{00000000-0000-0000-0000-000000000000}"/>
  <bookViews>
    <workbookView xWindow="-120" yWindow="-120" windowWidth="24240" windowHeight="13140" tabRatio="707" firstSheet="1" activeTab="3" xr2:uid="{00000000-000D-0000-FFFF-FFFF00000000}"/>
  </bookViews>
  <sheets>
    <sheet name="Apr18 to Mar'19 Summry" sheetId="20" r:id="rId1"/>
    <sheet name="Apr19 to Mar'20 Summry , MPA" sheetId="39" r:id="rId2"/>
    <sheet name="Summary " sheetId="40" r:id="rId3"/>
    <sheet name="1.1" sheetId="7" r:id="rId4"/>
    <sheet name="1.2 " sheetId="28" r:id="rId5"/>
    <sheet name="2.1" sheetId="32" r:id="rId6"/>
    <sheet name="2.2" sheetId="33" r:id="rId7"/>
    <sheet name="2.3" sheetId="34" r:id="rId8"/>
    <sheet name="3.1 " sheetId="38" r:id="rId9"/>
    <sheet name="3.2 " sheetId="37" r:id="rId10"/>
    <sheet name="4.1 " sheetId="24" r:id="rId11"/>
    <sheet name="4.2" sheetId="25" r:id="rId12"/>
    <sheet name="4.3 " sheetId="26" r:id="rId13"/>
    <sheet name="Sheet1" sheetId="41" r:id="rId14"/>
  </sheets>
  <definedNames>
    <definedName name="_xlnm._FilterDatabase" localSheetId="9" hidden="1">'3.2 '!$A$10:$BE$10</definedName>
    <definedName name="_xlnm.Print_Titles" localSheetId="1">'Apr19 to Mar''20 Summry , MPA'!$A:$C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69" i="28" l="1"/>
  <c r="AD69" i="28"/>
  <c r="AF69" i="28"/>
  <c r="AH69" i="28"/>
  <c r="AJ69" i="28"/>
  <c r="AL69" i="28"/>
  <c r="AN69" i="28"/>
  <c r="AP69" i="28"/>
  <c r="AR69" i="28"/>
  <c r="AT69" i="28"/>
  <c r="AV69" i="28"/>
  <c r="AX69" i="28"/>
  <c r="AZ69" i="28"/>
  <c r="BB69" i="28"/>
  <c r="BD69" i="28"/>
  <c r="BF69" i="28"/>
  <c r="BH69" i="28"/>
  <c r="Z69" i="28"/>
  <c r="AW68" i="28"/>
  <c r="AB38" i="37" l="1"/>
  <c r="AD38" i="37"/>
  <c r="AF38" i="37"/>
  <c r="AH38" i="37"/>
  <c r="AJ38" i="37"/>
  <c r="AL38" i="37"/>
  <c r="AN38" i="37"/>
  <c r="AP38" i="37"/>
  <c r="AR38" i="37"/>
  <c r="AT38" i="37"/>
  <c r="AV38" i="37"/>
  <c r="AX38" i="37"/>
  <c r="AZ38" i="37"/>
  <c r="BB38" i="37"/>
  <c r="BD38" i="37"/>
  <c r="BF38" i="37"/>
  <c r="BH38" i="37"/>
  <c r="Z38" i="37"/>
  <c r="AQ27" i="25"/>
  <c r="AQ30" i="25"/>
  <c r="AQ28" i="25"/>
  <c r="BJ37" i="37"/>
  <c r="F37" i="37" s="1"/>
  <c r="G37" i="37" s="1"/>
  <c r="BI29" i="24"/>
  <c r="E29" i="24"/>
  <c r="BO55" i="34"/>
  <c r="BP55" i="34"/>
  <c r="BQ55" i="34"/>
  <c r="BS55" i="34"/>
  <c r="BT55" i="34"/>
  <c r="BU55" i="34"/>
  <c r="J55" i="34"/>
  <c r="K55" i="34"/>
  <c r="L55" i="34"/>
  <c r="M55" i="34"/>
  <c r="N55" i="34"/>
  <c r="O55" i="34"/>
  <c r="Q55" i="34"/>
  <c r="R55" i="34"/>
  <c r="S55" i="34"/>
  <c r="Z55" i="34"/>
  <c r="AB55" i="34"/>
  <c r="AD55" i="34"/>
  <c r="AF55" i="34"/>
  <c r="AH55" i="34"/>
  <c r="AJ55" i="34"/>
  <c r="AL55" i="34"/>
  <c r="AN55" i="34"/>
  <c r="AP55" i="34"/>
  <c r="AR55" i="34"/>
  <c r="AT55" i="34"/>
  <c r="AV55" i="34"/>
  <c r="AX55" i="34"/>
  <c r="AZ55" i="34"/>
  <c r="BB55" i="34"/>
  <c r="BD55" i="34"/>
  <c r="BF55" i="34"/>
  <c r="BH55" i="34"/>
  <c r="BL55" i="34"/>
  <c r="BL56" i="34" s="1"/>
  <c r="BI59" i="7"/>
  <c r="BI58" i="7"/>
  <c r="Y57" i="24"/>
  <c r="H57" i="24"/>
  <c r="BJ57" i="24"/>
  <c r="G57" i="24"/>
  <c r="I57" i="24" s="1"/>
  <c r="V56" i="24"/>
  <c r="X56" i="24"/>
  <c r="Y56" i="24"/>
  <c r="AA56" i="24"/>
  <c r="AC56" i="24"/>
  <c r="AE56" i="24"/>
  <c r="AG56" i="24"/>
  <c r="AI56" i="24"/>
  <c r="AK56" i="24"/>
  <c r="AM56" i="24"/>
  <c r="AO56" i="24"/>
  <c r="AQ56" i="24"/>
  <c r="AS56" i="24"/>
  <c r="AU56" i="24"/>
  <c r="AW56" i="24"/>
  <c r="AY56" i="24"/>
  <c r="BA56" i="24"/>
  <c r="BC56" i="24"/>
  <c r="BE56" i="24"/>
  <c r="BG56" i="24"/>
  <c r="BI57" i="24"/>
  <c r="BK57" i="24" s="1"/>
  <c r="O14" i="41"/>
  <c r="N17" i="41"/>
  <c r="N14" i="41"/>
  <c r="F69" i="24"/>
  <c r="U15" i="34"/>
  <c r="AB15" i="34"/>
  <c r="AD15" i="34"/>
  <c r="AF15" i="34"/>
  <c r="AH15" i="34"/>
  <c r="AJ15" i="34"/>
  <c r="AL15" i="34"/>
  <c r="AN15" i="34"/>
  <c r="AP15" i="34"/>
  <c r="AR15" i="34"/>
  <c r="AT15" i="34"/>
  <c r="AV15" i="34"/>
  <c r="AX15" i="34"/>
  <c r="AZ15" i="34"/>
  <c r="BB15" i="34"/>
  <c r="BD15" i="34"/>
  <c r="BF15" i="34"/>
  <c r="Z15" i="34"/>
  <c r="BJ14" i="34"/>
  <c r="F14" i="34" s="1"/>
  <c r="AA14" i="34"/>
  <c r="AC14" i="34"/>
  <c r="AE14" i="34"/>
  <c r="AG14" i="34"/>
  <c r="AI14" i="34"/>
  <c r="AK14" i="34"/>
  <c r="AM14" i="34"/>
  <c r="AO14" i="34"/>
  <c r="AQ14" i="34"/>
  <c r="AS14" i="34"/>
  <c r="AU14" i="34"/>
  <c r="AW14" i="34"/>
  <c r="AY14" i="34"/>
  <c r="BA14" i="34"/>
  <c r="BC14" i="34"/>
  <c r="BE14" i="34"/>
  <c r="BG14" i="34"/>
  <c r="P37" i="37" l="1"/>
  <c r="I37" i="37"/>
  <c r="H37" i="37"/>
  <c r="BK14" i="34"/>
  <c r="BN37" i="37"/>
  <c r="G14" i="34"/>
  <c r="T14" i="34"/>
  <c r="T15" i="34" s="1"/>
  <c r="BW105" i="32"/>
  <c r="BW106" i="32"/>
  <c r="BW107" i="32"/>
  <c r="BW108" i="32"/>
  <c r="BR37" i="37" l="1"/>
  <c r="BV37" i="37" s="1"/>
  <c r="X14" i="34"/>
  <c r="H14" i="34"/>
  <c r="I14" i="34"/>
  <c r="C17" i="20"/>
  <c r="C17" i="39"/>
  <c r="E30" i="33"/>
  <c r="BB126" i="32"/>
  <c r="BG125" i="32"/>
  <c r="BJ54" i="34" l="1"/>
  <c r="BC54" i="34"/>
  <c r="AY54" i="34"/>
  <c r="AS54" i="34"/>
  <c r="AO54" i="34"/>
  <c r="AK54" i="34"/>
  <c r="AI54" i="34"/>
  <c r="AE54" i="34"/>
  <c r="AC54" i="34"/>
  <c r="W54" i="34"/>
  <c r="P54" i="34"/>
  <c r="G54" i="34"/>
  <c r="H54" i="34" s="1"/>
  <c r="V54" i="34"/>
  <c r="AA54" i="34"/>
  <c r="AG54" i="34"/>
  <c r="AM54" i="34"/>
  <c r="AQ54" i="34"/>
  <c r="AU54" i="34"/>
  <c r="AW54" i="34"/>
  <c r="BA54" i="34"/>
  <c r="BE54" i="34"/>
  <c r="BG54" i="34"/>
  <c r="BI54" i="34"/>
  <c r="BK54" i="34" l="1"/>
  <c r="BN54" i="34"/>
  <c r="BR54" i="34" s="1"/>
  <c r="BV54" i="34" s="1"/>
  <c r="I54" i="34"/>
  <c r="BJ53" i="34"/>
  <c r="F53" i="34" s="1"/>
  <c r="U53" i="34" s="1"/>
  <c r="Y53" i="34" s="1"/>
  <c r="BI53" i="34"/>
  <c r="BG53" i="34"/>
  <c r="BE53" i="34"/>
  <c r="BC53" i="34"/>
  <c r="BA53" i="34"/>
  <c r="AY53" i="34"/>
  <c r="AW53" i="34"/>
  <c r="AU53" i="34"/>
  <c r="AS53" i="34"/>
  <c r="AQ53" i="34"/>
  <c r="AO53" i="34"/>
  <c r="AM53" i="34"/>
  <c r="AK53" i="34"/>
  <c r="AI53" i="34"/>
  <c r="AG53" i="34"/>
  <c r="AE53" i="34"/>
  <c r="AC53" i="34"/>
  <c r="AA53" i="34"/>
  <c r="W53" i="34"/>
  <c r="V53" i="34"/>
  <c r="BJ52" i="34"/>
  <c r="F52" i="34" s="1"/>
  <c r="G52" i="34" s="1"/>
  <c r="BI52" i="34"/>
  <c r="BG52" i="34"/>
  <c r="BE52" i="34"/>
  <c r="BC52" i="34"/>
  <c r="BA52" i="34"/>
  <c r="AY52" i="34"/>
  <c r="AW52" i="34"/>
  <c r="AU52" i="34"/>
  <c r="AS52" i="34"/>
  <c r="AQ52" i="34"/>
  <c r="AO52" i="34"/>
  <c r="AM52" i="34"/>
  <c r="AK52" i="34"/>
  <c r="AI52" i="34"/>
  <c r="AG52" i="34"/>
  <c r="AE52" i="34"/>
  <c r="AC52" i="34"/>
  <c r="AA52" i="34"/>
  <c r="Y52" i="34"/>
  <c r="X52" i="34"/>
  <c r="W52" i="34"/>
  <c r="V52" i="34"/>
  <c r="BJ51" i="34"/>
  <c r="F51" i="34" s="1"/>
  <c r="G51" i="34" s="1"/>
  <c r="BI51" i="34"/>
  <c r="BG51" i="34"/>
  <c r="BE51" i="34"/>
  <c r="BC51" i="34"/>
  <c r="BA51" i="34"/>
  <c r="AY51" i="34"/>
  <c r="AW51" i="34"/>
  <c r="AU51" i="34"/>
  <c r="AS51" i="34"/>
  <c r="AQ51" i="34"/>
  <c r="AO51" i="34"/>
  <c r="AM51" i="34"/>
  <c r="AK51" i="34"/>
  <c r="AI51" i="34"/>
  <c r="AG51" i="34"/>
  <c r="AE51" i="34"/>
  <c r="AC51" i="34"/>
  <c r="AA51" i="34"/>
  <c r="Y51" i="34"/>
  <c r="X51" i="34"/>
  <c r="W51" i="34"/>
  <c r="V51" i="34"/>
  <c r="BJ50" i="34"/>
  <c r="F50" i="34" s="1"/>
  <c r="T50" i="34" s="1"/>
  <c r="X50" i="34" s="1"/>
  <c r="BI50" i="34"/>
  <c r="BG50" i="34"/>
  <c r="BE50" i="34"/>
  <c r="BC50" i="34"/>
  <c r="BA50" i="34"/>
  <c r="AY50" i="34"/>
  <c r="AW50" i="34"/>
  <c r="AU50" i="34"/>
  <c r="AS50" i="34"/>
  <c r="AQ50" i="34"/>
  <c r="AO50" i="34"/>
  <c r="AM50" i="34"/>
  <c r="AK50" i="34"/>
  <c r="AI50" i="34"/>
  <c r="AG50" i="34"/>
  <c r="AE50" i="34"/>
  <c r="AC50" i="34"/>
  <c r="AA50" i="34"/>
  <c r="V50" i="34"/>
  <c r="BJ49" i="34"/>
  <c r="BI49" i="34"/>
  <c r="BG49" i="34"/>
  <c r="BE49" i="34"/>
  <c r="BC49" i="34"/>
  <c r="BA49" i="34"/>
  <c r="AY49" i="34"/>
  <c r="AW49" i="34"/>
  <c r="AU49" i="34"/>
  <c r="AS49" i="34"/>
  <c r="AQ49" i="34"/>
  <c r="AO49" i="34"/>
  <c r="AM49" i="34"/>
  <c r="AK49" i="34"/>
  <c r="AI49" i="34"/>
  <c r="AG49" i="34"/>
  <c r="AE49" i="34"/>
  <c r="AC49" i="34"/>
  <c r="AA49" i="34"/>
  <c r="V49" i="34"/>
  <c r="W49" i="34"/>
  <c r="F49" i="34"/>
  <c r="T49" i="34" s="1"/>
  <c r="BJ48" i="34"/>
  <c r="F48" i="34" s="1"/>
  <c r="G48" i="34" s="1"/>
  <c r="BI48" i="34"/>
  <c r="BG48" i="34"/>
  <c r="BE48" i="34"/>
  <c r="BC48" i="34"/>
  <c r="BA48" i="34"/>
  <c r="AY48" i="34"/>
  <c r="AW48" i="34"/>
  <c r="AU48" i="34"/>
  <c r="AS48" i="34"/>
  <c r="AQ48" i="34"/>
  <c r="AO48" i="34"/>
  <c r="AM48" i="34"/>
  <c r="AK48" i="34"/>
  <c r="AI48" i="34"/>
  <c r="AG48" i="34"/>
  <c r="AE48" i="34"/>
  <c r="AC48" i="34"/>
  <c r="AA48" i="34"/>
  <c r="Y48" i="34"/>
  <c r="X48" i="34"/>
  <c r="W48" i="34"/>
  <c r="V48" i="34"/>
  <c r="BJ47" i="34"/>
  <c r="F47" i="34" s="1"/>
  <c r="BI47" i="34"/>
  <c r="BI55" i="34" s="1"/>
  <c r="BG47" i="34"/>
  <c r="BE47" i="34"/>
  <c r="BC47" i="34"/>
  <c r="BC55" i="34" s="1"/>
  <c r="BA47" i="34"/>
  <c r="AY47" i="34"/>
  <c r="AW47" i="34"/>
  <c r="AW55" i="34" s="1"/>
  <c r="AU47" i="34"/>
  <c r="AS47" i="34"/>
  <c r="AQ47" i="34"/>
  <c r="AQ55" i="34" s="1"/>
  <c r="AO47" i="34"/>
  <c r="AM47" i="34"/>
  <c r="AK47" i="34"/>
  <c r="AK55" i="34" s="1"/>
  <c r="AI47" i="34"/>
  <c r="AG47" i="34"/>
  <c r="AE47" i="34"/>
  <c r="AE55" i="34" s="1"/>
  <c r="AC47" i="34"/>
  <c r="AA47" i="34"/>
  <c r="Y47" i="34"/>
  <c r="X47" i="34"/>
  <c r="W47" i="34"/>
  <c r="V47" i="34"/>
  <c r="V55" i="34" s="1"/>
  <c r="G47" i="34" l="1"/>
  <c r="F55" i="34"/>
  <c r="AA55" i="34"/>
  <c r="AM55" i="34"/>
  <c r="AY55" i="34"/>
  <c r="AC55" i="34"/>
  <c r="AO55" i="34"/>
  <c r="BA55" i="34"/>
  <c r="X49" i="34"/>
  <c r="W55" i="34"/>
  <c r="AG55" i="34"/>
  <c r="AS55" i="34"/>
  <c r="BE55" i="34"/>
  <c r="AI55" i="34"/>
  <c r="AU55" i="34"/>
  <c r="BG55" i="34"/>
  <c r="BJ55" i="34"/>
  <c r="BK50" i="34"/>
  <c r="BK49" i="34"/>
  <c r="BK53" i="34"/>
  <c r="BK47" i="34"/>
  <c r="BK48" i="34"/>
  <c r="BK51" i="34"/>
  <c r="BK52" i="34"/>
  <c r="T53" i="34"/>
  <c r="X53" i="34" s="1"/>
  <c r="X55" i="34" s="1"/>
  <c r="G53" i="34"/>
  <c r="H51" i="34"/>
  <c r="BN51" i="34"/>
  <c r="BR51" i="34" s="1"/>
  <c r="BV51" i="34" s="1"/>
  <c r="P51" i="34"/>
  <c r="I51" i="34"/>
  <c r="P52" i="34"/>
  <c r="I52" i="34"/>
  <c r="H52" i="34"/>
  <c r="BN52" i="34"/>
  <c r="BR52" i="34" s="1"/>
  <c r="BV52" i="34" s="1"/>
  <c r="G50" i="34"/>
  <c r="U50" i="34"/>
  <c r="Y50" i="34" s="1"/>
  <c r="G49" i="34"/>
  <c r="U49" i="34"/>
  <c r="W50" i="34"/>
  <c r="BN48" i="34"/>
  <c r="BR48" i="34" s="1"/>
  <c r="BV48" i="34" s="1"/>
  <c r="I48" i="34"/>
  <c r="P48" i="34"/>
  <c r="H48" i="34"/>
  <c r="BN47" i="34"/>
  <c r="P47" i="34"/>
  <c r="H47" i="34"/>
  <c r="G55" i="34" l="1"/>
  <c r="I47" i="34"/>
  <c r="BK55" i="34"/>
  <c r="Y49" i="34"/>
  <c r="Y55" i="34" s="1"/>
  <c r="U55" i="34"/>
  <c r="T55" i="34"/>
  <c r="BR47" i="34"/>
  <c r="P53" i="34"/>
  <c r="I53" i="34"/>
  <c r="BN53" i="34"/>
  <c r="BR53" i="34" s="1"/>
  <c r="BV53" i="34" s="1"/>
  <c r="H53" i="34"/>
  <c r="P49" i="34"/>
  <c r="I49" i="34"/>
  <c r="BN49" i="34"/>
  <c r="BR49" i="34" s="1"/>
  <c r="BV49" i="34" s="1"/>
  <c r="H49" i="34"/>
  <c r="P50" i="34"/>
  <c r="P55" i="34" s="1"/>
  <c r="I50" i="34"/>
  <c r="BN50" i="34"/>
  <c r="BR50" i="34" s="1"/>
  <c r="BV50" i="34" s="1"/>
  <c r="H50" i="34"/>
  <c r="H55" i="34" s="1"/>
  <c r="K33" i="32"/>
  <c r="L33" i="32"/>
  <c r="M33" i="32"/>
  <c r="O33" i="32"/>
  <c r="P33" i="32"/>
  <c r="R33" i="32"/>
  <c r="AA33" i="32"/>
  <c r="AC33" i="32"/>
  <c r="AG33" i="32"/>
  <c r="AI33" i="32"/>
  <c r="AK33" i="32"/>
  <c r="AM33" i="32"/>
  <c r="AO33" i="32"/>
  <c r="AQ33" i="32"/>
  <c r="AS33" i="32"/>
  <c r="AU33" i="32"/>
  <c r="AW33" i="32"/>
  <c r="AY33" i="32"/>
  <c r="BA33" i="32"/>
  <c r="BC33" i="32"/>
  <c r="BE33" i="32"/>
  <c r="BG33" i="32"/>
  <c r="BI33" i="32"/>
  <c r="BM33" i="32"/>
  <c r="BP33" i="32"/>
  <c r="BR33" i="32"/>
  <c r="BT33" i="32"/>
  <c r="BU33" i="32"/>
  <c r="BV33" i="32"/>
  <c r="BK32" i="32"/>
  <c r="G32" i="32" s="1"/>
  <c r="BJ32" i="32"/>
  <c r="BH32" i="32"/>
  <c r="BF32" i="32"/>
  <c r="BD32" i="32"/>
  <c r="BB32" i="32"/>
  <c r="AZ32" i="32"/>
  <c r="AX32" i="32"/>
  <c r="AV32" i="32"/>
  <c r="AT32" i="32"/>
  <c r="AR32" i="32"/>
  <c r="AP32" i="32"/>
  <c r="AN32" i="32"/>
  <c r="AL32" i="32"/>
  <c r="AJ32" i="32"/>
  <c r="AH32" i="32"/>
  <c r="AF32" i="32"/>
  <c r="AD32" i="32"/>
  <c r="AB32" i="32"/>
  <c r="Z32" i="32"/>
  <c r="Y32" i="32"/>
  <c r="K109" i="32"/>
  <c r="L109" i="32"/>
  <c r="M109" i="32"/>
  <c r="N109" i="32"/>
  <c r="O109" i="32"/>
  <c r="P109" i="32"/>
  <c r="V109" i="32"/>
  <c r="AA109" i="32"/>
  <c r="AC109" i="32"/>
  <c r="AE109" i="32"/>
  <c r="AG109" i="32"/>
  <c r="AI109" i="32"/>
  <c r="AK109" i="32"/>
  <c r="AM109" i="32"/>
  <c r="AO109" i="32"/>
  <c r="AQ109" i="32"/>
  <c r="AS109" i="32"/>
  <c r="AU109" i="32"/>
  <c r="AW109" i="32"/>
  <c r="AY109" i="32"/>
  <c r="BA109" i="32"/>
  <c r="BC109" i="32"/>
  <c r="BE109" i="32"/>
  <c r="BG109" i="32"/>
  <c r="BI109" i="32"/>
  <c r="AA131" i="32"/>
  <c r="AC131" i="32"/>
  <c r="AE131" i="32"/>
  <c r="AG131" i="32"/>
  <c r="AI131" i="32"/>
  <c r="AK131" i="32"/>
  <c r="AM131" i="32"/>
  <c r="AO131" i="32"/>
  <c r="AQ131" i="32"/>
  <c r="AS131" i="32"/>
  <c r="AU131" i="32"/>
  <c r="AW131" i="32"/>
  <c r="AY131" i="32"/>
  <c r="BA131" i="32"/>
  <c r="BC131" i="32"/>
  <c r="BE131" i="32"/>
  <c r="BG131" i="32"/>
  <c r="BI131" i="32"/>
  <c r="K131" i="32"/>
  <c r="L131" i="32"/>
  <c r="M131" i="32"/>
  <c r="N131" i="32"/>
  <c r="O131" i="32"/>
  <c r="P131" i="32"/>
  <c r="R131" i="32"/>
  <c r="S131" i="32"/>
  <c r="AL39" i="38"/>
  <c r="BN55" i="34" l="1"/>
  <c r="BV47" i="34"/>
  <c r="BV55" i="34" s="1"/>
  <c r="BR55" i="34"/>
  <c r="I55" i="34"/>
  <c r="BN32" i="32"/>
  <c r="BL32" i="32"/>
  <c r="T32" i="32"/>
  <c r="X32" i="32" s="1"/>
  <c r="S32" i="32"/>
  <c r="W32" i="32" s="1"/>
  <c r="H32" i="32"/>
  <c r="N32" i="32" s="1"/>
  <c r="D29" i="40"/>
  <c r="F29" i="40"/>
  <c r="H29" i="40"/>
  <c r="J29" i="40"/>
  <c r="L29" i="40"/>
  <c r="N29" i="40"/>
  <c r="P29" i="40"/>
  <c r="R29" i="40"/>
  <c r="T29" i="40"/>
  <c r="V29" i="40"/>
  <c r="X29" i="40"/>
  <c r="Z29" i="40"/>
  <c r="AB29" i="40"/>
  <c r="AD29" i="40"/>
  <c r="AF29" i="40"/>
  <c r="AH29" i="40"/>
  <c r="G20" i="40"/>
  <c r="D21" i="40"/>
  <c r="E19" i="40"/>
  <c r="G19" i="40" s="1"/>
  <c r="E18" i="40"/>
  <c r="G18" i="40" s="1"/>
  <c r="E17" i="40"/>
  <c r="G17" i="40" s="1"/>
  <c r="E16" i="40"/>
  <c r="G16" i="40" s="1"/>
  <c r="E15" i="40"/>
  <c r="G15" i="40" s="1"/>
  <c r="E14" i="40"/>
  <c r="G14" i="40" s="1"/>
  <c r="E13" i="40"/>
  <c r="G13" i="40" s="1"/>
  <c r="E12" i="40"/>
  <c r="G12" i="40" s="1"/>
  <c r="E11" i="40"/>
  <c r="G11" i="40" s="1"/>
  <c r="E10" i="40"/>
  <c r="G10" i="40" s="1"/>
  <c r="E9" i="40"/>
  <c r="G9" i="40" s="1"/>
  <c r="E8" i="40"/>
  <c r="G8" i="40" s="1"/>
  <c r="E7" i="40"/>
  <c r="G7" i="40" s="1"/>
  <c r="E6" i="40"/>
  <c r="G6" i="40" s="1"/>
  <c r="E5" i="40"/>
  <c r="G5" i="40" s="1"/>
  <c r="E4" i="40"/>
  <c r="G4" i="40" s="1"/>
  <c r="E3" i="40"/>
  <c r="G3" i="40" s="1"/>
  <c r="C28" i="39"/>
  <c r="B28" i="39"/>
  <c r="C27" i="39"/>
  <c r="B27" i="39"/>
  <c r="C26" i="39"/>
  <c r="C25" i="39"/>
  <c r="C22" i="39"/>
  <c r="B22" i="39"/>
  <c r="C21" i="39"/>
  <c r="B21" i="39"/>
  <c r="B17" i="39"/>
  <c r="C16" i="39"/>
  <c r="B16" i="39"/>
  <c r="C15" i="39"/>
  <c r="B15" i="39"/>
  <c r="C11" i="39"/>
  <c r="C10" i="39"/>
  <c r="J32" i="32" l="1"/>
  <c r="BQ32" i="32"/>
  <c r="I32" i="32"/>
  <c r="Q32" i="32"/>
  <c r="E21" i="40"/>
  <c r="G21" i="40" s="1"/>
  <c r="BT69" i="7"/>
  <c r="BU69" i="7"/>
  <c r="BO47" i="37"/>
  <c r="BQ47" i="37"/>
  <c r="BS47" i="37"/>
  <c r="BT47" i="37"/>
  <c r="R38" i="37"/>
  <c r="R47" i="37"/>
  <c r="Z47" i="37"/>
  <c r="AB47" i="37"/>
  <c r="AD47" i="37"/>
  <c r="AF47" i="37"/>
  <c r="AH47" i="37"/>
  <c r="AJ47" i="37"/>
  <c r="AL47" i="37"/>
  <c r="AN47" i="37"/>
  <c r="AP47" i="37"/>
  <c r="AR47" i="37"/>
  <c r="AT47" i="37"/>
  <c r="AV47" i="37"/>
  <c r="AX47" i="37"/>
  <c r="AZ47" i="37"/>
  <c r="BB47" i="37"/>
  <c r="BD47" i="37"/>
  <c r="BF47" i="37"/>
  <c r="BH47" i="37"/>
  <c r="BJ46" i="37"/>
  <c r="F46" i="37" s="1"/>
  <c r="G46" i="37" s="1"/>
  <c r="BC45" i="37"/>
  <c r="BC46" i="37"/>
  <c r="BA46" i="37"/>
  <c r="AQ45" i="37"/>
  <c r="AQ46" i="37"/>
  <c r="AK46" i="37"/>
  <c r="AI45" i="37"/>
  <c r="AI46" i="37"/>
  <c r="AG46" i="37"/>
  <c r="AA46" i="37"/>
  <c r="AA45" i="37"/>
  <c r="AG45" i="37"/>
  <c r="AK45" i="37"/>
  <c r="BA45" i="37"/>
  <c r="BE45" i="37"/>
  <c r="V45" i="37"/>
  <c r="W45" i="37"/>
  <c r="X45" i="37"/>
  <c r="Y45" i="37"/>
  <c r="BJ45" i="37"/>
  <c r="F45" i="37" s="1"/>
  <c r="G45" i="37" s="1"/>
  <c r="L45" i="37" s="1"/>
  <c r="J17" i="33"/>
  <c r="K17" i="33"/>
  <c r="M17" i="33"/>
  <c r="N17" i="33"/>
  <c r="O17" i="33"/>
  <c r="P17" i="33"/>
  <c r="Q17" i="33"/>
  <c r="R17" i="33"/>
  <c r="T17" i="33"/>
  <c r="U17" i="33"/>
  <c r="Z17" i="33"/>
  <c r="AB17" i="33"/>
  <c r="AD17" i="33"/>
  <c r="AF17" i="33"/>
  <c r="AH17" i="33"/>
  <c r="AJ17" i="33"/>
  <c r="AL17" i="33"/>
  <c r="AN17" i="33"/>
  <c r="AP17" i="33"/>
  <c r="AR17" i="33"/>
  <c r="AT17" i="33"/>
  <c r="AV17" i="33"/>
  <c r="AX17" i="33"/>
  <c r="AZ17" i="33"/>
  <c r="BB17" i="33"/>
  <c r="BD17" i="33"/>
  <c r="BF17" i="33"/>
  <c r="BH17" i="33"/>
  <c r="BI16" i="33"/>
  <c r="BJ16" i="33"/>
  <c r="F16" i="33" s="1"/>
  <c r="G16" i="33" s="1"/>
  <c r="BN16" i="33" s="1"/>
  <c r="BN17" i="33" s="1"/>
  <c r="BG16" i="33"/>
  <c r="BE16" i="33"/>
  <c r="BC16" i="33"/>
  <c r="BA16" i="33"/>
  <c r="AY16" i="33"/>
  <c r="AW16" i="33"/>
  <c r="AU16" i="33"/>
  <c r="AS16" i="33"/>
  <c r="AQ16" i="33"/>
  <c r="AO16" i="33"/>
  <c r="AM16" i="33"/>
  <c r="AK16" i="33"/>
  <c r="AI16" i="33"/>
  <c r="AG16" i="33"/>
  <c r="AE16" i="33"/>
  <c r="AC16" i="33"/>
  <c r="AA16" i="33"/>
  <c r="X68" i="7"/>
  <c r="W68" i="7"/>
  <c r="Y68" i="7"/>
  <c r="BJ68" i="7"/>
  <c r="BI68" i="7"/>
  <c r="BK68" i="7" s="1"/>
  <c r="F68" i="7"/>
  <c r="R68" i="7" s="1"/>
  <c r="V68" i="7" s="1"/>
  <c r="BI46" i="7"/>
  <c r="X130" i="32"/>
  <c r="Y130" i="32"/>
  <c r="Z130" i="32"/>
  <c r="W130" i="32"/>
  <c r="BK130" i="32"/>
  <c r="G130" i="32" s="1"/>
  <c r="H130" i="32" s="1"/>
  <c r="I130" i="32" s="1"/>
  <c r="BH130" i="32"/>
  <c r="BF130" i="32"/>
  <c r="BD130" i="32"/>
  <c r="BB130" i="32"/>
  <c r="AZ130" i="32"/>
  <c r="AX130" i="32"/>
  <c r="AV130" i="32"/>
  <c r="AT130" i="32"/>
  <c r="AR130" i="32"/>
  <c r="AP130" i="32"/>
  <c r="AN130" i="32"/>
  <c r="AL130" i="32"/>
  <c r="AJ130" i="32"/>
  <c r="AH130" i="32"/>
  <c r="AF130" i="32"/>
  <c r="AD130" i="32"/>
  <c r="AB130" i="32"/>
  <c r="G68" i="7" l="1"/>
  <c r="I68" i="7" s="1"/>
  <c r="BN130" i="32"/>
  <c r="BS32" i="32"/>
  <c r="BW32" i="32" s="1"/>
  <c r="BQ33" i="32"/>
  <c r="BK46" i="37"/>
  <c r="L46" i="37"/>
  <c r="BN46" i="37"/>
  <c r="BR46" i="37" s="1"/>
  <c r="BV46" i="37" s="1"/>
  <c r="BN45" i="37"/>
  <c r="BR45" i="37" s="1"/>
  <c r="BV45" i="37" s="1"/>
  <c r="BR16" i="33"/>
  <c r="J130" i="32"/>
  <c r="H16" i="33"/>
  <c r="I16" i="33"/>
  <c r="H68" i="7"/>
  <c r="BL130" i="32"/>
  <c r="BK45" i="37"/>
  <c r="BK16" i="33"/>
  <c r="K62" i="32"/>
  <c r="L62" i="32"/>
  <c r="O62" i="32"/>
  <c r="P62" i="32"/>
  <c r="AA62" i="32"/>
  <c r="AC62" i="32"/>
  <c r="AE62" i="32"/>
  <c r="AG62" i="32"/>
  <c r="AI62" i="32"/>
  <c r="AK62" i="32"/>
  <c r="AM62" i="32"/>
  <c r="AO62" i="32"/>
  <c r="AQ62" i="32"/>
  <c r="AS62" i="32"/>
  <c r="AU62" i="32"/>
  <c r="AW62" i="32"/>
  <c r="AY62" i="32"/>
  <c r="BA62" i="32"/>
  <c r="BC62" i="32"/>
  <c r="BE62" i="32"/>
  <c r="BG62" i="32"/>
  <c r="BI62" i="32"/>
  <c r="BM62" i="32"/>
  <c r="Y36" i="26"/>
  <c r="X36" i="26"/>
  <c r="W36" i="26"/>
  <c r="V36" i="26"/>
  <c r="Y30" i="26"/>
  <c r="X30" i="26"/>
  <c r="W30" i="26"/>
  <c r="V30" i="26"/>
  <c r="Y16" i="26"/>
  <c r="X16" i="26"/>
  <c r="W16" i="26"/>
  <c r="V16" i="26"/>
  <c r="AB41" i="26"/>
  <c r="AD41" i="26"/>
  <c r="AF41" i="26"/>
  <c r="AH41" i="26"/>
  <c r="AJ41" i="26"/>
  <c r="AL41" i="26"/>
  <c r="AN41" i="26"/>
  <c r="AP41" i="26"/>
  <c r="AR41" i="26"/>
  <c r="AT41" i="26"/>
  <c r="AV41" i="26"/>
  <c r="AX41" i="26"/>
  <c r="AZ41" i="26"/>
  <c r="BB41" i="26"/>
  <c r="BD41" i="26"/>
  <c r="BF41" i="26"/>
  <c r="BH41" i="26"/>
  <c r="AB39" i="26"/>
  <c r="AD39" i="26"/>
  <c r="AF39" i="26"/>
  <c r="AH39" i="26"/>
  <c r="AJ39" i="26"/>
  <c r="AL39" i="26"/>
  <c r="AN39" i="26"/>
  <c r="AP39" i="26"/>
  <c r="AR39" i="26"/>
  <c r="AT39" i="26"/>
  <c r="AV39" i="26"/>
  <c r="AX39" i="26"/>
  <c r="AZ39" i="26"/>
  <c r="BB39" i="26"/>
  <c r="BD39" i="26"/>
  <c r="BF39" i="26"/>
  <c r="BH39" i="26"/>
  <c r="AB33" i="26"/>
  <c r="AD33" i="26"/>
  <c r="AF33" i="26"/>
  <c r="AH33" i="26"/>
  <c r="AJ33" i="26"/>
  <c r="AL33" i="26"/>
  <c r="AN33" i="26"/>
  <c r="AP33" i="26"/>
  <c r="AR33" i="26"/>
  <c r="AT33" i="26"/>
  <c r="AV33" i="26"/>
  <c r="AX33" i="26"/>
  <c r="AZ33" i="26"/>
  <c r="BB33" i="26"/>
  <c r="BD33" i="26"/>
  <c r="BF33" i="26"/>
  <c r="BH33" i="26"/>
  <c r="AB27" i="26"/>
  <c r="AD27" i="26"/>
  <c r="AF27" i="26"/>
  <c r="AH27" i="26"/>
  <c r="AJ27" i="26"/>
  <c r="AL27" i="26"/>
  <c r="AN27" i="26"/>
  <c r="AP27" i="26"/>
  <c r="AR27" i="26"/>
  <c r="AT27" i="26"/>
  <c r="AV27" i="26"/>
  <c r="AX27" i="26"/>
  <c r="AZ27" i="26"/>
  <c r="BB27" i="26"/>
  <c r="BD27" i="26"/>
  <c r="BF27" i="26"/>
  <c r="BH27" i="26"/>
  <c r="AB23" i="26"/>
  <c r="AD23" i="26"/>
  <c r="AF23" i="26"/>
  <c r="AH23" i="26"/>
  <c r="AJ23" i="26"/>
  <c r="AL23" i="26"/>
  <c r="AN23" i="26"/>
  <c r="AP23" i="26"/>
  <c r="AR23" i="26"/>
  <c r="AT23" i="26"/>
  <c r="AV23" i="26"/>
  <c r="AX23" i="26"/>
  <c r="AZ23" i="26"/>
  <c r="BB23" i="26"/>
  <c r="BD23" i="26"/>
  <c r="BF23" i="26"/>
  <c r="BH23" i="26"/>
  <c r="AB18" i="26"/>
  <c r="AD18" i="26"/>
  <c r="AF18" i="26"/>
  <c r="AH18" i="26"/>
  <c r="AJ18" i="26"/>
  <c r="AL18" i="26"/>
  <c r="AN18" i="26"/>
  <c r="AP18" i="26"/>
  <c r="AR18" i="26"/>
  <c r="AT18" i="26"/>
  <c r="AV18" i="26"/>
  <c r="AX18" i="26"/>
  <c r="AZ18" i="26"/>
  <c r="BB18" i="26"/>
  <c r="BD18" i="26"/>
  <c r="BF18" i="26"/>
  <c r="BH18" i="26"/>
  <c r="AB14" i="26"/>
  <c r="AD14" i="26"/>
  <c r="AF14" i="26"/>
  <c r="AH14" i="26"/>
  <c r="AJ14" i="26"/>
  <c r="AL14" i="26"/>
  <c r="AN14" i="26"/>
  <c r="AP14" i="26"/>
  <c r="AR14" i="26"/>
  <c r="AT14" i="26"/>
  <c r="AV14" i="26"/>
  <c r="AX14" i="26"/>
  <c r="AZ14" i="26"/>
  <c r="BB14" i="26"/>
  <c r="BD14" i="26"/>
  <c r="BF14" i="26"/>
  <c r="BH14" i="26"/>
  <c r="BI15" i="26"/>
  <c r="BI16" i="26"/>
  <c r="BI19" i="26"/>
  <c r="BI24" i="26"/>
  <c r="BI28" i="26"/>
  <c r="BI30" i="26"/>
  <c r="BI34" i="26"/>
  <c r="BI36" i="26"/>
  <c r="BG15" i="26"/>
  <c r="BG16" i="26"/>
  <c r="BG19" i="26"/>
  <c r="BG24" i="26"/>
  <c r="BG28" i="26"/>
  <c r="BG30" i="26"/>
  <c r="BG34" i="26"/>
  <c r="BG36" i="26"/>
  <c r="BE15" i="26"/>
  <c r="BE16" i="26"/>
  <c r="BE19" i="26"/>
  <c r="BE24" i="26"/>
  <c r="BE28" i="26"/>
  <c r="BE30" i="26"/>
  <c r="BE34" i="26"/>
  <c r="BE36" i="26"/>
  <c r="BC15" i="26"/>
  <c r="BC16" i="26"/>
  <c r="BC19" i="26"/>
  <c r="BC24" i="26"/>
  <c r="BC28" i="26"/>
  <c r="BC30" i="26"/>
  <c r="BC34" i="26"/>
  <c r="BC36" i="26"/>
  <c r="BA15" i="26"/>
  <c r="BA16" i="26"/>
  <c r="BA19" i="26"/>
  <c r="BA24" i="26"/>
  <c r="BA28" i="26"/>
  <c r="BA30" i="26"/>
  <c r="BA34" i="26"/>
  <c r="BA36" i="26"/>
  <c r="AY15" i="26"/>
  <c r="AY16" i="26"/>
  <c r="AY19" i="26"/>
  <c r="AY24" i="26"/>
  <c r="AY28" i="26"/>
  <c r="AY30" i="26"/>
  <c r="AY34" i="26"/>
  <c r="AY36" i="26"/>
  <c r="AW15" i="26"/>
  <c r="AW16" i="26"/>
  <c r="AW19" i="26"/>
  <c r="AW24" i="26"/>
  <c r="AW28" i="26"/>
  <c r="AW30" i="26"/>
  <c r="AW34" i="26"/>
  <c r="AW36" i="26"/>
  <c r="AU15" i="26"/>
  <c r="AU16" i="26"/>
  <c r="AU19" i="26"/>
  <c r="AU24" i="26"/>
  <c r="AU28" i="26"/>
  <c r="AU30" i="26"/>
  <c r="AU34" i="26"/>
  <c r="AU36" i="26"/>
  <c r="AS15" i="26"/>
  <c r="AS16" i="26"/>
  <c r="AS19" i="26"/>
  <c r="AS24" i="26"/>
  <c r="AS28" i="26"/>
  <c r="AS30" i="26"/>
  <c r="AS34" i="26"/>
  <c r="AS36" i="26"/>
  <c r="AQ15" i="26"/>
  <c r="AQ16" i="26"/>
  <c r="AQ19" i="26"/>
  <c r="AQ24" i="26"/>
  <c r="AQ28" i="26"/>
  <c r="AQ30" i="26"/>
  <c r="AQ34" i="26"/>
  <c r="AQ36" i="26"/>
  <c r="AO15" i="26"/>
  <c r="AO16" i="26"/>
  <c r="AO19" i="26"/>
  <c r="AO24" i="26"/>
  <c r="AO28" i="26"/>
  <c r="AO30" i="26"/>
  <c r="AO34" i="26"/>
  <c r="AO36" i="26"/>
  <c r="AM15" i="26"/>
  <c r="AM16" i="26"/>
  <c r="AM19" i="26"/>
  <c r="AM24" i="26"/>
  <c r="AM28" i="26"/>
  <c r="AM30" i="26"/>
  <c r="AM34" i="26"/>
  <c r="AM36" i="26"/>
  <c r="AK15" i="26"/>
  <c r="AK16" i="26"/>
  <c r="AK19" i="26"/>
  <c r="AK24" i="26"/>
  <c r="AK28" i="26"/>
  <c r="AK30" i="26"/>
  <c r="AK34" i="26"/>
  <c r="AK36" i="26"/>
  <c r="AI15" i="26"/>
  <c r="AI16" i="26"/>
  <c r="AI19" i="26"/>
  <c r="AI24" i="26"/>
  <c r="AI28" i="26"/>
  <c r="AI30" i="26"/>
  <c r="AI34" i="26"/>
  <c r="AI36" i="26"/>
  <c r="AG15" i="26"/>
  <c r="AG16" i="26"/>
  <c r="AG19" i="26"/>
  <c r="AG24" i="26"/>
  <c r="AG28" i="26"/>
  <c r="AG30" i="26"/>
  <c r="AG34" i="26"/>
  <c r="AG36" i="26"/>
  <c r="AE15" i="26"/>
  <c r="AE16" i="26"/>
  <c r="AE19" i="26"/>
  <c r="AE24" i="26"/>
  <c r="AE28" i="26"/>
  <c r="AE30" i="26"/>
  <c r="AE34" i="26"/>
  <c r="AE36" i="26"/>
  <c r="AC15" i="26"/>
  <c r="AC16" i="26"/>
  <c r="AC19" i="26"/>
  <c r="AC24" i="26"/>
  <c r="AC28" i="26"/>
  <c r="AC30" i="26"/>
  <c r="AC34" i="26"/>
  <c r="AC36" i="26"/>
  <c r="AA36" i="26"/>
  <c r="AA30" i="26"/>
  <c r="AA16" i="26"/>
  <c r="V107" i="25"/>
  <c r="W107" i="25"/>
  <c r="X107" i="25"/>
  <c r="Y107" i="25"/>
  <c r="Y53" i="25"/>
  <c r="X53" i="25"/>
  <c r="W53" i="25"/>
  <c r="V53" i="25"/>
  <c r="V27" i="25"/>
  <c r="X27" i="25"/>
  <c r="Y27" i="25"/>
  <c r="V30" i="25"/>
  <c r="X30" i="25"/>
  <c r="Y30" i="25"/>
  <c r="V31" i="25"/>
  <c r="X31" i="25"/>
  <c r="Y31" i="25"/>
  <c r="V32" i="25"/>
  <c r="X32" i="25"/>
  <c r="Y32" i="25"/>
  <c r="V33" i="25"/>
  <c r="W33" i="25"/>
  <c r="X33" i="25"/>
  <c r="Y33" i="25"/>
  <c r="V42" i="25"/>
  <c r="X42" i="25"/>
  <c r="Y42" i="25"/>
  <c r="F104" i="25"/>
  <c r="AB111" i="25"/>
  <c r="AD111" i="25"/>
  <c r="AF111" i="25"/>
  <c r="AH111" i="25"/>
  <c r="AJ111" i="25"/>
  <c r="AL111" i="25"/>
  <c r="AN111" i="25"/>
  <c r="AP111" i="25"/>
  <c r="AR111" i="25"/>
  <c r="AT111" i="25"/>
  <c r="AV111" i="25"/>
  <c r="AX111" i="25"/>
  <c r="AZ111" i="25"/>
  <c r="BB111" i="25"/>
  <c r="BD111" i="25"/>
  <c r="BF111" i="25"/>
  <c r="BH111" i="25"/>
  <c r="AB106" i="25"/>
  <c r="AD106" i="25"/>
  <c r="AF106" i="25"/>
  <c r="AH106" i="25"/>
  <c r="AJ106" i="25"/>
  <c r="AL106" i="25"/>
  <c r="AN106" i="25"/>
  <c r="AP106" i="25"/>
  <c r="AR106" i="25"/>
  <c r="AT106" i="25"/>
  <c r="AV106" i="25"/>
  <c r="AX106" i="25"/>
  <c r="AZ106" i="25"/>
  <c r="BB106" i="25"/>
  <c r="BD106" i="25"/>
  <c r="BF106" i="25"/>
  <c r="BH106" i="25"/>
  <c r="AB87" i="25"/>
  <c r="AD87" i="25"/>
  <c r="AF87" i="25"/>
  <c r="AH87" i="25"/>
  <c r="AJ87" i="25"/>
  <c r="AL87" i="25"/>
  <c r="AN87" i="25"/>
  <c r="AP87" i="25"/>
  <c r="AR87" i="25"/>
  <c r="AT87" i="25"/>
  <c r="AV87" i="25"/>
  <c r="AX87" i="25"/>
  <c r="AZ87" i="25"/>
  <c r="BB87" i="25"/>
  <c r="BD87" i="25"/>
  <c r="BF87" i="25"/>
  <c r="BH87" i="25"/>
  <c r="AB78" i="25"/>
  <c r="AD78" i="25"/>
  <c r="AF78" i="25"/>
  <c r="AH78" i="25"/>
  <c r="AJ78" i="25"/>
  <c r="AL78" i="25"/>
  <c r="AN78" i="25"/>
  <c r="AP78" i="25"/>
  <c r="AR78" i="25"/>
  <c r="AT78" i="25"/>
  <c r="AV78" i="25"/>
  <c r="AX78" i="25"/>
  <c r="AZ78" i="25"/>
  <c r="BB78" i="25"/>
  <c r="BD78" i="25"/>
  <c r="BF78" i="25"/>
  <c r="AB71" i="25"/>
  <c r="AD71" i="25"/>
  <c r="AF71" i="25"/>
  <c r="AH71" i="25"/>
  <c r="AJ71" i="25"/>
  <c r="AL71" i="25"/>
  <c r="AN71" i="25"/>
  <c r="AP71" i="25"/>
  <c r="AR71" i="25"/>
  <c r="AT71" i="25"/>
  <c r="AV71" i="25"/>
  <c r="AX71" i="25"/>
  <c r="AZ71" i="25"/>
  <c r="BB71" i="25"/>
  <c r="BD71" i="25"/>
  <c r="BF71" i="25"/>
  <c r="BH71" i="25"/>
  <c r="AB54" i="25"/>
  <c r="AD54" i="25"/>
  <c r="AF54" i="25"/>
  <c r="AH54" i="25"/>
  <c r="AJ54" i="25"/>
  <c r="AL54" i="25"/>
  <c r="AN54" i="25"/>
  <c r="AP54" i="25"/>
  <c r="AR54" i="25"/>
  <c r="AT54" i="25"/>
  <c r="AV54" i="25"/>
  <c r="AX54" i="25"/>
  <c r="AZ54" i="25"/>
  <c r="BB54" i="25"/>
  <c r="BD54" i="25"/>
  <c r="BF54" i="25"/>
  <c r="BH54" i="25"/>
  <c r="AB52" i="25"/>
  <c r="AD52" i="25"/>
  <c r="AF52" i="25"/>
  <c r="AH52" i="25"/>
  <c r="AJ52" i="25"/>
  <c r="AL52" i="25"/>
  <c r="AN52" i="25"/>
  <c r="AP52" i="25"/>
  <c r="AR52" i="25"/>
  <c r="AT52" i="25"/>
  <c r="AV52" i="25"/>
  <c r="AX52" i="25"/>
  <c r="AZ52" i="25"/>
  <c r="BB52" i="25"/>
  <c r="BD52" i="25"/>
  <c r="BF52" i="25"/>
  <c r="BH52" i="25"/>
  <c r="AB46" i="25"/>
  <c r="AD46" i="25"/>
  <c r="AF46" i="25"/>
  <c r="AH46" i="25"/>
  <c r="AJ46" i="25"/>
  <c r="AL46" i="25"/>
  <c r="AN46" i="25"/>
  <c r="AP46" i="25"/>
  <c r="AR46" i="25"/>
  <c r="AT46" i="25"/>
  <c r="AV46" i="25"/>
  <c r="AX46" i="25"/>
  <c r="AZ46" i="25"/>
  <c r="BB46" i="25"/>
  <c r="BD46" i="25"/>
  <c r="BF46" i="25"/>
  <c r="BH46" i="25"/>
  <c r="AB18" i="25"/>
  <c r="AD18" i="25"/>
  <c r="AF18" i="25"/>
  <c r="AH18" i="25"/>
  <c r="AJ18" i="25"/>
  <c r="AL18" i="25"/>
  <c r="AN18" i="25"/>
  <c r="AP18" i="25"/>
  <c r="AR18" i="25"/>
  <c r="AT18" i="25"/>
  <c r="AV18" i="25"/>
  <c r="AX18" i="25"/>
  <c r="AZ18" i="25"/>
  <c r="BB18" i="25"/>
  <c r="BD18" i="25"/>
  <c r="BF18" i="25"/>
  <c r="BH18" i="25"/>
  <c r="F13" i="25"/>
  <c r="BI13" i="25"/>
  <c r="BI14" i="25"/>
  <c r="BI19" i="25"/>
  <c r="BI27" i="25"/>
  <c r="BI30" i="25"/>
  <c r="BI31" i="25"/>
  <c r="BI32" i="25"/>
  <c r="BI33" i="25"/>
  <c r="BI42" i="25"/>
  <c r="BI47" i="25"/>
  <c r="BI48" i="25"/>
  <c r="BI49" i="25"/>
  <c r="BI53" i="25"/>
  <c r="BI54" i="25" s="1"/>
  <c r="BI56" i="25"/>
  <c r="BI57" i="25"/>
  <c r="BI67" i="25"/>
  <c r="BI72" i="25"/>
  <c r="BI73" i="25"/>
  <c r="BI74" i="25"/>
  <c r="BI76" i="25"/>
  <c r="BI79" i="25"/>
  <c r="BI80" i="25"/>
  <c r="BI82" i="25"/>
  <c r="BI89" i="25"/>
  <c r="BI90" i="25"/>
  <c r="BI92" i="25"/>
  <c r="BI93" i="25"/>
  <c r="BI94" i="25"/>
  <c r="BI96" i="25"/>
  <c r="BI98" i="25"/>
  <c r="BI99" i="25"/>
  <c r="BI100" i="25"/>
  <c r="BI101" i="25"/>
  <c r="BI102" i="25"/>
  <c r="BI104" i="25"/>
  <c r="BI107" i="25"/>
  <c r="BG13" i="25"/>
  <c r="BG14" i="25"/>
  <c r="BG19" i="25"/>
  <c r="BG27" i="25"/>
  <c r="BG30" i="25"/>
  <c r="BG31" i="25"/>
  <c r="BG32" i="25"/>
  <c r="BG33" i="25"/>
  <c r="BG42" i="25"/>
  <c r="BG47" i="25"/>
  <c r="BG48" i="25"/>
  <c r="BG49" i="25"/>
  <c r="BG53" i="25"/>
  <c r="BG54" i="25" s="1"/>
  <c r="BG56" i="25"/>
  <c r="BG57" i="25"/>
  <c r="BG67" i="25"/>
  <c r="BG72" i="25"/>
  <c r="BG73" i="25"/>
  <c r="BG74" i="25"/>
  <c r="BG75" i="25"/>
  <c r="BG76" i="25"/>
  <c r="BG77" i="25"/>
  <c r="BG79" i="25"/>
  <c r="BG80" i="25"/>
  <c r="BG82" i="25"/>
  <c r="BG89" i="25"/>
  <c r="BG90" i="25"/>
  <c r="BG92" i="25"/>
  <c r="BG93" i="25"/>
  <c r="BG94" i="25"/>
  <c r="BG96" i="25"/>
  <c r="BG98" i="25"/>
  <c r="BG99" i="25"/>
  <c r="BG100" i="25"/>
  <c r="BG101" i="25"/>
  <c r="BG102" i="25"/>
  <c r="BG104" i="25"/>
  <c r="BG107" i="25"/>
  <c r="BE13" i="25"/>
  <c r="BE14" i="25"/>
  <c r="BE19" i="25"/>
  <c r="BE27" i="25"/>
  <c r="BE30" i="25"/>
  <c r="BE31" i="25"/>
  <c r="BE32" i="25"/>
  <c r="BE33" i="25"/>
  <c r="BE42" i="25"/>
  <c r="BE47" i="25"/>
  <c r="BE48" i="25"/>
  <c r="BE49" i="25"/>
  <c r="BE53" i="25"/>
  <c r="BE54" i="25" s="1"/>
  <c r="BE56" i="25"/>
  <c r="BE57" i="25"/>
  <c r="BE67" i="25"/>
  <c r="BE72" i="25"/>
  <c r="BE73" i="25"/>
  <c r="BE74" i="25"/>
  <c r="BE75" i="25"/>
  <c r="BE76" i="25"/>
  <c r="BE77" i="25"/>
  <c r="BE79" i="25"/>
  <c r="BE80" i="25"/>
  <c r="BE82" i="25"/>
  <c r="BE89" i="25"/>
  <c r="BE90" i="25"/>
  <c r="BE92" i="25"/>
  <c r="BE93" i="25"/>
  <c r="BE94" i="25"/>
  <c r="BE96" i="25"/>
  <c r="BE98" i="25"/>
  <c r="BE99" i="25"/>
  <c r="BE100" i="25"/>
  <c r="BE101" i="25"/>
  <c r="BE102" i="25"/>
  <c r="BE104" i="25"/>
  <c r="BE107" i="25"/>
  <c r="BC13" i="25"/>
  <c r="BC14" i="25"/>
  <c r="BC19" i="25"/>
  <c r="BC27" i="25"/>
  <c r="BC30" i="25"/>
  <c r="BC31" i="25"/>
  <c r="BC32" i="25"/>
  <c r="BC33" i="25"/>
  <c r="BC42" i="25"/>
  <c r="BC47" i="25"/>
  <c r="BC48" i="25"/>
  <c r="BC49" i="25"/>
  <c r="BC53" i="25"/>
  <c r="BC54" i="25" s="1"/>
  <c r="BC56" i="25"/>
  <c r="BC57" i="25"/>
  <c r="BC67" i="25"/>
  <c r="BC72" i="25"/>
  <c r="BC73" i="25"/>
  <c r="BC74" i="25"/>
  <c r="BC75" i="25"/>
  <c r="BC76" i="25"/>
  <c r="BC77" i="25"/>
  <c r="BC79" i="25"/>
  <c r="BC80" i="25"/>
  <c r="BC82" i="25"/>
  <c r="BC89" i="25"/>
  <c r="BC90" i="25"/>
  <c r="BC92" i="25"/>
  <c r="BC93" i="25"/>
  <c r="BC94" i="25"/>
  <c r="BC96" i="25"/>
  <c r="BC98" i="25"/>
  <c r="BC99" i="25"/>
  <c r="BC100" i="25"/>
  <c r="BC101" i="25"/>
  <c r="BC102" i="25"/>
  <c r="BC104" i="25"/>
  <c r="BC107" i="25"/>
  <c r="BA13" i="25"/>
  <c r="BA14" i="25"/>
  <c r="BA19" i="25"/>
  <c r="BA27" i="25"/>
  <c r="BA30" i="25"/>
  <c r="BA31" i="25"/>
  <c r="BA32" i="25"/>
  <c r="BA33" i="25"/>
  <c r="BA42" i="25"/>
  <c r="BA47" i="25"/>
  <c r="BA48" i="25"/>
  <c r="BA49" i="25"/>
  <c r="BA53" i="25"/>
  <c r="BA54" i="25" s="1"/>
  <c r="BA56" i="25"/>
  <c r="BA57" i="25"/>
  <c r="BA67" i="25"/>
  <c r="BA72" i="25"/>
  <c r="BA73" i="25"/>
  <c r="BA74" i="25"/>
  <c r="BA75" i="25"/>
  <c r="BA76" i="25"/>
  <c r="BA77" i="25"/>
  <c r="BA79" i="25"/>
  <c r="BA80" i="25"/>
  <c r="BA82" i="25"/>
  <c r="BA89" i="25"/>
  <c r="BA90" i="25"/>
  <c r="BA92" i="25"/>
  <c r="BA93" i="25"/>
  <c r="BA94" i="25"/>
  <c r="BA96" i="25"/>
  <c r="BA98" i="25"/>
  <c r="BA99" i="25"/>
  <c r="BA100" i="25"/>
  <c r="BA101" i="25"/>
  <c r="BA102" i="25"/>
  <c r="BA104" i="25"/>
  <c r="BA107" i="25"/>
  <c r="AY13" i="25"/>
  <c r="AY14" i="25"/>
  <c r="AY19" i="25"/>
  <c r="AY27" i="25"/>
  <c r="AY30" i="25"/>
  <c r="AY31" i="25"/>
  <c r="AY32" i="25"/>
  <c r="AY33" i="25"/>
  <c r="AY42" i="25"/>
  <c r="AY47" i="25"/>
  <c r="AY48" i="25"/>
  <c r="AY49" i="25"/>
  <c r="AY53" i="25"/>
  <c r="AY54" i="25" s="1"/>
  <c r="AY56" i="25"/>
  <c r="AY57" i="25"/>
  <c r="AY67" i="25"/>
  <c r="AY72" i="25"/>
  <c r="AY73" i="25"/>
  <c r="AY74" i="25"/>
  <c r="AY75" i="25"/>
  <c r="AY76" i="25"/>
  <c r="AY77" i="25"/>
  <c r="AY79" i="25"/>
  <c r="AY80" i="25"/>
  <c r="AY82" i="25"/>
  <c r="AY89" i="25"/>
  <c r="AY90" i="25"/>
  <c r="AY92" i="25"/>
  <c r="AY93" i="25"/>
  <c r="AY94" i="25"/>
  <c r="AY96" i="25"/>
  <c r="AY98" i="25"/>
  <c r="AY99" i="25"/>
  <c r="AY100" i="25"/>
  <c r="AY101" i="25"/>
  <c r="AY102" i="25"/>
  <c r="AY104" i="25"/>
  <c r="AY107" i="25"/>
  <c r="AW13" i="25"/>
  <c r="AW14" i="25"/>
  <c r="AW19" i="25"/>
  <c r="AW27" i="25"/>
  <c r="AW30" i="25"/>
  <c r="AW31" i="25"/>
  <c r="AW32" i="25"/>
  <c r="AW33" i="25"/>
  <c r="AW42" i="25"/>
  <c r="AW47" i="25"/>
  <c r="AW48" i="25"/>
  <c r="AW49" i="25"/>
  <c r="AW53" i="25"/>
  <c r="AW54" i="25" s="1"/>
  <c r="AW56" i="25"/>
  <c r="AW57" i="25"/>
  <c r="AW67" i="25"/>
  <c r="AW72" i="25"/>
  <c r="AW73" i="25"/>
  <c r="AW74" i="25"/>
  <c r="AW75" i="25"/>
  <c r="AW76" i="25"/>
  <c r="AW77" i="25"/>
  <c r="AW79" i="25"/>
  <c r="AW80" i="25"/>
  <c r="AW82" i="25"/>
  <c r="AW89" i="25"/>
  <c r="AW90" i="25"/>
  <c r="AW92" i="25"/>
  <c r="AW93" i="25"/>
  <c r="AW94" i="25"/>
  <c r="AW96" i="25"/>
  <c r="AW98" i="25"/>
  <c r="AW99" i="25"/>
  <c r="AW100" i="25"/>
  <c r="AW101" i="25"/>
  <c r="AW102" i="25"/>
  <c r="AW104" i="25"/>
  <c r="AW107" i="25"/>
  <c r="AU13" i="25"/>
  <c r="AU14" i="25"/>
  <c r="AU19" i="25"/>
  <c r="AU27" i="25"/>
  <c r="AU30" i="25"/>
  <c r="AU31" i="25"/>
  <c r="AU32" i="25"/>
  <c r="AU33" i="25"/>
  <c r="AU42" i="25"/>
  <c r="AU47" i="25"/>
  <c r="AU48" i="25"/>
  <c r="AU49" i="25"/>
  <c r="AU53" i="25"/>
  <c r="AU54" i="25" s="1"/>
  <c r="AU56" i="25"/>
  <c r="AU57" i="25"/>
  <c r="AU67" i="25"/>
  <c r="AU72" i="25"/>
  <c r="AU73" i="25"/>
  <c r="AU74" i="25"/>
  <c r="AU75" i="25"/>
  <c r="AU76" i="25"/>
  <c r="AU77" i="25"/>
  <c r="AU79" i="25"/>
  <c r="AU80" i="25"/>
  <c r="AU82" i="25"/>
  <c r="AU89" i="25"/>
  <c r="AU90" i="25"/>
  <c r="AU92" i="25"/>
  <c r="AU93" i="25"/>
  <c r="AU94" i="25"/>
  <c r="AU96" i="25"/>
  <c r="AU98" i="25"/>
  <c r="AU99" i="25"/>
  <c r="AU100" i="25"/>
  <c r="AU101" i="25"/>
  <c r="AU102" i="25"/>
  <c r="AU104" i="25"/>
  <c r="AU107" i="25"/>
  <c r="AS13" i="25"/>
  <c r="AS14" i="25"/>
  <c r="AS19" i="25"/>
  <c r="AS27" i="25"/>
  <c r="AS30" i="25"/>
  <c r="AS31" i="25"/>
  <c r="AS32" i="25"/>
  <c r="AS33" i="25"/>
  <c r="AS42" i="25"/>
  <c r="AS47" i="25"/>
  <c r="AS48" i="25"/>
  <c r="AS49" i="25"/>
  <c r="AS53" i="25"/>
  <c r="AS54" i="25" s="1"/>
  <c r="AS56" i="25"/>
  <c r="AS57" i="25"/>
  <c r="AS67" i="25"/>
  <c r="AS72" i="25"/>
  <c r="AS73" i="25"/>
  <c r="AS74" i="25"/>
  <c r="AS75" i="25"/>
  <c r="AS76" i="25"/>
  <c r="AS77" i="25"/>
  <c r="AS79" i="25"/>
  <c r="AS80" i="25"/>
  <c r="AS82" i="25"/>
  <c r="AS89" i="25"/>
  <c r="AS90" i="25"/>
  <c r="AS92" i="25"/>
  <c r="AS93" i="25"/>
  <c r="AS94" i="25"/>
  <c r="AS96" i="25"/>
  <c r="AS98" i="25"/>
  <c r="AS99" i="25"/>
  <c r="AS100" i="25"/>
  <c r="AS101" i="25"/>
  <c r="AS102" i="25"/>
  <c r="AS104" i="25"/>
  <c r="AS107" i="25"/>
  <c r="AQ13" i="25"/>
  <c r="AQ14" i="25"/>
  <c r="AQ19" i="25"/>
  <c r="AQ31" i="25"/>
  <c r="AQ32" i="25"/>
  <c r="AQ33" i="25"/>
  <c r="AQ42" i="25"/>
  <c r="AQ47" i="25"/>
  <c r="AQ48" i="25"/>
  <c r="AQ49" i="25"/>
  <c r="AQ53" i="25"/>
  <c r="AQ54" i="25" s="1"/>
  <c r="AQ56" i="25"/>
  <c r="AQ57" i="25"/>
  <c r="AQ67" i="25"/>
  <c r="AQ72" i="25"/>
  <c r="AQ73" i="25"/>
  <c r="AQ74" i="25"/>
  <c r="AQ75" i="25"/>
  <c r="AQ76" i="25"/>
  <c r="AQ77" i="25"/>
  <c r="AQ79" i="25"/>
  <c r="AQ80" i="25"/>
  <c r="AQ82" i="25"/>
  <c r="AQ89" i="25"/>
  <c r="AQ90" i="25"/>
  <c r="AQ92" i="25"/>
  <c r="AQ93" i="25"/>
  <c r="AQ94" i="25"/>
  <c r="AQ96" i="25"/>
  <c r="AQ98" i="25"/>
  <c r="AQ99" i="25"/>
  <c r="AQ100" i="25"/>
  <c r="AQ101" i="25"/>
  <c r="AQ102" i="25"/>
  <c r="AQ104" i="25"/>
  <c r="AQ107" i="25"/>
  <c r="AO13" i="25"/>
  <c r="AO14" i="25"/>
  <c r="AO19" i="25"/>
  <c r="AO27" i="25"/>
  <c r="AO30" i="25"/>
  <c r="AO31" i="25"/>
  <c r="AO32" i="25"/>
  <c r="AO33" i="25"/>
  <c r="AO42" i="25"/>
  <c r="AO47" i="25"/>
  <c r="AO48" i="25"/>
  <c r="AO49" i="25"/>
  <c r="AO53" i="25"/>
  <c r="AO54" i="25" s="1"/>
  <c r="AO56" i="25"/>
  <c r="AO57" i="25"/>
  <c r="AO67" i="25"/>
  <c r="AO72" i="25"/>
  <c r="AO73" i="25"/>
  <c r="AO74" i="25"/>
  <c r="AO75" i="25"/>
  <c r="AO76" i="25"/>
  <c r="AO77" i="25"/>
  <c r="AO79" i="25"/>
  <c r="AO80" i="25"/>
  <c r="AO82" i="25"/>
  <c r="AO89" i="25"/>
  <c r="AO90" i="25"/>
  <c r="AO92" i="25"/>
  <c r="AO93" i="25"/>
  <c r="AO94" i="25"/>
  <c r="AO96" i="25"/>
  <c r="AO98" i="25"/>
  <c r="AO99" i="25"/>
  <c r="AO100" i="25"/>
  <c r="AO101" i="25"/>
  <c r="AO102" i="25"/>
  <c r="AO104" i="25"/>
  <c r="AO107" i="25"/>
  <c r="AM13" i="25"/>
  <c r="AM14" i="25"/>
  <c r="AM19" i="25"/>
  <c r="AM27" i="25"/>
  <c r="AM30" i="25"/>
  <c r="AM31" i="25"/>
  <c r="AM32" i="25"/>
  <c r="AM33" i="25"/>
  <c r="AM42" i="25"/>
  <c r="AM47" i="25"/>
  <c r="AM48" i="25"/>
  <c r="AM49" i="25"/>
  <c r="AM53" i="25"/>
  <c r="AM54" i="25" s="1"/>
  <c r="AM56" i="25"/>
  <c r="AM57" i="25"/>
  <c r="AM67" i="25"/>
  <c r="AM72" i="25"/>
  <c r="AM73" i="25"/>
  <c r="AM74" i="25"/>
  <c r="AM75" i="25"/>
  <c r="AM76" i="25"/>
  <c r="AM77" i="25"/>
  <c r="AM79" i="25"/>
  <c r="AM80" i="25"/>
  <c r="AM82" i="25"/>
  <c r="AM89" i="25"/>
  <c r="AM90" i="25"/>
  <c r="AM92" i="25"/>
  <c r="AM93" i="25"/>
  <c r="AM94" i="25"/>
  <c r="AM96" i="25"/>
  <c r="AM98" i="25"/>
  <c r="AM99" i="25"/>
  <c r="AM100" i="25"/>
  <c r="AM101" i="25"/>
  <c r="AM102" i="25"/>
  <c r="AM104" i="25"/>
  <c r="AM107" i="25"/>
  <c r="AK13" i="25"/>
  <c r="AK14" i="25"/>
  <c r="AK19" i="25"/>
  <c r="AK27" i="25"/>
  <c r="AK30" i="25"/>
  <c r="AK31" i="25"/>
  <c r="AK32" i="25"/>
  <c r="AK33" i="25"/>
  <c r="AK42" i="25"/>
  <c r="AK47" i="25"/>
  <c r="AK48" i="25"/>
  <c r="AK49" i="25"/>
  <c r="AK53" i="25"/>
  <c r="AK54" i="25" s="1"/>
  <c r="AK56" i="25"/>
  <c r="AK57" i="25"/>
  <c r="AK67" i="25"/>
  <c r="AK72" i="25"/>
  <c r="AK73" i="25"/>
  <c r="AK74" i="25"/>
  <c r="AK75" i="25"/>
  <c r="AK76" i="25"/>
  <c r="AK77" i="25"/>
  <c r="AK79" i="25"/>
  <c r="AK80" i="25"/>
  <c r="AK82" i="25"/>
  <c r="AK89" i="25"/>
  <c r="AK90" i="25"/>
  <c r="AK92" i="25"/>
  <c r="AK93" i="25"/>
  <c r="AK94" i="25"/>
  <c r="AK96" i="25"/>
  <c r="AK98" i="25"/>
  <c r="AK99" i="25"/>
  <c r="AK100" i="25"/>
  <c r="AK101" i="25"/>
  <c r="AK102" i="25"/>
  <c r="AK104" i="25"/>
  <c r="AK107" i="25"/>
  <c r="AI13" i="25"/>
  <c r="AI14" i="25"/>
  <c r="AI19" i="25"/>
  <c r="AI27" i="25"/>
  <c r="AI30" i="25"/>
  <c r="AI31" i="25"/>
  <c r="AI32" i="25"/>
  <c r="AI33" i="25"/>
  <c r="AI42" i="25"/>
  <c r="AI47" i="25"/>
  <c r="AI48" i="25"/>
  <c r="AI49" i="25"/>
  <c r="AI53" i="25"/>
  <c r="AI54" i="25" s="1"/>
  <c r="AI56" i="25"/>
  <c r="AI57" i="25"/>
  <c r="AI67" i="25"/>
  <c r="AI72" i="25"/>
  <c r="AI73" i="25"/>
  <c r="AI74" i="25"/>
  <c r="AI75" i="25"/>
  <c r="AI76" i="25"/>
  <c r="AI77" i="25"/>
  <c r="AI79" i="25"/>
  <c r="AI80" i="25"/>
  <c r="AI82" i="25"/>
  <c r="AI89" i="25"/>
  <c r="AI90" i="25"/>
  <c r="AI92" i="25"/>
  <c r="AI93" i="25"/>
  <c r="AI94" i="25"/>
  <c r="AI96" i="25"/>
  <c r="AI98" i="25"/>
  <c r="AI99" i="25"/>
  <c r="AI100" i="25"/>
  <c r="AI101" i="25"/>
  <c r="AI102" i="25"/>
  <c r="AI104" i="25"/>
  <c r="AI107" i="25"/>
  <c r="AG13" i="25"/>
  <c r="AG14" i="25"/>
  <c r="AG19" i="25"/>
  <c r="AG27" i="25"/>
  <c r="AG30" i="25"/>
  <c r="AG31" i="25"/>
  <c r="AG32" i="25"/>
  <c r="AG33" i="25"/>
  <c r="AG42" i="25"/>
  <c r="AG47" i="25"/>
  <c r="AG48" i="25"/>
  <c r="AG49" i="25"/>
  <c r="AG53" i="25"/>
  <c r="AG54" i="25" s="1"/>
  <c r="AG56" i="25"/>
  <c r="AG57" i="25"/>
  <c r="AG67" i="25"/>
  <c r="AG72" i="25"/>
  <c r="AG73" i="25"/>
  <c r="AG74" i="25"/>
  <c r="AG75" i="25"/>
  <c r="AG76" i="25"/>
  <c r="AG77" i="25"/>
  <c r="AG79" i="25"/>
  <c r="AG80" i="25"/>
  <c r="AG82" i="25"/>
  <c r="AG89" i="25"/>
  <c r="AG90" i="25"/>
  <c r="AG92" i="25"/>
  <c r="AG93" i="25"/>
  <c r="AG94" i="25"/>
  <c r="AG96" i="25"/>
  <c r="AG98" i="25"/>
  <c r="AG99" i="25"/>
  <c r="AG100" i="25"/>
  <c r="AG101" i="25"/>
  <c r="AG102" i="25"/>
  <c r="AG104" i="25"/>
  <c r="AG107" i="25"/>
  <c r="AE13" i="25"/>
  <c r="AE14" i="25"/>
  <c r="AE19" i="25"/>
  <c r="AE27" i="25"/>
  <c r="AE30" i="25"/>
  <c r="AE31" i="25"/>
  <c r="AE32" i="25"/>
  <c r="AE33" i="25"/>
  <c r="AE42" i="25"/>
  <c r="AE47" i="25"/>
  <c r="AE48" i="25"/>
  <c r="AE49" i="25"/>
  <c r="AE53" i="25"/>
  <c r="AE54" i="25" s="1"/>
  <c r="AE56" i="25"/>
  <c r="AE57" i="25"/>
  <c r="AE67" i="25"/>
  <c r="AE72" i="25"/>
  <c r="AE73" i="25"/>
  <c r="AE74" i="25"/>
  <c r="AE75" i="25"/>
  <c r="AE76" i="25"/>
  <c r="AE77" i="25"/>
  <c r="AE79" i="25"/>
  <c r="AE80" i="25"/>
  <c r="AE82" i="25"/>
  <c r="AE89" i="25"/>
  <c r="AE90" i="25"/>
  <c r="AE92" i="25"/>
  <c r="AE93" i="25"/>
  <c r="AE94" i="25"/>
  <c r="AE96" i="25"/>
  <c r="AE98" i="25"/>
  <c r="AE99" i="25"/>
  <c r="AE100" i="25"/>
  <c r="AE101" i="25"/>
  <c r="AE102" i="25"/>
  <c r="AE104" i="25"/>
  <c r="AE107" i="25"/>
  <c r="AC13" i="25"/>
  <c r="AC14" i="25"/>
  <c r="AC19" i="25"/>
  <c r="AC27" i="25"/>
  <c r="AC30" i="25"/>
  <c r="AC31" i="25"/>
  <c r="AC32" i="25"/>
  <c r="AC33" i="25"/>
  <c r="AC42" i="25"/>
  <c r="AC47" i="25"/>
  <c r="AC48" i="25"/>
  <c r="AC49" i="25"/>
  <c r="AC53" i="25"/>
  <c r="AC54" i="25" s="1"/>
  <c r="AC56" i="25"/>
  <c r="AC57" i="25"/>
  <c r="AC67" i="25"/>
  <c r="AC72" i="25"/>
  <c r="AC73" i="25"/>
  <c r="AC74" i="25"/>
  <c r="AC75" i="25"/>
  <c r="AC76" i="25"/>
  <c r="AC77" i="25"/>
  <c r="AC79" i="25"/>
  <c r="AC80" i="25"/>
  <c r="AC82" i="25"/>
  <c r="AC89" i="25"/>
  <c r="AC90" i="25"/>
  <c r="AC92" i="25"/>
  <c r="AC93" i="25"/>
  <c r="AC94" i="25"/>
  <c r="AC96" i="25"/>
  <c r="AC98" i="25"/>
  <c r="AC99" i="25"/>
  <c r="AC100" i="25"/>
  <c r="AC101" i="25"/>
  <c r="AC102" i="25"/>
  <c r="AC104" i="25"/>
  <c r="AC107" i="25"/>
  <c r="AA13" i="25"/>
  <c r="AA14" i="25"/>
  <c r="AA19" i="25"/>
  <c r="AA27" i="25"/>
  <c r="AA30" i="25"/>
  <c r="AA31" i="25"/>
  <c r="AA32" i="25"/>
  <c r="AA33" i="25"/>
  <c r="AA42" i="25"/>
  <c r="AA47" i="25"/>
  <c r="AA48" i="25"/>
  <c r="AA49" i="25"/>
  <c r="AA53" i="25"/>
  <c r="AA54" i="25" s="1"/>
  <c r="AA56" i="25"/>
  <c r="AA57" i="25"/>
  <c r="AA67" i="25"/>
  <c r="AA72" i="25"/>
  <c r="AA73" i="25"/>
  <c r="AA74" i="25"/>
  <c r="AA75" i="25"/>
  <c r="AA76" i="25"/>
  <c r="AA77" i="25"/>
  <c r="AA79" i="25"/>
  <c r="AA80" i="25"/>
  <c r="AA82" i="25"/>
  <c r="AA89" i="25"/>
  <c r="AA90" i="25"/>
  <c r="AA92" i="25"/>
  <c r="AA93" i="25"/>
  <c r="AA94" i="25"/>
  <c r="AA96" i="25"/>
  <c r="AA98" i="25"/>
  <c r="AA99" i="25"/>
  <c r="AA100" i="25"/>
  <c r="AA101" i="25"/>
  <c r="AA104" i="25"/>
  <c r="AA107" i="25"/>
  <c r="V101" i="24"/>
  <c r="W101" i="24"/>
  <c r="X101" i="24"/>
  <c r="Y101" i="24"/>
  <c r="V102" i="24"/>
  <c r="W102" i="24"/>
  <c r="X102" i="24"/>
  <c r="Y102" i="24"/>
  <c r="V103" i="24"/>
  <c r="W103" i="24"/>
  <c r="X103" i="24"/>
  <c r="Y103" i="24"/>
  <c r="V104" i="24"/>
  <c r="W104" i="24"/>
  <c r="X104" i="24"/>
  <c r="Y104" i="24"/>
  <c r="V105" i="24"/>
  <c r="W105" i="24"/>
  <c r="X105" i="24"/>
  <c r="Y105" i="24"/>
  <c r="V106" i="24"/>
  <c r="W106" i="24"/>
  <c r="X106" i="24"/>
  <c r="Y106" i="24"/>
  <c r="V107" i="24"/>
  <c r="W107" i="24"/>
  <c r="X107" i="24"/>
  <c r="Y107" i="24"/>
  <c r="V111" i="24"/>
  <c r="W111" i="24"/>
  <c r="X111" i="24"/>
  <c r="Y111" i="24"/>
  <c r="V112" i="24"/>
  <c r="W112" i="24"/>
  <c r="X112" i="24"/>
  <c r="Y112" i="24"/>
  <c r="V113" i="24"/>
  <c r="W113" i="24"/>
  <c r="X113" i="24"/>
  <c r="Y113" i="24"/>
  <c r="Y100" i="24"/>
  <c r="X100" i="24"/>
  <c r="W100" i="24"/>
  <c r="V100" i="24"/>
  <c r="V90" i="24"/>
  <c r="W90" i="24"/>
  <c r="X90" i="24"/>
  <c r="Y90" i="24"/>
  <c r="V92" i="24"/>
  <c r="W92" i="24"/>
  <c r="X92" i="24"/>
  <c r="Y92" i="24"/>
  <c r="V94" i="24"/>
  <c r="W94" i="24"/>
  <c r="X94" i="24"/>
  <c r="Y94" i="24"/>
  <c r="V95" i="24"/>
  <c r="W95" i="24"/>
  <c r="X95" i="24"/>
  <c r="Y95" i="24"/>
  <c r="V70" i="24"/>
  <c r="W70" i="24"/>
  <c r="X70" i="24"/>
  <c r="Y70" i="24"/>
  <c r="V72" i="24"/>
  <c r="W72" i="24"/>
  <c r="X72" i="24"/>
  <c r="Y72" i="24"/>
  <c r="V73" i="24"/>
  <c r="W73" i="24"/>
  <c r="X73" i="24"/>
  <c r="Y73" i="24"/>
  <c r="V74" i="24"/>
  <c r="W74" i="24"/>
  <c r="X74" i="24"/>
  <c r="Y74" i="24"/>
  <c r="V75" i="24"/>
  <c r="W75" i="24"/>
  <c r="X75" i="24"/>
  <c r="Y75" i="24"/>
  <c r="V76" i="24"/>
  <c r="W76" i="24"/>
  <c r="X76" i="24"/>
  <c r="Y76" i="24"/>
  <c r="V77" i="24"/>
  <c r="W77" i="24"/>
  <c r="X77" i="24"/>
  <c r="Y77" i="24"/>
  <c r="V78" i="24"/>
  <c r="W78" i="24"/>
  <c r="X78" i="24"/>
  <c r="Y78" i="24"/>
  <c r="V79" i="24"/>
  <c r="W79" i="24"/>
  <c r="X79" i="24"/>
  <c r="Y79" i="24"/>
  <c r="V80" i="24"/>
  <c r="W80" i="24"/>
  <c r="X80" i="24"/>
  <c r="Y80" i="24"/>
  <c r="V81" i="24"/>
  <c r="W81" i="24"/>
  <c r="X81" i="24"/>
  <c r="Y81" i="24"/>
  <c r="V82" i="24"/>
  <c r="W82" i="24"/>
  <c r="X82" i="24"/>
  <c r="Y82" i="24"/>
  <c r="V83" i="24"/>
  <c r="W83" i="24"/>
  <c r="X83" i="24"/>
  <c r="Y83" i="24"/>
  <c r="V84" i="24"/>
  <c r="W84" i="24"/>
  <c r="X84" i="24"/>
  <c r="Y84" i="24"/>
  <c r="Y69" i="24"/>
  <c r="X69" i="24"/>
  <c r="W69" i="24"/>
  <c r="V69" i="24"/>
  <c r="V63" i="24"/>
  <c r="W63" i="24"/>
  <c r="X63" i="24"/>
  <c r="Y63" i="24"/>
  <c r="Y62" i="24"/>
  <c r="X62" i="24"/>
  <c r="W62" i="24"/>
  <c r="V62" i="24"/>
  <c r="V59" i="24"/>
  <c r="W59" i="24"/>
  <c r="X59" i="24"/>
  <c r="Y59" i="24"/>
  <c r="Y55" i="24"/>
  <c r="X55" i="24"/>
  <c r="V55" i="24"/>
  <c r="V52" i="24"/>
  <c r="W52" i="24"/>
  <c r="Y52" i="24"/>
  <c r="V20" i="24"/>
  <c r="W20" i="24"/>
  <c r="X20" i="24"/>
  <c r="Y20" i="24"/>
  <c r="V21" i="24"/>
  <c r="W21" i="24"/>
  <c r="X21" i="24"/>
  <c r="Y21" i="24"/>
  <c r="V25" i="24"/>
  <c r="X25" i="24"/>
  <c r="Y25" i="24"/>
  <c r="V26" i="24"/>
  <c r="X26" i="24"/>
  <c r="Y26" i="24"/>
  <c r="V30" i="24"/>
  <c r="X30" i="24"/>
  <c r="Y30" i="24"/>
  <c r="V31" i="24"/>
  <c r="X31" i="24"/>
  <c r="Y31" i="24"/>
  <c r="V32" i="24"/>
  <c r="X32" i="24"/>
  <c r="Y32" i="24"/>
  <c r="V36" i="24"/>
  <c r="X36" i="24"/>
  <c r="Y36" i="24"/>
  <c r="V38" i="24"/>
  <c r="X38" i="24"/>
  <c r="Y38" i="24"/>
  <c r="V41" i="24"/>
  <c r="X41" i="24"/>
  <c r="Y41" i="24"/>
  <c r="V42" i="24"/>
  <c r="X42" i="24"/>
  <c r="Y42" i="24"/>
  <c r="V43" i="24"/>
  <c r="W43" i="24"/>
  <c r="X43" i="24"/>
  <c r="Y43" i="24"/>
  <c r="BJ52" i="24"/>
  <c r="F52" i="24" s="1"/>
  <c r="F38" i="24"/>
  <c r="G38" i="24" s="1"/>
  <c r="AB116" i="24"/>
  <c r="AD116" i="24"/>
  <c r="AF116" i="24"/>
  <c r="AH116" i="24"/>
  <c r="AJ116" i="24"/>
  <c r="AL116" i="24"/>
  <c r="AN116" i="24"/>
  <c r="AP116" i="24"/>
  <c r="AR116" i="24"/>
  <c r="AT116" i="24"/>
  <c r="AV116" i="24"/>
  <c r="AX116" i="24"/>
  <c r="AZ116" i="24"/>
  <c r="BB116" i="24"/>
  <c r="BD116" i="24"/>
  <c r="BF116" i="24"/>
  <c r="BH116" i="24"/>
  <c r="AB97" i="24"/>
  <c r="AD97" i="24"/>
  <c r="AF97" i="24"/>
  <c r="AH97" i="24"/>
  <c r="AJ97" i="24"/>
  <c r="AL97" i="24"/>
  <c r="AN97" i="24"/>
  <c r="AP97" i="24"/>
  <c r="AR97" i="24"/>
  <c r="AT97" i="24"/>
  <c r="AV97" i="24"/>
  <c r="AX97" i="24"/>
  <c r="AZ97" i="24"/>
  <c r="BB97" i="24"/>
  <c r="BD97" i="24"/>
  <c r="BF97" i="24"/>
  <c r="BH97" i="24"/>
  <c r="AB87" i="24"/>
  <c r="AD87" i="24"/>
  <c r="AF87" i="24"/>
  <c r="AH87" i="24"/>
  <c r="AJ87" i="24"/>
  <c r="AL87" i="24"/>
  <c r="AN87" i="24"/>
  <c r="AP87" i="24"/>
  <c r="AR87" i="24"/>
  <c r="AT87" i="24"/>
  <c r="AV87" i="24"/>
  <c r="AX87" i="24"/>
  <c r="AZ87" i="24"/>
  <c r="BB87" i="24"/>
  <c r="BD87" i="24"/>
  <c r="BF87" i="24"/>
  <c r="BH87" i="24"/>
  <c r="AB65" i="24"/>
  <c r="AD65" i="24"/>
  <c r="AF65" i="24"/>
  <c r="AH65" i="24"/>
  <c r="AJ65" i="24"/>
  <c r="AL65" i="24"/>
  <c r="AN65" i="24"/>
  <c r="AP65" i="24"/>
  <c r="AR65" i="24"/>
  <c r="AT65" i="24"/>
  <c r="AV65" i="24"/>
  <c r="AX65" i="24"/>
  <c r="AZ65" i="24"/>
  <c r="BB65" i="24"/>
  <c r="BD65" i="24"/>
  <c r="BF65" i="24"/>
  <c r="BH65" i="24"/>
  <c r="BH60" i="24"/>
  <c r="AB53" i="24"/>
  <c r="AD53" i="24"/>
  <c r="AF53" i="24"/>
  <c r="AH53" i="24"/>
  <c r="AJ53" i="24"/>
  <c r="AL53" i="24"/>
  <c r="AN53" i="24"/>
  <c r="AP53" i="24"/>
  <c r="AR53" i="24"/>
  <c r="AT53" i="24"/>
  <c r="AV53" i="24"/>
  <c r="AX53" i="24"/>
  <c r="AZ53" i="24"/>
  <c r="BB53" i="24"/>
  <c r="BD53" i="24"/>
  <c r="BF53" i="24"/>
  <c r="BH53" i="24"/>
  <c r="AB44" i="24"/>
  <c r="AD44" i="24"/>
  <c r="AF44" i="24"/>
  <c r="AH44" i="24"/>
  <c r="AJ44" i="24"/>
  <c r="AL44" i="24"/>
  <c r="AN44" i="24"/>
  <c r="AP44" i="24"/>
  <c r="AR44" i="24"/>
  <c r="AT44" i="24"/>
  <c r="AV44" i="24"/>
  <c r="AX44" i="24"/>
  <c r="AZ44" i="24"/>
  <c r="BB44" i="24"/>
  <c r="BD44" i="24"/>
  <c r="BF44" i="24"/>
  <c r="BH44" i="24"/>
  <c r="AD17" i="24"/>
  <c r="AF17" i="24"/>
  <c r="AH17" i="24"/>
  <c r="AJ17" i="24"/>
  <c r="AL17" i="24"/>
  <c r="AN17" i="24"/>
  <c r="AP17" i="24"/>
  <c r="AR17" i="24"/>
  <c r="AT17" i="24"/>
  <c r="AV17" i="24"/>
  <c r="AX17" i="24"/>
  <c r="AZ17" i="24"/>
  <c r="BB17" i="24"/>
  <c r="BD17" i="24"/>
  <c r="BF17" i="24"/>
  <c r="BI101" i="24"/>
  <c r="BI102" i="24"/>
  <c r="BI103" i="24"/>
  <c r="BI104" i="24"/>
  <c r="BI105" i="24"/>
  <c r="BI106" i="24"/>
  <c r="BI107" i="24"/>
  <c r="BI111" i="24"/>
  <c r="BI112" i="24"/>
  <c r="BI113" i="24"/>
  <c r="BI100" i="24"/>
  <c r="BI90" i="24"/>
  <c r="BI92" i="24"/>
  <c r="BI94" i="24"/>
  <c r="BI95" i="24"/>
  <c r="BI70" i="24"/>
  <c r="BI72" i="24"/>
  <c r="BI73" i="24"/>
  <c r="BI74" i="24"/>
  <c r="BI75" i="24"/>
  <c r="BI76" i="24"/>
  <c r="BI77" i="24"/>
  <c r="BI78" i="24"/>
  <c r="BI79" i="24"/>
  <c r="BI80" i="24"/>
  <c r="BI81" i="24"/>
  <c r="BI82" i="24"/>
  <c r="BI83" i="24"/>
  <c r="BI84" i="24"/>
  <c r="BI69" i="24"/>
  <c r="BI63" i="24"/>
  <c r="BI62" i="24"/>
  <c r="BI56" i="24"/>
  <c r="BI59" i="24"/>
  <c r="BI55" i="24"/>
  <c r="BI52" i="24"/>
  <c r="BI20" i="24"/>
  <c r="BI21" i="24"/>
  <c r="BI25" i="24"/>
  <c r="BI26" i="24"/>
  <c r="BI30" i="24"/>
  <c r="BI31" i="24"/>
  <c r="BI32" i="24"/>
  <c r="BI36" i="24"/>
  <c r="BI38" i="24"/>
  <c r="BI41" i="24"/>
  <c r="BI42" i="24"/>
  <c r="BI43" i="24"/>
  <c r="BI13" i="24"/>
  <c r="BG13" i="24"/>
  <c r="BG18" i="24"/>
  <c r="BG20" i="24"/>
  <c r="BG21" i="24"/>
  <c r="BG25" i="24"/>
  <c r="BG26" i="24"/>
  <c r="BG30" i="24"/>
  <c r="BG31" i="24"/>
  <c r="BG32" i="24"/>
  <c r="BG36" i="24"/>
  <c r="BG38" i="24"/>
  <c r="BG41" i="24"/>
  <c r="BG42" i="24"/>
  <c r="BG43" i="24"/>
  <c r="BG45" i="24"/>
  <c r="BG46" i="24"/>
  <c r="BG52" i="24"/>
  <c r="BG54" i="24"/>
  <c r="BG55" i="24"/>
  <c r="BG59" i="24"/>
  <c r="BG61" i="24"/>
  <c r="BG62" i="24"/>
  <c r="BG63" i="24"/>
  <c r="BG67" i="24"/>
  <c r="BG68" i="24"/>
  <c r="BG69" i="24"/>
  <c r="BG70" i="24"/>
  <c r="BG72" i="24"/>
  <c r="BG73" i="24"/>
  <c r="BG74" i="24"/>
  <c r="BG75" i="24"/>
  <c r="BG76" i="24"/>
  <c r="BG77" i="24"/>
  <c r="BG78" i="24"/>
  <c r="BG79" i="24"/>
  <c r="BG80" i="24"/>
  <c r="BG81" i="24"/>
  <c r="BG82" i="24"/>
  <c r="BG83" i="24"/>
  <c r="BG84" i="24"/>
  <c r="BG88" i="24"/>
  <c r="BG90" i="24"/>
  <c r="BG92" i="24"/>
  <c r="BG94" i="24"/>
  <c r="BG95" i="24"/>
  <c r="BG99" i="24"/>
  <c r="BG100" i="24"/>
  <c r="BG101" i="24"/>
  <c r="BG102" i="24"/>
  <c r="BG103" i="24"/>
  <c r="BG104" i="24"/>
  <c r="BG105" i="24"/>
  <c r="BG106" i="24"/>
  <c r="BG107" i="24"/>
  <c r="BG111" i="24"/>
  <c r="BG112" i="24"/>
  <c r="BG113" i="24"/>
  <c r="BE13" i="24"/>
  <c r="BE18" i="24"/>
  <c r="BE20" i="24"/>
  <c r="BE21" i="24"/>
  <c r="BE25" i="24"/>
  <c r="BE26" i="24"/>
  <c r="BE30" i="24"/>
  <c r="BE31" i="24"/>
  <c r="BE32" i="24"/>
  <c r="BE36" i="24"/>
  <c r="BE38" i="24"/>
  <c r="BE41" i="24"/>
  <c r="BE42" i="24"/>
  <c r="BE43" i="24"/>
  <c r="BE45" i="24"/>
  <c r="BE46" i="24"/>
  <c r="BE52" i="24"/>
  <c r="BE54" i="24"/>
  <c r="BE55" i="24"/>
  <c r="BE59" i="24"/>
  <c r="BE61" i="24"/>
  <c r="BE62" i="24"/>
  <c r="BE63" i="24"/>
  <c r="BE67" i="24"/>
  <c r="BE68" i="24"/>
  <c r="BE69" i="24"/>
  <c r="BE70" i="24"/>
  <c r="BE72" i="24"/>
  <c r="BE73" i="24"/>
  <c r="BE74" i="24"/>
  <c r="BE75" i="24"/>
  <c r="BE76" i="24"/>
  <c r="BE77" i="24"/>
  <c r="BE78" i="24"/>
  <c r="BE79" i="24"/>
  <c r="BE80" i="24"/>
  <c r="BE81" i="24"/>
  <c r="BE82" i="24"/>
  <c r="BE83" i="24"/>
  <c r="BE84" i="24"/>
  <c r="BE88" i="24"/>
  <c r="BE90" i="24"/>
  <c r="BE92" i="24"/>
  <c r="BE94" i="24"/>
  <c r="BE95" i="24"/>
  <c r="BE99" i="24"/>
  <c r="BE100" i="24"/>
  <c r="BE101" i="24"/>
  <c r="BE102" i="24"/>
  <c r="BE103" i="24"/>
  <c r="BE104" i="24"/>
  <c r="BE105" i="24"/>
  <c r="BE106" i="24"/>
  <c r="BE107" i="24"/>
  <c r="BE111" i="24"/>
  <c r="BE112" i="24"/>
  <c r="BE113" i="24"/>
  <c r="BC13" i="24"/>
  <c r="BC18" i="24"/>
  <c r="BC20" i="24"/>
  <c r="BC21" i="24"/>
  <c r="BC25" i="24"/>
  <c r="BC26" i="24"/>
  <c r="BC30" i="24"/>
  <c r="BC31" i="24"/>
  <c r="BC32" i="24"/>
  <c r="BC36" i="24"/>
  <c r="BC38" i="24"/>
  <c r="BC41" i="24"/>
  <c r="BC42" i="24"/>
  <c r="BC43" i="24"/>
  <c r="BC45" i="24"/>
  <c r="BC46" i="24"/>
  <c r="BC52" i="24"/>
  <c r="BC54" i="24"/>
  <c r="BC55" i="24"/>
  <c r="BC59" i="24"/>
  <c r="BC61" i="24"/>
  <c r="BC62" i="24"/>
  <c r="BC63" i="24"/>
  <c r="BC67" i="24"/>
  <c r="BC68" i="24"/>
  <c r="BC69" i="24"/>
  <c r="BC70" i="24"/>
  <c r="BC72" i="24"/>
  <c r="BC73" i="24"/>
  <c r="BC74" i="24"/>
  <c r="BC75" i="24"/>
  <c r="BC76" i="24"/>
  <c r="BC77" i="24"/>
  <c r="BC78" i="24"/>
  <c r="BC79" i="24"/>
  <c r="BC80" i="24"/>
  <c r="BC81" i="24"/>
  <c r="BC82" i="24"/>
  <c r="BC83" i="24"/>
  <c r="BC84" i="24"/>
  <c r="BC88" i="24"/>
  <c r="BC90" i="24"/>
  <c r="BC92" i="24"/>
  <c r="BC94" i="24"/>
  <c r="BC95" i="24"/>
  <c r="BC99" i="24"/>
  <c r="BC100" i="24"/>
  <c r="BC101" i="24"/>
  <c r="BC102" i="24"/>
  <c r="BC103" i="24"/>
  <c r="BC104" i="24"/>
  <c r="BC105" i="24"/>
  <c r="BC106" i="24"/>
  <c r="BC107" i="24"/>
  <c r="BC111" i="24"/>
  <c r="BC112" i="24"/>
  <c r="BC113" i="24"/>
  <c r="BA13" i="24"/>
  <c r="BA18" i="24"/>
  <c r="BA20" i="24"/>
  <c r="BA21" i="24"/>
  <c r="BA25" i="24"/>
  <c r="BA26" i="24"/>
  <c r="BA30" i="24"/>
  <c r="BA31" i="24"/>
  <c r="BA32" i="24"/>
  <c r="BA36" i="24"/>
  <c r="BA38" i="24"/>
  <c r="BA41" i="24"/>
  <c r="BA42" i="24"/>
  <c r="BA43" i="24"/>
  <c r="BA45" i="24"/>
  <c r="BA46" i="24"/>
  <c r="BA52" i="24"/>
  <c r="BA54" i="24"/>
  <c r="BA55" i="24"/>
  <c r="BA59" i="24"/>
  <c r="BA61" i="24"/>
  <c r="BA62" i="24"/>
  <c r="BA63" i="24"/>
  <c r="BA67" i="24"/>
  <c r="BA68" i="24"/>
  <c r="BA69" i="24"/>
  <c r="BA70" i="24"/>
  <c r="BA72" i="24"/>
  <c r="BA73" i="24"/>
  <c r="BA74" i="24"/>
  <c r="BA75" i="24"/>
  <c r="BA76" i="24"/>
  <c r="BA77" i="24"/>
  <c r="BA78" i="24"/>
  <c r="BA79" i="24"/>
  <c r="BA80" i="24"/>
  <c r="BA81" i="24"/>
  <c r="BA82" i="24"/>
  <c r="BA83" i="24"/>
  <c r="BA84" i="24"/>
  <c r="BA88" i="24"/>
  <c r="BA90" i="24"/>
  <c r="BA92" i="24"/>
  <c r="BA94" i="24"/>
  <c r="BA95" i="24"/>
  <c r="BA99" i="24"/>
  <c r="BA100" i="24"/>
  <c r="BA101" i="24"/>
  <c r="BA102" i="24"/>
  <c r="BA103" i="24"/>
  <c r="BA104" i="24"/>
  <c r="BA105" i="24"/>
  <c r="BA106" i="24"/>
  <c r="BA107" i="24"/>
  <c r="BA111" i="24"/>
  <c r="BA112" i="24"/>
  <c r="BA113" i="24"/>
  <c r="AY13" i="24"/>
  <c r="AY18" i="24"/>
  <c r="AY20" i="24"/>
  <c r="AY21" i="24"/>
  <c r="AY25" i="24"/>
  <c r="AY26" i="24"/>
  <c r="AY30" i="24"/>
  <c r="AY31" i="24"/>
  <c r="AY32" i="24"/>
  <c r="AY36" i="24"/>
  <c r="AY38" i="24"/>
  <c r="AY41" i="24"/>
  <c r="AY42" i="24"/>
  <c r="AY43" i="24"/>
  <c r="AY45" i="24"/>
  <c r="AY46" i="24"/>
  <c r="AY52" i="24"/>
  <c r="AY54" i="24"/>
  <c r="AY55" i="24"/>
  <c r="AY59" i="24"/>
  <c r="AY61" i="24"/>
  <c r="AY62" i="24"/>
  <c r="AY63" i="24"/>
  <c r="AY67" i="24"/>
  <c r="AY68" i="24"/>
  <c r="AY69" i="24"/>
  <c r="AY70" i="24"/>
  <c r="AY72" i="24"/>
  <c r="AY73" i="24"/>
  <c r="AY74" i="24"/>
  <c r="AY75" i="24"/>
  <c r="AY76" i="24"/>
  <c r="AY77" i="24"/>
  <c r="AY78" i="24"/>
  <c r="AY79" i="24"/>
  <c r="AY80" i="24"/>
  <c r="AY81" i="24"/>
  <c r="AY82" i="24"/>
  <c r="AY83" i="24"/>
  <c r="AY84" i="24"/>
  <c r="AY88" i="24"/>
  <c r="AY90" i="24"/>
  <c r="AY92" i="24"/>
  <c r="AY94" i="24"/>
  <c r="AY95" i="24"/>
  <c r="AY99" i="24"/>
  <c r="AY100" i="24"/>
  <c r="AY101" i="24"/>
  <c r="AY102" i="24"/>
  <c r="AY103" i="24"/>
  <c r="AY104" i="24"/>
  <c r="AY105" i="24"/>
  <c r="AY106" i="24"/>
  <c r="AY107" i="24"/>
  <c r="AY111" i="24"/>
  <c r="AY112" i="24"/>
  <c r="AY113" i="24"/>
  <c r="AW13" i="24"/>
  <c r="AW18" i="24"/>
  <c r="AW20" i="24"/>
  <c r="AW21" i="24"/>
  <c r="AW25" i="24"/>
  <c r="AW26" i="24"/>
  <c r="AW30" i="24"/>
  <c r="AW31" i="24"/>
  <c r="AW32" i="24"/>
  <c r="AW36" i="24"/>
  <c r="AW38" i="24"/>
  <c r="AW41" i="24"/>
  <c r="AW42" i="24"/>
  <c r="AW43" i="24"/>
  <c r="AW45" i="24"/>
  <c r="AW46" i="24"/>
  <c r="AW52" i="24"/>
  <c r="AW54" i="24"/>
  <c r="AW55" i="24"/>
  <c r="AW59" i="24"/>
  <c r="AW61" i="24"/>
  <c r="AW62" i="24"/>
  <c r="AW63" i="24"/>
  <c r="AW67" i="24"/>
  <c r="AW68" i="24"/>
  <c r="AW69" i="24"/>
  <c r="AW70" i="24"/>
  <c r="AW72" i="24"/>
  <c r="AW73" i="24"/>
  <c r="AW74" i="24"/>
  <c r="AW75" i="24"/>
  <c r="AW76" i="24"/>
  <c r="AW77" i="24"/>
  <c r="AW78" i="24"/>
  <c r="AW79" i="24"/>
  <c r="AW80" i="24"/>
  <c r="AW81" i="24"/>
  <c r="AW82" i="24"/>
  <c r="AW83" i="24"/>
  <c r="AW84" i="24"/>
  <c r="AW88" i="24"/>
  <c r="AW90" i="24"/>
  <c r="AW92" i="24"/>
  <c r="AW94" i="24"/>
  <c r="AW95" i="24"/>
  <c r="AW99" i="24"/>
  <c r="AW100" i="24"/>
  <c r="AW101" i="24"/>
  <c r="AW102" i="24"/>
  <c r="AW103" i="24"/>
  <c r="AW104" i="24"/>
  <c r="AW105" i="24"/>
  <c r="AW106" i="24"/>
  <c r="AW107" i="24"/>
  <c r="AW111" i="24"/>
  <c r="AW112" i="24"/>
  <c r="AW113" i="24"/>
  <c r="AU13" i="24"/>
  <c r="AU18" i="24"/>
  <c r="AU20" i="24"/>
  <c r="AU21" i="24"/>
  <c r="AU25" i="24"/>
  <c r="AU26" i="24"/>
  <c r="AU30" i="24"/>
  <c r="AU31" i="24"/>
  <c r="AU32" i="24"/>
  <c r="AU36" i="24"/>
  <c r="AU38" i="24"/>
  <c r="AU41" i="24"/>
  <c r="AU42" i="24"/>
  <c r="AU43" i="24"/>
  <c r="AU45" i="24"/>
  <c r="AU46" i="24"/>
  <c r="AU52" i="24"/>
  <c r="AU54" i="24"/>
  <c r="AU55" i="24"/>
  <c r="AU59" i="24"/>
  <c r="AU61" i="24"/>
  <c r="AU62" i="24"/>
  <c r="AU63" i="24"/>
  <c r="AU67" i="24"/>
  <c r="AU68" i="24"/>
  <c r="AU69" i="24"/>
  <c r="AU70" i="24"/>
  <c r="AU72" i="24"/>
  <c r="AU73" i="24"/>
  <c r="AU74" i="24"/>
  <c r="AU75" i="24"/>
  <c r="AU76" i="24"/>
  <c r="AU77" i="24"/>
  <c r="AU78" i="24"/>
  <c r="AU79" i="24"/>
  <c r="AU80" i="24"/>
  <c r="AU81" i="24"/>
  <c r="AU82" i="24"/>
  <c r="AU83" i="24"/>
  <c r="AU84" i="24"/>
  <c r="AU88" i="24"/>
  <c r="AU90" i="24"/>
  <c r="AU92" i="24"/>
  <c r="AU94" i="24"/>
  <c r="AU95" i="24"/>
  <c r="AU99" i="24"/>
  <c r="AU100" i="24"/>
  <c r="AU101" i="24"/>
  <c r="AU102" i="24"/>
  <c r="AU103" i="24"/>
  <c r="AU104" i="24"/>
  <c r="AU105" i="24"/>
  <c r="AU106" i="24"/>
  <c r="AU107" i="24"/>
  <c r="AU111" i="24"/>
  <c r="AU112" i="24"/>
  <c r="AU113" i="24"/>
  <c r="AS13" i="24"/>
  <c r="AS18" i="24"/>
  <c r="AS20" i="24"/>
  <c r="AS21" i="24"/>
  <c r="AS25" i="24"/>
  <c r="AS26" i="24"/>
  <c r="AS30" i="24"/>
  <c r="AS31" i="24"/>
  <c r="AS32" i="24"/>
  <c r="AS36" i="24"/>
  <c r="AS38" i="24"/>
  <c r="AS41" i="24"/>
  <c r="AS42" i="24"/>
  <c r="AS43" i="24"/>
  <c r="AS45" i="24"/>
  <c r="AS46" i="24"/>
  <c r="AS52" i="24"/>
  <c r="AS54" i="24"/>
  <c r="AS55" i="24"/>
  <c r="AS59" i="24"/>
  <c r="AS61" i="24"/>
  <c r="AS62" i="24"/>
  <c r="AS63" i="24"/>
  <c r="AS67" i="24"/>
  <c r="AS68" i="24"/>
  <c r="AS69" i="24"/>
  <c r="AS70" i="24"/>
  <c r="AS72" i="24"/>
  <c r="AS73" i="24"/>
  <c r="AS74" i="24"/>
  <c r="AS75" i="24"/>
  <c r="AS76" i="24"/>
  <c r="AS77" i="24"/>
  <c r="AS78" i="24"/>
  <c r="AS79" i="24"/>
  <c r="AS80" i="24"/>
  <c r="AS81" i="24"/>
  <c r="AS82" i="24"/>
  <c r="AS83" i="24"/>
  <c r="AS84" i="24"/>
  <c r="AS88" i="24"/>
  <c r="AS90" i="24"/>
  <c r="AS92" i="24"/>
  <c r="AS94" i="24"/>
  <c r="AS95" i="24"/>
  <c r="AS99" i="24"/>
  <c r="AS100" i="24"/>
  <c r="AS101" i="24"/>
  <c r="AS102" i="24"/>
  <c r="AS103" i="24"/>
  <c r="AS104" i="24"/>
  <c r="AS105" i="24"/>
  <c r="AS106" i="24"/>
  <c r="AS107" i="24"/>
  <c r="AS111" i="24"/>
  <c r="AS112" i="24"/>
  <c r="AS113" i="24"/>
  <c r="AQ13" i="24"/>
  <c r="AQ18" i="24"/>
  <c r="AQ20" i="24"/>
  <c r="AQ21" i="24"/>
  <c r="AQ25" i="24"/>
  <c r="AQ26" i="24"/>
  <c r="AQ30" i="24"/>
  <c r="AQ31" i="24"/>
  <c r="AQ32" i="24"/>
  <c r="AQ36" i="24"/>
  <c r="AQ38" i="24"/>
  <c r="AQ41" i="24"/>
  <c r="AQ42" i="24"/>
  <c r="AQ43" i="24"/>
  <c r="AQ45" i="24"/>
  <c r="AQ46" i="24"/>
  <c r="AQ52" i="24"/>
  <c r="AQ54" i="24"/>
  <c r="AQ55" i="24"/>
  <c r="AQ59" i="24"/>
  <c r="AQ61" i="24"/>
  <c r="AQ62" i="24"/>
  <c r="AQ63" i="24"/>
  <c r="AQ67" i="24"/>
  <c r="AQ68" i="24"/>
  <c r="AQ69" i="24"/>
  <c r="AQ70" i="24"/>
  <c r="AQ72" i="24"/>
  <c r="AQ73" i="24"/>
  <c r="AQ74" i="24"/>
  <c r="AQ75" i="24"/>
  <c r="AQ76" i="24"/>
  <c r="AQ77" i="24"/>
  <c r="AQ78" i="24"/>
  <c r="AQ79" i="24"/>
  <c r="AQ80" i="24"/>
  <c r="AQ81" i="24"/>
  <c r="AQ82" i="24"/>
  <c r="AQ83" i="24"/>
  <c r="AQ84" i="24"/>
  <c r="AQ88" i="24"/>
  <c r="AQ90" i="24"/>
  <c r="AQ92" i="24"/>
  <c r="AQ94" i="24"/>
  <c r="AQ95" i="24"/>
  <c r="AQ99" i="24"/>
  <c r="AQ100" i="24"/>
  <c r="AQ101" i="24"/>
  <c r="AQ102" i="24"/>
  <c r="AQ103" i="24"/>
  <c r="AQ104" i="24"/>
  <c r="AQ105" i="24"/>
  <c r="AQ106" i="24"/>
  <c r="AQ107" i="24"/>
  <c r="AQ111" i="24"/>
  <c r="AQ112" i="24"/>
  <c r="AQ113" i="24"/>
  <c r="AO13" i="24"/>
  <c r="AO18" i="24"/>
  <c r="AO20" i="24"/>
  <c r="AO21" i="24"/>
  <c r="AO25" i="24"/>
  <c r="AO26" i="24"/>
  <c r="AO30" i="24"/>
  <c r="AO31" i="24"/>
  <c r="AO32" i="24"/>
  <c r="AO36" i="24"/>
  <c r="AO38" i="24"/>
  <c r="AO41" i="24"/>
  <c r="AO42" i="24"/>
  <c r="AO43" i="24"/>
  <c r="AO45" i="24"/>
  <c r="AO46" i="24"/>
  <c r="AO52" i="24"/>
  <c r="AO54" i="24"/>
  <c r="AO55" i="24"/>
  <c r="AO59" i="24"/>
  <c r="AO61" i="24"/>
  <c r="AO62" i="24"/>
  <c r="AO63" i="24"/>
  <c r="AO67" i="24"/>
  <c r="AO68" i="24"/>
  <c r="AO69" i="24"/>
  <c r="AO70" i="24"/>
  <c r="AO72" i="24"/>
  <c r="AO73" i="24"/>
  <c r="AO74" i="24"/>
  <c r="AO75" i="24"/>
  <c r="AO76" i="24"/>
  <c r="AO77" i="24"/>
  <c r="AO78" i="24"/>
  <c r="AO79" i="24"/>
  <c r="AO80" i="24"/>
  <c r="AO81" i="24"/>
  <c r="AO82" i="24"/>
  <c r="AO83" i="24"/>
  <c r="AO84" i="24"/>
  <c r="AO88" i="24"/>
  <c r="AO90" i="24"/>
  <c r="AO92" i="24"/>
  <c r="AO94" i="24"/>
  <c r="AO95" i="24"/>
  <c r="AO99" i="24"/>
  <c r="AO100" i="24"/>
  <c r="AO101" i="24"/>
  <c r="AO102" i="24"/>
  <c r="AO103" i="24"/>
  <c r="AO104" i="24"/>
  <c r="AO105" i="24"/>
  <c r="AO106" i="24"/>
  <c r="AO107" i="24"/>
  <c r="AO111" i="24"/>
  <c r="AO112" i="24"/>
  <c r="AO113" i="24"/>
  <c r="AM13" i="24"/>
  <c r="AM18" i="24"/>
  <c r="AM20" i="24"/>
  <c r="AM21" i="24"/>
  <c r="AM25" i="24"/>
  <c r="AM26" i="24"/>
  <c r="AM30" i="24"/>
  <c r="AM31" i="24"/>
  <c r="AM32" i="24"/>
  <c r="AM36" i="24"/>
  <c r="AM38" i="24"/>
  <c r="AM41" i="24"/>
  <c r="AM42" i="24"/>
  <c r="AM43" i="24"/>
  <c r="AM45" i="24"/>
  <c r="AM46" i="24"/>
  <c r="AM52" i="24"/>
  <c r="AM54" i="24"/>
  <c r="AM55" i="24"/>
  <c r="AM59" i="24"/>
  <c r="AM61" i="24"/>
  <c r="AM62" i="24"/>
  <c r="AM63" i="24"/>
  <c r="AM67" i="24"/>
  <c r="AM68" i="24"/>
  <c r="AM69" i="24"/>
  <c r="AM70" i="24"/>
  <c r="AM72" i="24"/>
  <c r="AM73" i="24"/>
  <c r="AM74" i="24"/>
  <c r="AM75" i="24"/>
  <c r="AM76" i="24"/>
  <c r="AM77" i="24"/>
  <c r="AM78" i="24"/>
  <c r="AM79" i="24"/>
  <c r="AM80" i="24"/>
  <c r="AM81" i="24"/>
  <c r="AM82" i="24"/>
  <c r="AM83" i="24"/>
  <c r="AM84" i="24"/>
  <c r="AM88" i="24"/>
  <c r="AM90" i="24"/>
  <c r="AM92" i="24"/>
  <c r="AM94" i="24"/>
  <c r="AM95" i="24"/>
  <c r="AM99" i="24"/>
  <c r="AM100" i="24"/>
  <c r="AM101" i="24"/>
  <c r="AM102" i="24"/>
  <c r="AM103" i="24"/>
  <c r="AM104" i="24"/>
  <c r="AM105" i="24"/>
  <c r="AM106" i="24"/>
  <c r="AM107" i="24"/>
  <c r="AM111" i="24"/>
  <c r="AM112" i="24"/>
  <c r="AM113" i="24"/>
  <c r="AK13" i="24"/>
  <c r="AK18" i="24"/>
  <c r="AK20" i="24"/>
  <c r="AK21" i="24"/>
  <c r="AK25" i="24"/>
  <c r="AK26" i="24"/>
  <c r="AK30" i="24"/>
  <c r="AK31" i="24"/>
  <c r="AK32" i="24"/>
  <c r="AK36" i="24"/>
  <c r="AK38" i="24"/>
  <c r="AK41" i="24"/>
  <c r="AK42" i="24"/>
  <c r="AK43" i="24"/>
  <c r="AK45" i="24"/>
  <c r="AK46" i="24"/>
  <c r="AK52" i="24"/>
  <c r="AK54" i="24"/>
  <c r="AK55" i="24"/>
  <c r="AK59" i="24"/>
  <c r="AK61" i="24"/>
  <c r="AK62" i="24"/>
  <c r="AK63" i="24"/>
  <c r="AK67" i="24"/>
  <c r="AK68" i="24"/>
  <c r="AK69" i="24"/>
  <c r="AK70" i="24"/>
  <c r="AK72" i="24"/>
  <c r="AK73" i="24"/>
  <c r="AK74" i="24"/>
  <c r="AK75" i="24"/>
  <c r="AK76" i="24"/>
  <c r="AK77" i="24"/>
  <c r="AK78" i="24"/>
  <c r="AK79" i="24"/>
  <c r="AK80" i="24"/>
  <c r="AK81" i="24"/>
  <c r="AK82" i="24"/>
  <c r="AK83" i="24"/>
  <c r="AK84" i="24"/>
  <c r="AK88" i="24"/>
  <c r="AK90" i="24"/>
  <c r="AK92" i="24"/>
  <c r="AK94" i="24"/>
  <c r="AK95" i="24"/>
  <c r="AK99" i="24"/>
  <c r="AK100" i="24"/>
  <c r="AK101" i="24"/>
  <c r="AK102" i="24"/>
  <c r="AK103" i="24"/>
  <c r="AK104" i="24"/>
  <c r="AK105" i="24"/>
  <c r="AK106" i="24"/>
  <c r="AK107" i="24"/>
  <c r="AK111" i="24"/>
  <c r="AK112" i="24"/>
  <c r="AK113" i="24"/>
  <c r="AI13" i="24"/>
  <c r="AI18" i="24"/>
  <c r="AI20" i="24"/>
  <c r="AI21" i="24"/>
  <c r="AI25" i="24"/>
  <c r="AI26" i="24"/>
  <c r="AI30" i="24"/>
  <c r="AI31" i="24"/>
  <c r="AI32" i="24"/>
  <c r="AI36" i="24"/>
  <c r="AI38" i="24"/>
  <c r="AI41" i="24"/>
  <c r="AI42" i="24"/>
  <c r="AI43" i="24"/>
  <c r="AI45" i="24"/>
  <c r="AI46" i="24"/>
  <c r="AI52" i="24"/>
  <c r="AI54" i="24"/>
  <c r="AI55" i="24"/>
  <c r="AI59" i="24"/>
  <c r="AI61" i="24"/>
  <c r="AI62" i="24"/>
  <c r="AI63" i="24"/>
  <c r="AI67" i="24"/>
  <c r="AI68" i="24"/>
  <c r="AI69" i="24"/>
  <c r="AI70" i="24"/>
  <c r="AI72" i="24"/>
  <c r="AI73" i="24"/>
  <c r="AI74" i="24"/>
  <c r="AI75" i="24"/>
  <c r="AI76" i="24"/>
  <c r="AI77" i="24"/>
  <c r="AI78" i="24"/>
  <c r="AI79" i="24"/>
  <c r="AI80" i="24"/>
  <c r="AI81" i="24"/>
  <c r="AI82" i="24"/>
  <c r="AI83" i="24"/>
  <c r="AI84" i="24"/>
  <c r="AI88" i="24"/>
  <c r="AI90" i="24"/>
  <c r="AI92" i="24"/>
  <c r="AI94" i="24"/>
  <c r="AI95" i="24"/>
  <c r="AI99" i="24"/>
  <c r="AI100" i="24"/>
  <c r="AI101" i="24"/>
  <c r="AI102" i="24"/>
  <c r="AI103" i="24"/>
  <c r="AI104" i="24"/>
  <c r="AI105" i="24"/>
  <c r="AI106" i="24"/>
  <c r="AI107" i="24"/>
  <c r="AI111" i="24"/>
  <c r="AI112" i="24"/>
  <c r="AI113" i="24"/>
  <c r="AG13" i="24"/>
  <c r="AG18" i="24"/>
  <c r="AG20" i="24"/>
  <c r="AG21" i="24"/>
  <c r="AG25" i="24"/>
  <c r="AG26" i="24"/>
  <c r="AG30" i="24"/>
  <c r="AG31" i="24"/>
  <c r="AG32" i="24"/>
  <c r="AG36" i="24"/>
  <c r="AG38" i="24"/>
  <c r="AG41" i="24"/>
  <c r="AG42" i="24"/>
  <c r="AG43" i="24"/>
  <c r="AG45" i="24"/>
  <c r="AG46" i="24"/>
  <c r="AG52" i="24"/>
  <c r="AG54" i="24"/>
  <c r="AG55" i="24"/>
  <c r="AG59" i="24"/>
  <c r="AG61" i="24"/>
  <c r="AG62" i="24"/>
  <c r="AG63" i="24"/>
  <c r="AG67" i="24"/>
  <c r="AG68" i="24"/>
  <c r="AG69" i="24"/>
  <c r="AG70" i="24"/>
  <c r="AG72" i="24"/>
  <c r="AG73" i="24"/>
  <c r="AG74" i="24"/>
  <c r="AG75" i="24"/>
  <c r="AG76" i="24"/>
  <c r="AG77" i="24"/>
  <c r="AG78" i="24"/>
  <c r="AG79" i="24"/>
  <c r="AG80" i="24"/>
  <c r="AG81" i="24"/>
  <c r="AG82" i="24"/>
  <c r="AG83" i="24"/>
  <c r="AG84" i="24"/>
  <c r="AG88" i="24"/>
  <c r="AG90" i="24"/>
  <c r="AG92" i="24"/>
  <c r="AG94" i="24"/>
  <c r="AG95" i="24"/>
  <c r="AG99" i="24"/>
  <c r="AG100" i="24"/>
  <c r="AG101" i="24"/>
  <c r="AG102" i="24"/>
  <c r="AG103" i="24"/>
  <c r="AG104" i="24"/>
  <c r="AG105" i="24"/>
  <c r="AG106" i="24"/>
  <c r="AG107" i="24"/>
  <c r="AG111" i="24"/>
  <c r="AG112" i="24"/>
  <c r="AG113" i="24"/>
  <c r="AE13" i="24"/>
  <c r="AE18" i="24"/>
  <c r="AE20" i="24"/>
  <c r="AE21" i="24"/>
  <c r="AE25" i="24"/>
  <c r="AE26" i="24"/>
  <c r="AE30" i="24"/>
  <c r="AE31" i="24"/>
  <c r="AE32" i="24"/>
  <c r="AE36" i="24"/>
  <c r="AE38" i="24"/>
  <c r="AE41" i="24"/>
  <c r="AE42" i="24"/>
  <c r="AE43" i="24"/>
  <c r="AE45" i="24"/>
  <c r="AE46" i="24"/>
  <c r="AE52" i="24"/>
  <c r="AE54" i="24"/>
  <c r="AE55" i="24"/>
  <c r="AE59" i="24"/>
  <c r="AE61" i="24"/>
  <c r="AE62" i="24"/>
  <c r="AE63" i="24"/>
  <c r="AE67" i="24"/>
  <c r="AE68" i="24"/>
  <c r="AE69" i="24"/>
  <c r="AE70" i="24"/>
  <c r="AE72" i="24"/>
  <c r="AE73" i="24"/>
  <c r="AE74" i="24"/>
  <c r="AE75" i="24"/>
  <c r="AE76" i="24"/>
  <c r="AE77" i="24"/>
  <c r="AE78" i="24"/>
  <c r="AE79" i="24"/>
  <c r="AE80" i="24"/>
  <c r="AE81" i="24"/>
  <c r="AE82" i="24"/>
  <c r="AE83" i="24"/>
  <c r="AE84" i="24"/>
  <c r="AE88" i="24"/>
  <c r="AE90" i="24"/>
  <c r="AE92" i="24"/>
  <c r="AE94" i="24"/>
  <c r="AE95" i="24"/>
  <c r="AE99" i="24"/>
  <c r="AE100" i="24"/>
  <c r="AE101" i="24"/>
  <c r="AE102" i="24"/>
  <c r="AE103" i="24"/>
  <c r="AE104" i="24"/>
  <c r="AE105" i="24"/>
  <c r="AE106" i="24"/>
  <c r="AE107" i="24"/>
  <c r="AE111" i="24"/>
  <c r="AE112" i="24"/>
  <c r="AE113" i="24"/>
  <c r="AC13" i="24"/>
  <c r="AC18" i="24"/>
  <c r="AC20" i="24"/>
  <c r="AC21" i="24"/>
  <c r="AC25" i="24"/>
  <c r="AC26" i="24"/>
  <c r="AC30" i="24"/>
  <c r="AC31" i="24"/>
  <c r="AC32" i="24"/>
  <c r="AC36" i="24"/>
  <c r="AC38" i="24"/>
  <c r="AC41" i="24"/>
  <c r="AC42" i="24"/>
  <c r="AC43" i="24"/>
  <c r="AC45" i="24"/>
  <c r="AC46" i="24"/>
  <c r="AC52" i="24"/>
  <c r="AC54" i="24"/>
  <c r="AC55" i="24"/>
  <c r="AC59" i="24"/>
  <c r="AC61" i="24"/>
  <c r="AC62" i="24"/>
  <c r="AC63" i="24"/>
  <c r="AC67" i="24"/>
  <c r="AC68" i="24"/>
  <c r="AC69" i="24"/>
  <c r="AC70" i="24"/>
  <c r="AC72" i="24"/>
  <c r="AC73" i="24"/>
  <c r="AC74" i="24"/>
  <c r="AC75" i="24"/>
  <c r="AC76" i="24"/>
  <c r="AC77" i="24"/>
  <c r="AC78" i="24"/>
  <c r="AC79" i="24"/>
  <c r="AC80" i="24"/>
  <c r="AC81" i="24"/>
  <c r="AC82" i="24"/>
  <c r="AC83" i="24"/>
  <c r="AC84" i="24"/>
  <c r="AC88" i="24"/>
  <c r="AC90" i="24"/>
  <c r="AC92" i="24"/>
  <c r="AC94" i="24"/>
  <c r="AC95" i="24"/>
  <c r="AC99" i="24"/>
  <c r="AC100" i="24"/>
  <c r="AC101" i="24"/>
  <c r="AC102" i="24"/>
  <c r="AC103" i="24"/>
  <c r="AC104" i="24"/>
  <c r="AC105" i="24"/>
  <c r="AC106" i="24"/>
  <c r="AC107" i="24"/>
  <c r="AC111" i="24"/>
  <c r="AC112" i="24"/>
  <c r="AC113" i="24"/>
  <c r="AA101" i="24"/>
  <c r="AA102" i="24"/>
  <c r="AA103" i="24"/>
  <c r="AA104" i="24"/>
  <c r="AA105" i="24"/>
  <c r="AA106" i="24"/>
  <c r="AA107" i="24"/>
  <c r="AA111" i="24"/>
  <c r="AA112" i="24"/>
  <c r="AA113" i="24"/>
  <c r="AA100" i="24"/>
  <c r="AA94" i="24"/>
  <c r="AA95" i="24"/>
  <c r="AA90" i="24"/>
  <c r="AA92" i="24"/>
  <c r="AA70" i="24"/>
  <c r="AA72" i="24"/>
  <c r="AA73" i="24"/>
  <c r="AA74" i="24"/>
  <c r="AA75" i="24"/>
  <c r="AA76" i="24"/>
  <c r="AA77" i="24"/>
  <c r="AA78" i="24"/>
  <c r="AA79" i="24"/>
  <c r="AA80" i="24"/>
  <c r="AA81" i="24"/>
  <c r="AA82" i="24"/>
  <c r="AA83" i="24"/>
  <c r="AA84" i="24"/>
  <c r="AA69" i="24"/>
  <c r="AA63" i="24"/>
  <c r="AA62" i="24"/>
  <c r="AA59" i="24"/>
  <c r="AA55" i="24"/>
  <c r="AA52" i="24"/>
  <c r="AA20" i="24"/>
  <c r="AA21" i="24"/>
  <c r="AA25" i="24"/>
  <c r="AA26" i="24"/>
  <c r="AA30" i="24"/>
  <c r="AA31" i="24"/>
  <c r="AA32" i="24"/>
  <c r="AA36" i="24"/>
  <c r="AA38" i="24"/>
  <c r="AA41" i="24"/>
  <c r="AA42" i="24"/>
  <c r="AA43" i="24"/>
  <c r="AA13" i="24"/>
  <c r="BJ62" i="24"/>
  <c r="F62" i="24" s="1"/>
  <c r="BJ59" i="24"/>
  <c r="F59" i="24" s="1"/>
  <c r="Z102" i="25"/>
  <c r="AA102" i="25" s="1"/>
  <c r="BJ53" i="25"/>
  <c r="F53" i="25" s="1"/>
  <c r="BS68" i="7" l="1"/>
  <c r="BV68" i="7" s="1"/>
  <c r="BZ68" i="7" s="1"/>
  <c r="BV16" i="33"/>
  <c r="BF98" i="24"/>
  <c r="AX98" i="24"/>
  <c r="AP98" i="24"/>
  <c r="AH98" i="24"/>
  <c r="AY78" i="25"/>
  <c r="BC78" i="25"/>
  <c r="BG78" i="25"/>
  <c r="BA78" i="25"/>
  <c r="BE78" i="25"/>
  <c r="AA78" i="25"/>
  <c r="AG78" i="25"/>
  <c r="AO78" i="25"/>
  <c r="AU78" i="25"/>
  <c r="AW78" i="25"/>
  <c r="AE78" i="25"/>
  <c r="AM78" i="25"/>
  <c r="AC78" i="25"/>
  <c r="AK78" i="25"/>
  <c r="AS78" i="25"/>
  <c r="AI78" i="25"/>
  <c r="AQ78" i="25"/>
  <c r="AZ98" i="24"/>
  <c r="AR98" i="24"/>
  <c r="AJ98" i="24"/>
  <c r="AB98" i="24"/>
  <c r="BK52" i="24"/>
  <c r="BB98" i="24"/>
  <c r="AT98" i="24"/>
  <c r="AL98" i="24"/>
  <c r="AD98" i="24"/>
  <c r="BH66" i="24"/>
  <c r="BD98" i="24"/>
  <c r="AV98" i="24"/>
  <c r="AN98" i="24"/>
  <c r="AF98" i="24"/>
  <c r="BH98" i="24"/>
  <c r="V42" i="37"/>
  <c r="W42" i="37"/>
  <c r="X42" i="37"/>
  <c r="Y42" i="37"/>
  <c r="V43" i="37"/>
  <c r="W43" i="37"/>
  <c r="X43" i="37"/>
  <c r="Y43" i="37"/>
  <c r="V14" i="37"/>
  <c r="V15" i="37"/>
  <c r="V16" i="37"/>
  <c r="V17" i="37"/>
  <c r="V18" i="37"/>
  <c r="V19" i="37"/>
  <c r="V20" i="37"/>
  <c r="V21" i="37"/>
  <c r="V22" i="37"/>
  <c r="V23" i="37"/>
  <c r="V24" i="37"/>
  <c r="W24" i="37"/>
  <c r="X24" i="37"/>
  <c r="Y24" i="37"/>
  <c r="V25" i="37"/>
  <c r="V26" i="37"/>
  <c r="W26" i="37"/>
  <c r="X26" i="37"/>
  <c r="Y26" i="37"/>
  <c r="V27" i="37"/>
  <c r="X27" i="37"/>
  <c r="V28" i="37"/>
  <c r="V29" i="37"/>
  <c r="W29" i="37"/>
  <c r="X29" i="37"/>
  <c r="Y29" i="37"/>
  <c r="V30" i="37"/>
  <c r="V31" i="37"/>
  <c r="Y31" i="37"/>
  <c r="V32" i="37"/>
  <c r="V33" i="37"/>
  <c r="W33" i="37"/>
  <c r="X33" i="37"/>
  <c r="Y33" i="37"/>
  <c r="V34" i="37"/>
  <c r="W34" i="37"/>
  <c r="X34" i="37"/>
  <c r="Y34" i="37"/>
  <c r="V35" i="37"/>
  <c r="W35" i="37"/>
  <c r="X35" i="37"/>
  <c r="Y35" i="37"/>
  <c r="V36" i="37"/>
  <c r="W36" i="37"/>
  <c r="X36" i="37"/>
  <c r="Y36" i="37"/>
  <c r="V37" i="37"/>
  <c r="W37" i="37"/>
  <c r="X37" i="37"/>
  <c r="Y37" i="37"/>
  <c r="V12" i="37"/>
  <c r="BJ36" i="37"/>
  <c r="AY42" i="37"/>
  <c r="AY43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32" i="37"/>
  <c r="AY33" i="37"/>
  <c r="AY34" i="37"/>
  <c r="AY35" i="37"/>
  <c r="AY36" i="37"/>
  <c r="AY37" i="37"/>
  <c r="AY16" i="37"/>
  <c r="AY14" i="37"/>
  <c r="AY12" i="37"/>
  <c r="AW42" i="37"/>
  <c r="AW43" i="37"/>
  <c r="AW16" i="37"/>
  <c r="AW17" i="37"/>
  <c r="AW18" i="37"/>
  <c r="AW19" i="37"/>
  <c r="AW20" i="37"/>
  <c r="AW21" i="37"/>
  <c r="AW22" i="37"/>
  <c r="AW23" i="37"/>
  <c r="AW24" i="37"/>
  <c r="AW25" i="37"/>
  <c r="AW26" i="37"/>
  <c r="AW27" i="37"/>
  <c r="AW28" i="37"/>
  <c r="AW29" i="37"/>
  <c r="AW30" i="37"/>
  <c r="AW31" i="37"/>
  <c r="AW32" i="37"/>
  <c r="AW33" i="37"/>
  <c r="AW34" i="37"/>
  <c r="AW35" i="37"/>
  <c r="AW36" i="37"/>
  <c r="AW37" i="37"/>
  <c r="AU42" i="37"/>
  <c r="AU43" i="37"/>
  <c r="AU14" i="37"/>
  <c r="AU15" i="37"/>
  <c r="AU16" i="37"/>
  <c r="AU17" i="37"/>
  <c r="AU18" i="37"/>
  <c r="AU19" i="37"/>
  <c r="AU20" i="37"/>
  <c r="AU21" i="37"/>
  <c r="AU22" i="37"/>
  <c r="AU23" i="37"/>
  <c r="AU24" i="37"/>
  <c r="AU25" i="37"/>
  <c r="AU26" i="37"/>
  <c r="AU27" i="37"/>
  <c r="AU28" i="37"/>
  <c r="AU29" i="37"/>
  <c r="AU30" i="37"/>
  <c r="AU31" i="37"/>
  <c r="AU32" i="37"/>
  <c r="AU33" i="37"/>
  <c r="AU34" i="37"/>
  <c r="AU35" i="37"/>
  <c r="AU36" i="37"/>
  <c r="AU37" i="37"/>
  <c r="AO42" i="37"/>
  <c r="AO43" i="37"/>
  <c r="AO14" i="37"/>
  <c r="AO15" i="37"/>
  <c r="AO16" i="37"/>
  <c r="AO17" i="37"/>
  <c r="AO18" i="37"/>
  <c r="AO19" i="37"/>
  <c r="AO20" i="37"/>
  <c r="AO21" i="37"/>
  <c r="AO22" i="37"/>
  <c r="AO23" i="37"/>
  <c r="AO24" i="37"/>
  <c r="AO25" i="37"/>
  <c r="AO26" i="37"/>
  <c r="AO27" i="37"/>
  <c r="AO28" i="37"/>
  <c r="AO29" i="37"/>
  <c r="AO30" i="37"/>
  <c r="AO31" i="37"/>
  <c r="AO32" i="37"/>
  <c r="AO33" i="37"/>
  <c r="AO34" i="37"/>
  <c r="AO35" i="37"/>
  <c r="AO36" i="37"/>
  <c r="AO37" i="37"/>
  <c r="AO12" i="37"/>
  <c r="AK42" i="37"/>
  <c r="AK43" i="37"/>
  <c r="AK14" i="37"/>
  <c r="AK15" i="37"/>
  <c r="AK16" i="37"/>
  <c r="AK17" i="37"/>
  <c r="AK18" i="37"/>
  <c r="AK19" i="37"/>
  <c r="AK20" i="37"/>
  <c r="AK21" i="37"/>
  <c r="AK22" i="37"/>
  <c r="AK23" i="37"/>
  <c r="AK24" i="37"/>
  <c r="AK25" i="37"/>
  <c r="AK26" i="37"/>
  <c r="AK27" i="37"/>
  <c r="AK28" i="37"/>
  <c r="AK29" i="37"/>
  <c r="AK30" i="37"/>
  <c r="AK31" i="37"/>
  <c r="AK32" i="37"/>
  <c r="AK33" i="37"/>
  <c r="AK34" i="37"/>
  <c r="AK35" i="37"/>
  <c r="AK36" i="37"/>
  <c r="AK37" i="37"/>
  <c r="AK12" i="37"/>
  <c r="AE42" i="38"/>
  <c r="AG42" i="38"/>
  <c r="AI42" i="38"/>
  <c r="AK42" i="38"/>
  <c r="AM42" i="38"/>
  <c r="AO42" i="38"/>
  <c r="AQ42" i="38"/>
  <c r="AS42" i="38"/>
  <c r="AU42" i="38"/>
  <c r="AW42" i="38"/>
  <c r="AY42" i="38"/>
  <c r="BA42" i="38"/>
  <c r="BC42" i="38"/>
  <c r="BE42" i="38"/>
  <c r="BG42" i="38"/>
  <c r="BI42" i="38"/>
  <c r="AC42" i="38"/>
  <c r="Z51" i="38"/>
  <c r="W51" i="38"/>
  <c r="W48" i="38"/>
  <c r="X48" i="38"/>
  <c r="Y48" i="38"/>
  <c r="Z48" i="38"/>
  <c r="Z44" i="38"/>
  <c r="Y44" i="38"/>
  <c r="X44" i="38"/>
  <c r="W44" i="38"/>
  <c r="W40" i="38"/>
  <c r="W41" i="38"/>
  <c r="X41" i="38"/>
  <c r="Y41" i="38"/>
  <c r="Z41" i="38"/>
  <c r="Z39" i="38"/>
  <c r="Y39" i="38"/>
  <c r="X39" i="38"/>
  <c r="W39" i="38"/>
  <c r="W28" i="38"/>
  <c r="X28" i="38"/>
  <c r="Y28" i="38"/>
  <c r="Z28" i="38"/>
  <c r="W30" i="38"/>
  <c r="X30" i="38"/>
  <c r="Y30" i="38"/>
  <c r="Z30" i="38"/>
  <c r="W31" i="38"/>
  <c r="X31" i="38"/>
  <c r="Y31" i="38"/>
  <c r="Z31" i="38"/>
  <c r="W32" i="38"/>
  <c r="X32" i="38"/>
  <c r="Y32" i="38"/>
  <c r="Z32" i="38"/>
  <c r="W33" i="38"/>
  <c r="X33" i="38"/>
  <c r="Y33" i="38"/>
  <c r="Z33" i="38"/>
  <c r="W34" i="38"/>
  <c r="X34" i="38"/>
  <c r="Y34" i="38"/>
  <c r="Z34" i="38"/>
  <c r="W35" i="38"/>
  <c r="X35" i="38"/>
  <c r="W36" i="38"/>
  <c r="X36" i="38"/>
  <c r="Y36" i="38"/>
  <c r="Z36" i="38"/>
  <c r="Z27" i="38"/>
  <c r="Y27" i="38"/>
  <c r="X27" i="38"/>
  <c r="W27" i="38"/>
  <c r="W24" i="38"/>
  <c r="X24" i="38"/>
  <c r="Y24" i="38"/>
  <c r="Z24" i="38"/>
  <c r="W18" i="38"/>
  <c r="X18" i="38"/>
  <c r="Y18" i="38"/>
  <c r="Z18" i="38"/>
  <c r="Z15" i="38"/>
  <c r="Y15" i="38"/>
  <c r="X15" i="38"/>
  <c r="W15" i="38"/>
  <c r="T49" i="38"/>
  <c r="U49" i="38"/>
  <c r="V49" i="38"/>
  <c r="S49" i="38"/>
  <c r="S42" i="38"/>
  <c r="V31" i="34"/>
  <c r="W31" i="34"/>
  <c r="X31" i="34"/>
  <c r="Y31" i="34"/>
  <c r="X12" i="34"/>
  <c r="Y12" i="34"/>
  <c r="X13" i="34"/>
  <c r="Y13" i="34"/>
  <c r="Y11" i="34"/>
  <c r="X11" i="34"/>
  <c r="AA27" i="33"/>
  <c r="AC27" i="33"/>
  <c r="AE27" i="33"/>
  <c r="AG27" i="33"/>
  <c r="AI27" i="33"/>
  <c r="AK27" i="33"/>
  <c r="AM27" i="33"/>
  <c r="AO27" i="33"/>
  <c r="AQ27" i="33"/>
  <c r="AS27" i="33"/>
  <c r="AU27" i="33"/>
  <c r="AW27" i="33"/>
  <c r="AY27" i="33"/>
  <c r="BA27" i="33"/>
  <c r="BC27" i="33"/>
  <c r="BE27" i="33"/>
  <c r="BG27" i="33"/>
  <c r="BI27" i="33"/>
  <c r="BP62" i="32"/>
  <c r="BQ62" i="32"/>
  <c r="BR62" i="32"/>
  <c r="W128" i="32"/>
  <c r="W129" i="32"/>
  <c r="Z129" i="32"/>
  <c r="Z127" i="32"/>
  <c r="X127" i="32"/>
  <c r="W127" i="32"/>
  <c r="Z112" i="32"/>
  <c r="W113" i="32"/>
  <c r="X113" i="32"/>
  <c r="Z113" i="32"/>
  <c r="W114" i="32"/>
  <c r="X114" i="32"/>
  <c r="Z114" i="32"/>
  <c r="W115" i="32"/>
  <c r="Y115" i="32"/>
  <c r="Y116" i="32"/>
  <c r="Z116" i="32"/>
  <c r="W117" i="32"/>
  <c r="X117" i="32"/>
  <c r="Z117" i="32"/>
  <c r="W118" i="32"/>
  <c r="X118" i="32"/>
  <c r="Z118" i="32"/>
  <c r="W119" i="32"/>
  <c r="X119" i="32"/>
  <c r="Z119" i="32"/>
  <c r="W120" i="32"/>
  <c r="Y120" i="32"/>
  <c r="W121" i="32"/>
  <c r="X121" i="32"/>
  <c r="Z121" i="32"/>
  <c r="W122" i="32"/>
  <c r="X122" i="32"/>
  <c r="Z122" i="32"/>
  <c r="W123" i="32"/>
  <c r="Z123" i="32"/>
  <c r="W124" i="32"/>
  <c r="Z124" i="32"/>
  <c r="Z111" i="32"/>
  <c r="W111" i="32"/>
  <c r="W90" i="32"/>
  <c r="Z90" i="32"/>
  <c r="Z91" i="32"/>
  <c r="W92" i="32"/>
  <c r="Z92" i="32"/>
  <c r="Y93" i="32"/>
  <c r="Z93" i="32"/>
  <c r="W94" i="32"/>
  <c r="Z94" i="32"/>
  <c r="W95" i="32"/>
  <c r="Z95" i="32"/>
  <c r="W96" i="32"/>
  <c r="X96" i="32"/>
  <c r="Z96" i="32"/>
  <c r="W97" i="32"/>
  <c r="X97" i="32"/>
  <c r="Z97" i="32"/>
  <c r="W98" i="32"/>
  <c r="X98" i="32"/>
  <c r="Z98" i="32"/>
  <c r="W99" i="32"/>
  <c r="X99" i="32"/>
  <c r="Z99" i="32"/>
  <c r="Y100" i="32"/>
  <c r="Z100" i="32"/>
  <c r="W101" i="32"/>
  <c r="X101" i="32"/>
  <c r="Z101" i="32"/>
  <c r="W102" i="32"/>
  <c r="X102" i="32"/>
  <c r="Z102" i="32"/>
  <c r="Y103" i="32"/>
  <c r="Z103" i="32"/>
  <c r="Y104" i="32"/>
  <c r="Z104" i="32"/>
  <c r="W105" i="32"/>
  <c r="X105" i="32"/>
  <c r="Y105" i="32"/>
  <c r="Z105" i="32"/>
  <c r="W106" i="32"/>
  <c r="X106" i="32"/>
  <c r="Y106" i="32"/>
  <c r="Z106" i="32"/>
  <c r="W107" i="32"/>
  <c r="X107" i="32"/>
  <c r="Y107" i="32"/>
  <c r="Z107" i="32"/>
  <c r="W108" i="32"/>
  <c r="X108" i="32"/>
  <c r="Y108" i="32"/>
  <c r="Z108" i="32"/>
  <c r="Z89" i="32"/>
  <c r="Z80" i="32"/>
  <c r="Z81" i="32"/>
  <c r="Z82" i="32"/>
  <c r="Z83" i="32"/>
  <c r="Z84" i="32"/>
  <c r="Z85" i="32"/>
  <c r="Z86" i="32"/>
  <c r="Z79" i="32"/>
  <c r="Y65" i="32"/>
  <c r="Z65" i="32"/>
  <c r="Y66" i="32"/>
  <c r="Z66" i="32"/>
  <c r="Y67" i="32"/>
  <c r="Z67" i="32"/>
  <c r="Y68" i="32"/>
  <c r="Z68" i="32"/>
  <c r="Z69" i="32"/>
  <c r="Z70" i="32"/>
  <c r="Y71" i="32"/>
  <c r="Z71" i="32"/>
  <c r="Z72" i="32"/>
  <c r="Z73" i="32"/>
  <c r="Y74" i="32"/>
  <c r="Z74" i="32"/>
  <c r="Z75" i="32"/>
  <c r="Z76" i="32"/>
  <c r="Z64" i="32"/>
  <c r="Y64" i="32"/>
  <c r="X19" i="32"/>
  <c r="W17" i="32"/>
  <c r="AR83" i="32"/>
  <c r="AR85" i="32"/>
  <c r="BF85" i="32"/>
  <c r="BH85" i="32"/>
  <c r="BK85" i="32"/>
  <c r="I45" i="32"/>
  <c r="J45" i="32"/>
  <c r="K45" i="32"/>
  <c r="L45" i="32"/>
  <c r="M45" i="32"/>
  <c r="O45" i="32"/>
  <c r="P45" i="32"/>
  <c r="Q45" i="32"/>
  <c r="R45" i="32"/>
  <c r="AA45" i="32"/>
  <c r="AC45" i="32"/>
  <c r="AE45" i="32"/>
  <c r="AG45" i="32"/>
  <c r="AI45" i="32"/>
  <c r="AK45" i="32"/>
  <c r="AM45" i="32"/>
  <c r="AO45" i="32"/>
  <c r="AQ45" i="32"/>
  <c r="AS45" i="32"/>
  <c r="AU45" i="32"/>
  <c r="AW45" i="32"/>
  <c r="AY45" i="32"/>
  <c r="BA45" i="32"/>
  <c r="BC45" i="32"/>
  <c r="BE45" i="32"/>
  <c r="BG45" i="32"/>
  <c r="BI45" i="32"/>
  <c r="BK19" i="32"/>
  <c r="C15" i="20"/>
  <c r="BO50" i="28"/>
  <c r="BP50" i="28"/>
  <c r="BS50" i="28"/>
  <c r="BT50" i="28"/>
  <c r="BN50" i="28"/>
  <c r="R50" i="28"/>
  <c r="S50" i="28"/>
  <c r="Z50" i="28"/>
  <c r="AB50" i="28"/>
  <c r="AD50" i="28"/>
  <c r="AF50" i="28"/>
  <c r="AH50" i="28"/>
  <c r="AJ50" i="28"/>
  <c r="AL50" i="28"/>
  <c r="AN50" i="28"/>
  <c r="AP50" i="28"/>
  <c r="AR50" i="28"/>
  <c r="AT50" i="28"/>
  <c r="AV50" i="28"/>
  <c r="AX50" i="28"/>
  <c r="AZ50" i="28"/>
  <c r="BB50" i="28"/>
  <c r="BD50" i="28"/>
  <c r="BF50" i="28"/>
  <c r="BH50" i="28"/>
  <c r="BG49" i="28"/>
  <c r="BI49" i="28"/>
  <c r="BE49" i="28"/>
  <c r="BC49" i="28"/>
  <c r="AY49" i="28"/>
  <c r="BA49" i="28"/>
  <c r="AW49" i="28"/>
  <c r="AU49" i="28"/>
  <c r="AS49" i="28"/>
  <c r="AQ49" i="28"/>
  <c r="AO49" i="28"/>
  <c r="AM49" i="28"/>
  <c r="AK49" i="28"/>
  <c r="AI49" i="28"/>
  <c r="AG49" i="28"/>
  <c r="AE49" i="28"/>
  <c r="AC49" i="28"/>
  <c r="AA49" i="28"/>
  <c r="V49" i="28"/>
  <c r="W49" i="28"/>
  <c r="X49" i="28"/>
  <c r="Y49" i="28"/>
  <c r="BJ49" i="28"/>
  <c r="F49" i="28" s="1"/>
  <c r="G49" i="28" s="1"/>
  <c r="Y15" i="28"/>
  <c r="X15" i="28"/>
  <c r="W15" i="28"/>
  <c r="V15" i="28"/>
  <c r="V68" i="28"/>
  <c r="W68" i="28"/>
  <c r="X68" i="28"/>
  <c r="Y68" i="28"/>
  <c r="Y45" i="28"/>
  <c r="X45" i="28"/>
  <c r="W45" i="28"/>
  <c r="V45" i="28"/>
  <c r="V35" i="28"/>
  <c r="W35" i="28"/>
  <c r="X35" i="28"/>
  <c r="Y35" i="28"/>
  <c r="W21" i="28"/>
  <c r="V21" i="28"/>
  <c r="R16" i="28"/>
  <c r="W39" i="7"/>
  <c r="V39" i="7"/>
  <c r="Y67" i="7"/>
  <c r="W67" i="7"/>
  <c r="V59" i="7"/>
  <c r="V58" i="7"/>
  <c r="BS59" i="7"/>
  <c r="BV59" i="7" s="1"/>
  <c r="BT58" i="7"/>
  <c r="BV58" i="7" s="1"/>
  <c r="BG67" i="7"/>
  <c r="BE67" i="7"/>
  <c r="BC67" i="7"/>
  <c r="BA67" i="7"/>
  <c r="AY67" i="7"/>
  <c r="AW67" i="7"/>
  <c r="AU67" i="7"/>
  <c r="AS67" i="7"/>
  <c r="AQ67" i="7"/>
  <c r="AO67" i="7"/>
  <c r="AM67" i="7"/>
  <c r="AK67" i="7"/>
  <c r="AI67" i="7"/>
  <c r="AG67" i="7"/>
  <c r="AE67" i="7"/>
  <c r="AC67" i="7"/>
  <c r="AA67" i="7"/>
  <c r="BJ47" i="7"/>
  <c r="F47" i="7" s="1"/>
  <c r="BJ46" i="7"/>
  <c r="F46" i="7" s="1"/>
  <c r="G46" i="7" s="1"/>
  <c r="BK58" i="7"/>
  <c r="BJ55" i="7"/>
  <c r="F55" i="7" s="1"/>
  <c r="BJ51" i="7"/>
  <c r="F51" i="7" s="1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J37" i="7"/>
  <c r="F37" i="7" s="1"/>
  <c r="BJ38" i="7"/>
  <c r="F38" i="7" s="1"/>
  <c r="BJ39" i="7"/>
  <c r="F39" i="7" s="1"/>
  <c r="BJ40" i="7"/>
  <c r="F40" i="7" s="1"/>
  <c r="BJ41" i="7"/>
  <c r="F41" i="7" s="1"/>
  <c r="BJ42" i="7"/>
  <c r="F42" i="7" s="1"/>
  <c r="BJ43" i="7"/>
  <c r="F43" i="7" s="1"/>
  <c r="BJ24" i="7"/>
  <c r="F24" i="7" s="1"/>
  <c r="BJ25" i="7"/>
  <c r="F25" i="7" s="1"/>
  <c r="BJ26" i="7"/>
  <c r="F26" i="7" s="1"/>
  <c r="BJ27" i="7"/>
  <c r="F27" i="7" s="1"/>
  <c r="BJ28" i="7"/>
  <c r="F28" i="7" s="1"/>
  <c r="BK19" i="7"/>
  <c r="BK20" i="7"/>
  <c r="BK21" i="7"/>
  <c r="BJ19" i="7"/>
  <c r="F19" i="7" s="1"/>
  <c r="BJ20" i="7"/>
  <c r="F20" i="7" s="1"/>
  <c r="BJ21" i="7"/>
  <c r="F21" i="7" s="1"/>
  <c r="E10" i="7"/>
  <c r="E11" i="7"/>
  <c r="BJ48" i="7" l="1"/>
  <c r="Y15" i="34"/>
  <c r="X15" i="34"/>
  <c r="W131" i="32"/>
  <c r="Z109" i="32"/>
  <c r="W42" i="38"/>
  <c r="I49" i="28"/>
  <c r="H49" i="28"/>
  <c r="BQ49" i="28"/>
  <c r="BR49" i="28" s="1"/>
  <c r="BV49" i="28" s="1"/>
  <c r="BK49" i="28"/>
  <c r="F48" i="7"/>
  <c r="BY60" i="7"/>
  <c r="BX60" i="7"/>
  <c r="BW60" i="7"/>
  <c r="BV60" i="7"/>
  <c r="BU60" i="7"/>
  <c r="BT60" i="7"/>
  <c r="BS60" i="7"/>
  <c r="BR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BK67" i="7"/>
  <c r="BJ67" i="7"/>
  <c r="F67" i="7" s="1"/>
  <c r="BJ63" i="7"/>
  <c r="F63" i="7" s="1"/>
  <c r="BK59" i="7"/>
  <c r="BK60" i="7" s="1"/>
  <c r="BJ59" i="7"/>
  <c r="F59" i="7" s="1"/>
  <c r="G59" i="7" s="1"/>
  <c r="BJ58" i="7"/>
  <c r="F58" i="7" s="1"/>
  <c r="G58" i="7" s="1"/>
  <c r="BJ54" i="7"/>
  <c r="F54" i="7" s="1"/>
  <c r="BJ50" i="7"/>
  <c r="F50" i="7" s="1"/>
  <c r="BK47" i="7"/>
  <c r="BK46" i="7"/>
  <c r="BI48" i="7"/>
  <c r="BZ60" i="7" l="1"/>
  <c r="F60" i="7"/>
  <c r="H58" i="7"/>
  <c r="I58" i="7"/>
  <c r="G60" i="7"/>
  <c r="BK48" i="7"/>
  <c r="H59" i="7"/>
  <c r="I59" i="7"/>
  <c r="BJ60" i="7"/>
  <c r="AX41" i="38"/>
  <c r="BK41" i="38"/>
  <c r="G41" i="38" s="1"/>
  <c r="H41" i="38" s="1"/>
  <c r="BO41" i="38" s="1"/>
  <c r="BS41" i="38" s="1"/>
  <c r="BW41" i="38" s="1"/>
  <c r="BJ41" i="38"/>
  <c r="BH41" i="38"/>
  <c r="BF41" i="38"/>
  <c r="BD41" i="38"/>
  <c r="BB41" i="38"/>
  <c r="AZ41" i="38"/>
  <c r="AV41" i="38"/>
  <c r="AT41" i="38"/>
  <c r="AR41" i="38"/>
  <c r="AP41" i="38"/>
  <c r="AN41" i="38"/>
  <c r="AL41" i="38"/>
  <c r="AJ41" i="38"/>
  <c r="AH41" i="38"/>
  <c r="AF41" i="38"/>
  <c r="AD41" i="38"/>
  <c r="AA42" i="38"/>
  <c r="AB41" i="38"/>
  <c r="AH55" i="32"/>
  <c r="AZ54" i="32"/>
  <c r="BJ84" i="32"/>
  <c r="BJ85" i="32"/>
  <c r="BK84" i="32"/>
  <c r="G84" i="32" s="1"/>
  <c r="G85" i="32"/>
  <c r="BK98" i="32"/>
  <c r="G98" i="32" s="1"/>
  <c r="BJ98" i="32"/>
  <c r="BH98" i="32"/>
  <c r="BF98" i="32"/>
  <c r="BD98" i="32"/>
  <c r="BB98" i="32"/>
  <c r="AZ98" i="32"/>
  <c r="AX98" i="32"/>
  <c r="AV98" i="32"/>
  <c r="AT98" i="32"/>
  <c r="AR98" i="32"/>
  <c r="AP98" i="32"/>
  <c r="AN98" i="32"/>
  <c r="AL98" i="32"/>
  <c r="AJ98" i="32"/>
  <c r="AH98" i="32"/>
  <c r="AF98" i="32"/>
  <c r="AD98" i="32"/>
  <c r="AB98" i="32"/>
  <c r="BK97" i="32"/>
  <c r="G97" i="32" s="1"/>
  <c r="BJ97" i="32"/>
  <c r="BH97" i="32"/>
  <c r="BF97" i="32"/>
  <c r="BD97" i="32"/>
  <c r="BB97" i="32"/>
  <c r="AZ97" i="32"/>
  <c r="AX97" i="32"/>
  <c r="AV97" i="32"/>
  <c r="AT97" i="32"/>
  <c r="AR97" i="32"/>
  <c r="AP97" i="32"/>
  <c r="AN97" i="32"/>
  <c r="AL97" i="32"/>
  <c r="AJ97" i="32"/>
  <c r="AH97" i="32"/>
  <c r="AF97" i="32"/>
  <c r="AD97" i="32"/>
  <c r="AB97" i="32"/>
  <c r="BK80" i="32"/>
  <c r="G80" i="32" s="1"/>
  <c r="BJ80" i="32"/>
  <c r="BH80" i="32"/>
  <c r="BF80" i="32"/>
  <c r="BD80" i="32"/>
  <c r="BB80" i="32"/>
  <c r="AZ80" i="32"/>
  <c r="AX80" i="32"/>
  <c r="AV80" i="32"/>
  <c r="AT80" i="32"/>
  <c r="AR80" i="32"/>
  <c r="AP80" i="32"/>
  <c r="AN80" i="32"/>
  <c r="AL80" i="32"/>
  <c r="AJ80" i="32"/>
  <c r="AH80" i="32"/>
  <c r="AF80" i="32"/>
  <c r="AD80" i="32"/>
  <c r="AB80" i="32"/>
  <c r="BH115" i="32"/>
  <c r="BK115" i="32"/>
  <c r="G115" i="32" s="1"/>
  <c r="BF115" i="32"/>
  <c r="BD115" i="32"/>
  <c r="BB115" i="32"/>
  <c r="AZ115" i="32"/>
  <c r="AX115" i="32"/>
  <c r="AV115" i="32"/>
  <c r="AT115" i="32"/>
  <c r="AR115" i="32"/>
  <c r="AP115" i="32"/>
  <c r="AN115" i="32"/>
  <c r="AL115" i="32"/>
  <c r="AJ115" i="32"/>
  <c r="AF115" i="32"/>
  <c r="AH115" i="32"/>
  <c r="AD115" i="32"/>
  <c r="AB115" i="32"/>
  <c r="BJ115" i="32"/>
  <c r="BH120" i="32"/>
  <c r="BK120" i="32"/>
  <c r="G120" i="32" s="1"/>
  <c r="BF120" i="32"/>
  <c r="BD120" i="32"/>
  <c r="BB120" i="32"/>
  <c r="AZ120" i="32"/>
  <c r="AX120" i="32"/>
  <c r="AV120" i="32"/>
  <c r="AT120" i="32"/>
  <c r="AR120" i="32"/>
  <c r="AP120" i="32"/>
  <c r="AN120" i="32"/>
  <c r="AL120" i="32"/>
  <c r="AJ120" i="32"/>
  <c r="AH120" i="32"/>
  <c r="AF120" i="32"/>
  <c r="AD120" i="32"/>
  <c r="AB120" i="32"/>
  <c r="BJ120" i="32"/>
  <c r="BD85" i="32"/>
  <c r="BB85" i="32"/>
  <c r="AZ85" i="32"/>
  <c r="AX85" i="32"/>
  <c r="AV85" i="32"/>
  <c r="AT85" i="32"/>
  <c r="AP85" i="32"/>
  <c r="AN85" i="32"/>
  <c r="AL85" i="32"/>
  <c r="AJ85" i="32"/>
  <c r="AH85" i="32"/>
  <c r="AF85" i="32"/>
  <c r="AD85" i="32"/>
  <c r="AB85" i="32"/>
  <c r="BD84" i="32"/>
  <c r="BB84" i="32"/>
  <c r="AZ84" i="32"/>
  <c r="AX84" i="32"/>
  <c r="AV84" i="32"/>
  <c r="AT84" i="32"/>
  <c r="AP84" i="32"/>
  <c r="AN84" i="32"/>
  <c r="AL84" i="32"/>
  <c r="AJ84" i="32"/>
  <c r="AH84" i="32"/>
  <c r="AF84" i="32"/>
  <c r="AD84" i="32"/>
  <c r="AB84" i="32"/>
  <c r="BH83" i="32"/>
  <c r="BK83" i="32"/>
  <c r="G83" i="32" s="1"/>
  <c r="BF83" i="32"/>
  <c r="BD83" i="32"/>
  <c r="BB83" i="32"/>
  <c r="AZ83" i="32"/>
  <c r="AX83" i="32"/>
  <c r="AV83" i="32"/>
  <c r="AT83" i="32"/>
  <c r="AP83" i="32"/>
  <c r="AN83" i="32"/>
  <c r="AL83" i="32"/>
  <c r="AJ83" i="32"/>
  <c r="AH83" i="32"/>
  <c r="AF83" i="32"/>
  <c r="AD83" i="32"/>
  <c r="AB83" i="32"/>
  <c r="BJ83" i="32"/>
  <c r="F36" i="37"/>
  <c r="G36" i="37" s="1"/>
  <c r="AB51" i="37"/>
  <c r="AD51" i="37"/>
  <c r="AF51" i="37"/>
  <c r="AH51" i="37"/>
  <c r="AJ51" i="37"/>
  <c r="AL51" i="37"/>
  <c r="AN51" i="37"/>
  <c r="AP51" i="37"/>
  <c r="AR51" i="37"/>
  <c r="AT51" i="37"/>
  <c r="AV51" i="37"/>
  <c r="AX51" i="37"/>
  <c r="AZ51" i="37"/>
  <c r="BB51" i="37"/>
  <c r="BD51" i="37"/>
  <c r="BF51" i="37"/>
  <c r="BH51" i="37"/>
  <c r="Z51" i="37"/>
  <c r="BI14" i="37"/>
  <c r="BI15" i="37"/>
  <c r="BI16" i="37"/>
  <c r="BI17" i="37"/>
  <c r="BI18" i="37"/>
  <c r="BI19" i="37"/>
  <c r="BI20" i="37"/>
  <c r="BI21" i="37"/>
  <c r="BI22" i="37"/>
  <c r="BI23" i="37"/>
  <c r="BI24" i="37"/>
  <c r="BI25" i="37"/>
  <c r="BI26" i="37"/>
  <c r="BI27" i="37"/>
  <c r="BI28" i="37"/>
  <c r="BI29" i="37"/>
  <c r="BI30" i="37"/>
  <c r="BI31" i="37"/>
  <c r="BI32" i="37"/>
  <c r="BI33" i="37"/>
  <c r="BI34" i="37"/>
  <c r="BI35" i="37"/>
  <c r="BI36" i="37"/>
  <c r="BI37" i="37"/>
  <c r="BI39" i="37"/>
  <c r="BI42" i="37"/>
  <c r="BI43" i="37"/>
  <c r="BI48" i="37"/>
  <c r="BI12" i="37"/>
  <c r="BG14" i="37"/>
  <c r="BG15" i="37"/>
  <c r="BG16" i="37"/>
  <c r="BG17" i="37"/>
  <c r="BG18" i="37"/>
  <c r="BG19" i="37"/>
  <c r="BG20" i="37"/>
  <c r="BG21" i="37"/>
  <c r="BG22" i="37"/>
  <c r="BG23" i="37"/>
  <c r="BG24" i="37"/>
  <c r="BG25" i="37"/>
  <c r="BG26" i="37"/>
  <c r="BG27" i="37"/>
  <c r="BG28" i="37"/>
  <c r="BG29" i="37"/>
  <c r="BG30" i="37"/>
  <c r="BG31" i="37"/>
  <c r="BG32" i="37"/>
  <c r="BG33" i="37"/>
  <c r="BG34" i="37"/>
  <c r="BG35" i="37"/>
  <c r="BG36" i="37"/>
  <c r="BG37" i="37"/>
  <c r="BG39" i="37"/>
  <c r="BG42" i="37"/>
  <c r="BG43" i="37"/>
  <c r="BG48" i="37"/>
  <c r="BG12" i="37"/>
  <c r="BE14" i="37"/>
  <c r="BE15" i="37"/>
  <c r="BE16" i="37"/>
  <c r="BE17" i="37"/>
  <c r="BE18" i="37"/>
  <c r="BE19" i="37"/>
  <c r="BE20" i="37"/>
  <c r="BE21" i="37"/>
  <c r="BE22" i="37"/>
  <c r="BE23" i="37"/>
  <c r="BE24" i="37"/>
  <c r="BE25" i="37"/>
  <c r="BE26" i="37"/>
  <c r="BE27" i="37"/>
  <c r="BE28" i="37"/>
  <c r="BE29" i="37"/>
  <c r="BE30" i="37"/>
  <c r="BE31" i="37"/>
  <c r="BE32" i="37"/>
  <c r="BE33" i="37"/>
  <c r="BE34" i="37"/>
  <c r="BE35" i="37"/>
  <c r="BE36" i="37"/>
  <c r="BE37" i="37"/>
  <c r="BE39" i="37"/>
  <c r="BE42" i="37"/>
  <c r="BE43" i="37"/>
  <c r="BE12" i="37"/>
  <c r="BC14" i="37"/>
  <c r="BC15" i="37"/>
  <c r="BC16" i="37"/>
  <c r="BC17" i="37"/>
  <c r="BC18" i="37"/>
  <c r="BC19" i="37"/>
  <c r="BC20" i="37"/>
  <c r="BC21" i="37"/>
  <c r="BC22" i="37"/>
  <c r="BC23" i="37"/>
  <c r="BC24" i="37"/>
  <c r="BC25" i="37"/>
  <c r="BC26" i="37"/>
  <c r="BC27" i="37"/>
  <c r="BC28" i="37"/>
  <c r="BC29" i="37"/>
  <c r="BC30" i="37"/>
  <c r="BC31" i="37"/>
  <c r="BC32" i="37"/>
  <c r="BC33" i="37"/>
  <c r="BC34" i="37"/>
  <c r="BC35" i="37"/>
  <c r="BC36" i="37"/>
  <c r="BC37" i="37"/>
  <c r="BC39" i="37"/>
  <c r="BC42" i="37"/>
  <c r="BC43" i="37"/>
  <c r="BC48" i="37"/>
  <c r="BC12" i="37"/>
  <c r="BA14" i="37"/>
  <c r="BA15" i="37"/>
  <c r="BA16" i="37"/>
  <c r="BA17" i="37"/>
  <c r="BA18" i="37"/>
  <c r="BA19" i="37"/>
  <c r="BA20" i="37"/>
  <c r="BA21" i="37"/>
  <c r="BA22" i="37"/>
  <c r="BA23" i="37"/>
  <c r="BA24" i="37"/>
  <c r="BA25" i="37"/>
  <c r="BA26" i="37"/>
  <c r="BA27" i="37"/>
  <c r="BA28" i="37"/>
  <c r="BA29" i="37"/>
  <c r="BA30" i="37"/>
  <c r="BA31" i="37"/>
  <c r="BA32" i="37"/>
  <c r="BA33" i="37"/>
  <c r="BA34" i="37"/>
  <c r="BA35" i="37"/>
  <c r="BA36" i="37"/>
  <c r="BA37" i="37"/>
  <c r="BA39" i="37"/>
  <c r="BA42" i="37"/>
  <c r="BA43" i="37"/>
  <c r="BA48" i="37"/>
  <c r="BA12" i="37"/>
  <c r="AS14" i="37"/>
  <c r="AS15" i="37"/>
  <c r="AS16" i="37"/>
  <c r="AS17" i="37"/>
  <c r="AS18" i="37"/>
  <c r="AS19" i="37"/>
  <c r="AS20" i="37"/>
  <c r="AS21" i="37"/>
  <c r="AS22" i="37"/>
  <c r="AS23" i="37"/>
  <c r="AS24" i="37"/>
  <c r="AS25" i="37"/>
  <c r="AS26" i="37"/>
  <c r="AS27" i="37"/>
  <c r="AS28" i="37"/>
  <c r="AS29" i="37"/>
  <c r="AS30" i="37"/>
  <c r="AS31" i="37"/>
  <c r="AS32" i="37"/>
  <c r="AS33" i="37"/>
  <c r="AS34" i="37"/>
  <c r="AS35" i="37"/>
  <c r="AS36" i="37"/>
  <c r="AS37" i="37"/>
  <c r="AS39" i="37"/>
  <c r="AS42" i="37"/>
  <c r="AS43" i="37"/>
  <c r="AS48" i="37"/>
  <c r="AS12" i="37"/>
  <c r="AQ14" i="37"/>
  <c r="AQ15" i="37"/>
  <c r="AQ16" i="37"/>
  <c r="AQ17" i="37"/>
  <c r="AQ18" i="37"/>
  <c r="AQ19" i="37"/>
  <c r="AQ20" i="37"/>
  <c r="AQ21" i="37"/>
  <c r="AQ22" i="37"/>
  <c r="AQ23" i="37"/>
  <c r="AQ24" i="37"/>
  <c r="AQ25" i="37"/>
  <c r="AQ26" i="37"/>
  <c r="AQ27" i="37"/>
  <c r="AQ28" i="37"/>
  <c r="AQ29" i="37"/>
  <c r="AQ30" i="37"/>
  <c r="AQ31" i="37"/>
  <c r="AQ32" i="37"/>
  <c r="AQ33" i="37"/>
  <c r="AQ34" i="37"/>
  <c r="AQ35" i="37"/>
  <c r="AQ36" i="37"/>
  <c r="AQ37" i="37"/>
  <c r="AQ39" i="37"/>
  <c r="AQ42" i="37"/>
  <c r="AQ43" i="37"/>
  <c r="AQ48" i="37"/>
  <c r="AQ12" i="37"/>
  <c r="AM14" i="37"/>
  <c r="AM15" i="37"/>
  <c r="AM16" i="37"/>
  <c r="AM17" i="37"/>
  <c r="AM18" i="37"/>
  <c r="AM19" i="37"/>
  <c r="AM20" i="37"/>
  <c r="AM21" i="37"/>
  <c r="AM22" i="37"/>
  <c r="AM23" i="37"/>
  <c r="AM24" i="37"/>
  <c r="AM25" i="37"/>
  <c r="AM26" i="37"/>
  <c r="AM27" i="37"/>
  <c r="AM28" i="37"/>
  <c r="AM29" i="37"/>
  <c r="AM30" i="37"/>
  <c r="AM31" i="37"/>
  <c r="AM32" i="37"/>
  <c r="AM33" i="37"/>
  <c r="AM34" i="37"/>
  <c r="AM35" i="37"/>
  <c r="AM36" i="37"/>
  <c r="AM37" i="37"/>
  <c r="AM39" i="37"/>
  <c r="AM42" i="37"/>
  <c r="AM43" i="37"/>
  <c r="AM48" i="37"/>
  <c r="AM12" i="37"/>
  <c r="AI14" i="37"/>
  <c r="AI15" i="37"/>
  <c r="AI16" i="37"/>
  <c r="AI17" i="37"/>
  <c r="AI18" i="37"/>
  <c r="AI19" i="37"/>
  <c r="AI20" i="37"/>
  <c r="AI21" i="37"/>
  <c r="AI22" i="37"/>
  <c r="AI23" i="37"/>
  <c r="AI24" i="37"/>
  <c r="AI25" i="37"/>
  <c r="AI26" i="37"/>
  <c r="AI27" i="37"/>
  <c r="AI28" i="37"/>
  <c r="AI29" i="37"/>
  <c r="AI30" i="37"/>
  <c r="AI31" i="37"/>
  <c r="AI32" i="37"/>
  <c r="AI33" i="37"/>
  <c r="AI34" i="37"/>
  <c r="AI35" i="37"/>
  <c r="AI36" i="37"/>
  <c r="AI37" i="37"/>
  <c r="AI39" i="37"/>
  <c r="AI42" i="37"/>
  <c r="AI43" i="37"/>
  <c r="AI48" i="37"/>
  <c r="AI12" i="37"/>
  <c r="AG14" i="37"/>
  <c r="AG15" i="37"/>
  <c r="AG16" i="37"/>
  <c r="AG17" i="37"/>
  <c r="AG18" i="37"/>
  <c r="AG19" i="37"/>
  <c r="AG20" i="37"/>
  <c r="AG21" i="37"/>
  <c r="AG22" i="37"/>
  <c r="AG23" i="37"/>
  <c r="AG24" i="37"/>
  <c r="AG25" i="37"/>
  <c r="AG26" i="37"/>
  <c r="AG27" i="37"/>
  <c r="AG28" i="37"/>
  <c r="AG29" i="37"/>
  <c r="AG30" i="37"/>
  <c r="AG31" i="37"/>
  <c r="AG32" i="37"/>
  <c r="AG33" i="37"/>
  <c r="AG34" i="37"/>
  <c r="AG35" i="37"/>
  <c r="AG36" i="37"/>
  <c r="AG37" i="37"/>
  <c r="AG39" i="37"/>
  <c r="AG42" i="37"/>
  <c r="AG43" i="37"/>
  <c r="AG48" i="37"/>
  <c r="AG12" i="37"/>
  <c r="AE14" i="37"/>
  <c r="AE15" i="37"/>
  <c r="AE16" i="37"/>
  <c r="AE17" i="37"/>
  <c r="AE18" i="37"/>
  <c r="AE19" i="37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37" i="37"/>
  <c r="AE39" i="37"/>
  <c r="AE42" i="37"/>
  <c r="AE43" i="37"/>
  <c r="AE48" i="37"/>
  <c r="AE12" i="37"/>
  <c r="AC14" i="37"/>
  <c r="AC15" i="37"/>
  <c r="AC16" i="37"/>
  <c r="AC17" i="37"/>
  <c r="AC18" i="37"/>
  <c r="AC19" i="37"/>
  <c r="AC20" i="37"/>
  <c r="AC21" i="37"/>
  <c r="AC22" i="37"/>
  <c r="AC23" i="37"/>
  <c r="AC24" i="37"/>
  <c r="AC25" i="37"/>
  <c r="AC26" i="37"/>
  <c r="AC27" i="37"/>
  <c r="AC28" i="37"/>
  <c r="AC29" i="37"/>
  <c r="AC30" i="37"/>
  <c r="AC31" i="37"/>
  <c r="AC32" i="37"/>
  <c r="AC33" i="37"/>
  <c r="AC34" i="37"/>
  <c r="AC35" i="37"/>
  <c r="AC36" i="37"/>
  <c r="AC37" i="37"/>
  <c r="AC39" i="37"/>
  <c r="AC42" i="37"/>
  <c r="AC43" i="37"/>
  <c r="AC48" i="37"/>
  <c r="AC12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AA37" i="37"/>
  <c r="AA39" i="37"/>
  <c r="AA42" i="37"/>
  <c r="AA43" i="37"/>
  <c r="AA48" i="37"/>
  <c r="AA12" i="37"/>
  <c r="AC52" i="38"/>
  <c r="AE52" i="38"/>
  <c r="AG52" i="38"/>
  <c r="AI52" i="38"/>
  <c r="AK52" i="38"/>
  <c r="AM52" i="38"/>
  <c r="AO52" i="38"/>
  <c r="AQ52" i="38"/>
  <c r="AS52" i="38"/>
  <c r="AU52" i="38"/>
  <c r="AW52" i="38"/>
  <c r="AY52" i="38"/>
  <c r="BA52" i="38"/>
  <c r="BC52" i="38"/>
  <c r="BE52" i="38"/>
  <c r="BG52" i="38"/>
  <c r="BI52" i="38"/>
  <c r="AC49" i="38"/>
  <c r="AE49" i="38"/>
  <c r="AG49" i="38"/>
  <c r="AI49" i="38"/>
  <c r="AK49" i="38"/>
  <c r="AM49" i="38"/>
  <c r="AO49" i="38"/>
  <c r="AQ49" i="38"/>
  <c r="AS49" i="38"/>
  <c r="AU49" i="38"/>
  <c r="AW49" i="38"/>
  <c r="AY49" i="38"/>
  <c r="BA49" i="38"/>
  <c r="BC49" i="38"/>
  <c r="BE49" i="38"/>
  <c r="BG49" i="38"/>
  <c r="BI49" i="38"/>
  <c r="AC37" i="38"/>
  <c r="AE37" i="38"/>
  <c r="AG37" i="38"/>
  <c r="AI37" i="38"/>
  <c r="AK37" i="38"/>
  <c r="AM37" i="38"/>
  <c r="AO37" i="38"/>
  <c r="AQ37" i="38"/>
  <c r="AS37" i="38"/>
  <c r="AU37" i="38"/>
  <c r="AW37" i="38"/>
  <c r="AY37" i="38"/>
  <c r="BA37" i="38"/>
  <c r="BC37" i="38"/>
  <c r="BE37" i="38"/>
  <c r="BG37" i="38"/>
  <c r="BI37" i="38"/>
  <c r="AC25" i="38"/>
  <c r="AE25" i="38"/>
  <c r="AG25" i="38"/>
  <c r="AI25" i="38"/>
  <c r="AK25" i="38"/>
  <c r="AM25" i="38"/>
  <c r="AO25" i="38"/>
  <c r="AQ25" i="38"/>
  <c r="AS25" i="38"/>
  <c r="AU25" i="38"/>
  <c r="AW25" i="38"/>
  <c r="AY25" i="38"/>
  <c r="BA25" i="38"/>
  <c r="BC25" i="38"/>
  <c r="BE25" i="38"/>
  <c r="BG25" i="38"/>
  <c r="BI25" i="38"/>
  <c r="AC20" i="38"/>
  <c r="AE20" i="38"/>
  <c r="AG20" i="38"/>
  <c r="AI20" i="38"/>
  <c r="AK20" i="38"/>
  <c r="AM20" i="38"/>
  <c r="AO20" i="38"/>
  <c r="AQ20" i="38"/>
  <c r="AS20" i="38"/>
  <c r="AU20" i="38"/>
  <c r="AW20" i="38"/>
  <c r="AY20" i="38"/>
  <c r="BA20" i="38"/>
  <c r="BC20" i="38"/>
  <c r="BE20" i="38"/>
  <c r="BG20" i="38"/>
  <c r="BI20" i="38"/>
  <c r="AC13" i="38"/>
  <c r="AE13" i="38"/>
  <c r="AG13" i="38"/>
  <c r="AI13" i="38"/>
  <c r="AK13" i="38"/>
  <c r="AM13" i="38"/>
  <c r="AO13" i="38"/>
  <c r="AQ13" i="38"/>
  <c r="AS13" i="38"/>
  <c r="AU13" i="38"/>
  <c r="AW13" i="38"/>
  <c r="AY13" i="38"/>
  <c r="BA13" i="38"/>
  <c r="BC13" i="38"/>
  <c r="BE13" i="38"/>
  <c r="BG13" i="38"/>
  <c r="BI13" i="38"/>
  <c r="BJ14" i="38"/>
  <c r="BJ15" i="38"/>
  <c r="BJ17" i="38"/>
  <c r="BJ18" i="38"/>
  <c r="BJ21" i="38"/>
  <c r="BJ24" i="38"/>
  <c r="BJ26" i="38"/>
  <c r="BJ27" i="38"/>
  <c r="BJ28" i="38"/>
  <c r="BJ30" i="38"/>
  <c r="BJ31" i="38"/>
  <c r="BJ32" i="38"/>
  <c r="BJ33" i="38"/>
  <c r="BJ34" i="38"/>
  <c r="BJ35" i="38"/>
  <c r="BJ36" i="38"/>
  <c r="BJ38" i="38"/>
  <c r="BJ39" i="38"/>
  <c r="BJ40" i="38"/>
  <c r="BJ43" i="38"/>
  <c r="BJ44" i="38"/>
  <c r="BJ48" i="38"/>
  <c r="BJ50" i="38"/>
  <c r="BJ51" i="38"/>
  <c r="BJ52" i="38" s="1"/>
  <c r="BH14" i="38"/>
  <c r="BH15" i="38"/>
  <c r="BH17" i="38"/>
  <c r="BH18" i="38"/>
  <c r="BH21" i="38"/>
  <c r="BH24" i="38"/>
  <c r="BH26" i="38"/>
  <c r="BH27" i="38"/>
  <c r="BH28" i="38"/>
  <c r="BH30" i="38"/>
  <c r="BH31" i="38"/>
  <c r="BH32" i="38"/>
  <c r="BH33" i="38"/>
  <c r="BH34" i="38"/>
  <c r="BH35" i="38"/>
  <c r="BH36" i="38"/>
  <c r="BH38" i="38"/>
  <c r="BH39" i="38"/>
  <c r="BH40" i="38"/>
  <c r="BH43" i="38"/>
  <c r="BH44" i="38"/>
  <c r="BH48" i="38"/>
  <c r="BH50" i="38"/>
  <c r="BH51" i="38"/>
  <c r="BH52" i="38" s="1"/>
  <c r="BF14" i="38"/>
  <c r="BF15" i="38"/>
  <c r="BF17" i="38"/>
  <c r="BF18" i="38"/>
  <c r="BF21" i="38"/>
  <c r="BF24" i="38"/>
  <c r="BF26" i="38"/>
  <c r="BF27" i="38"/>
  <c r="BF28" i="38"/>
  <c r="BF30" i="38"/>
  <c r="BF31" i="38"/>
  <c r="BF32" i="38"/>
  <c r="BF33" i="38"/>
  <c r="BF34" i="38"/>
  <c r="BF35" i="38"/>
  <c r="BF36" i="38"/>
  <c r="BF38" i="38"/>
  <c r="BF39" i="38"/>
  <c r="BF40" i="38"/>
  <c r="BF43" i="38"/>
  <c r="BF44" i="38"/>
  <c r="BF48" i="38"/>
  <c r="BF50" i="38"/>
  <c r="BF51" i="38"/>
  <c r="BF52" i="38" s="1"/>
  <c r="BD14" i="38"/>
  <c r="BD15" i="38"/>
  <c r="BD17" i="38"/>
  <c r="BD18" i="38"/>
  <c r="BD21" i="38"/>
  <c r="BD24" i="38"/>
  <c r="BD26" i="38"/>
  <c r="BD27" i="38"/>
  <c r="BD28" i="38"/>
  <c r="BD30" i="38"/>
  <c r="BD31" i="38"/>
  <c r="BD32" i="38"/>
  <c r="BD33" i="38"/>
  <c r="BD34" i="38"/>
  <c r="BD35" i="38"/>
  <c r="BD36" i="38"/>
  <c r="BD38" i="38"/>
  <c r="BD39" i="38"/>
  <c r="BD40" i="38"/>
  <c r="BD43" i="38"/>
  <c r="BD44" i="38"/>
  <c r="BD48" i="38"/>
  <c r="BD50" i="38"/>
  <c r="BD51" i="38"/>
  <c r="BD52" i="38" s="1"/>
  <c r="BB14" i="38"/>
  <c r="BB15" i="38"/>
  <c r="BB17" i="38"/>
  <c r="BB18" i="38"/>
  <c r="BB21" i="38"/>
  <c r="BB24" i="38"/>
  <c r="BB26" i="38"/>
  <c r="BB27" i="38"/>
  <c r="BB28" i="38"/>
  <c r="BB30" i="38"/>
  <c r="BB31" i="38"/>
  <c r="BB32" i="38"/>
  <c r="BB33" i="38"/>
  <c r="BB34" i="38"/>
  <c r="BB35" i="38"/>
  <c r="BB36" i="38"/>
  <c r="BB38" i="38"/>
  <c r="BB39" i="38"/>
  <c r="BB40" i="38"/>
  <c r="BB43" i="38"/>
  <c r="BB44" i="38"/>
  <c r="BB48" i="38"/>
  <c r="BB50" i="38"/>
  <c r="BB51" i="38"/>
  <c r="BB52" i="38" s="1"/>
  <c r="AZ14" i="38"/>
  <c r="AZ15" i="38"/>
  <c r="AZ17" i="38"/>
  <c r="AZ18" i="38"/>
  <c r="AZ21" i="38"/>
  <c r="AZ24" i="38"/>
  <c r="AZ26" i="38"/>
  <c r="AZ27" i="38"/>
  <c r="AZ28" i="38"/>
  <c r="AZ30" i="38"/>
  <c r="AZ31" i="38"/>
  <c r="AZ32" i="38"/>
  <c r="AZ33" i="38"/>
  <c r="AZ34" i="38"/>
  <c r="AZ35" i="38"/>
  <c r="AZ36" i="38"/>
  <c r="AZ38" i="38"/>
  <c r="AZ39" i="38"/>
  <c r="AZ40" i="38"/>
  <c r="AZ43" i="38"/>
  <c r="AZ44" i="38"/>
  <c r="AZ48" i="38"/>
  <c r="AZ50" i="38"/>
  <c r="AZ51" i="38"/>
  <c r="AZ52" i="38" s="1"/>
  <c r="AX14" i="38"/>
  <c r="AX15" i="38"/>
  <c r="AX17" i="38"/>
  <c r="AX18" i="38"/>
  <c r="AX21" i="38"/>
  <c r="AX24" i="38"/>
  <c r="AX26" i="38"/>
  <c r="AX27" i="38"/>
  <c r="AX28" i="38"/>
  <c r="AX30" i="38"/>
  <c r="AX31" i="38"/>
  <c r="AX32" i="38"/>
  <c r="AX33" i="38"/>
  <c r="AX34" i="38"/>
  <c r="AX35" i="38"/>
  <c r="AX36" i="38"/>
  <c r="AX38" i="38"/>
  <c r="AX39" i="38"/>
  <c r="AX40" i="38"/>
  <c r="AX43" i="38"/>
  <c r="AX44" i="38"/>
  <c r="AX48" i="38"/>
  <c r="AX50" i="38"/>
  <c r="AX51" i="38"/>
  <c r="AX52" i="38" s="1"/>
  <c r="AV14" i="38"/>
  <c r="AV15" i="38"/>
  <c r="AV17" i="38"/>
  <c r="AV18" i="38"/>
  <c r="AV21" i="38"/>
  <c r="AV24" i="38"/>
  <c r="AV26" i="38"/>
  <c r="AV27" i="38"/>
  <c r="AV28" i="38"/>
  <c r="AV30" i="38"/>
  <c r="AV31" i="38"/>
  <c r="AV32" i="38"/>
  <c r="AV33" i="38"/>
  <c r="AV34" i="38"/>
  <c r="AV35" i="38"/>
  <c r="AV36" i="38"/>
  <c r="AV38" i="38"/>
  <c r="AV39" i="38"/>
  <c r="AV40" i="38"/>
  <c r="AV43" i="38"/>
  <c r="AV44" i="38"/>
  <c r="AV48" i="38"/>
  <c r="AV50" i="38"/>
  <c r="AV51" i="38"/>
  <c r="AV52" i="38" s="1"/>
  <c r="AT14" i="38"/>
  <c r="AT15" i="38"/>
  <c r="AT17" i="38"/>
  <c r="AT18" i="38"/>
  <c r="AT21" i="38"/>
  <c r="AT24" i="38"/>
  <c r="AT26" i="38"/>
  <c r="AT27" i="38"/>
  <c r="AT28" i="38"/>
  <c r="AT30" i="38"/>
  <c r="AT31" i="38"/>
  <c r="AT32" i="38"/>
  <c r="AT33" i="38"/>
  <c r="AT34" i="38"/>
  <c r="AT35" i="38"/>
  <c r="AT36" i="38"/>
  <c r="AT38" i="38"/>
  <c r="AT39" i="38"/>
  <c r="AT40" i="38"/>
  <c r="AT43" i="38"/>
  <c r="AT44" i="38"/>
  <c r="AT48" i="38"/>
  <c r="AT50" i="38"/>
  <c r="AT51" i="38"/>
  <c r="AT52" i="38" s="1"/>
  <c r="AR14" i="38"/>
  <c r="AR15" i="38"/>
  <c r="AR17" i="38"/>
  <c r="AR18" i="38"/>
  <c r="AR21" i="38"/>
  <c r="AR24" i="38"/>
  <c r="AR26" i="38"/>
  <c r="AR27" i="38"/>
  <c r="AR28" i="38"/>
  <c r="AR30" i="38"/>
  <c r="AR31" i="38"/>
  <c r="AR32" i="38"/>
  <c r="AR33" i="38"/>
  <c r="AR34" i="38"/>
  <c r="AR35" i="38"/>
  <c r="AR36" i="38"/>
  <c r="AR38" i="38"/>
  <c r="AR39" i="38"/>
  <c r="AR40" i="38"/>
  <c r="AR43" i="38"/>
  <c r="AR44" i="38"/>
  <c r="AR48" i="38"/>
  <c r="AR50" i="38"/>
  <c r="AR51" i="38"/>
  <c r="AR52" i="38" s="1"/>
  <c r="AP14" i="38"/>
  <c r="AP15" i="38"/>
  <c r="AP17" i="38"/>
  <c r="AP18" i="38"/>
  <c r="AP21" i="38"/>
  <c r="AP24" i="38"/>
  <c r="AP26" i="38"/>
  <c r="AP27" i="38"/>
  <c r="AP28" i="38"/>
  <c r="AP30" i="38"/>
  <c r="AP31" i="38"/>
  <c r="AP32" i="38"/>
  <c r="AP33" i="38"/>
  <c r="AP34" i="38"/>
  <c r="AP35" i="38"/>
  <c r="AP36" i="38"/>
  <c r="AP38" i="38"/>
  <c r="AP39" i="38"/>
  <c r="AP40" i="38"/>
  <c r="AP43" i="38"/>
  <c r="AP44" i="38"/>
  <c r="AP48" i="38"/>
  <c r="AP50" i="38"/>
  <c r="AP51" i="38"/>
  <c r="AP52" i="38" s="1"/>
  <c r="AN14" i="38"/>
  <c r="AN15" i="38"/>
  <c r="AN17" i="38"/>
  <c r="AN18" i="38"/>
  <c r="AN21" i="38"/>
  <c r="AN24" i="38"/>
  <c r="AN26" i="38"/>
  <c r="AN27" i="38"/>
  <c r="AN28" i="38"/>
  <c r="AN30" i="38"/>
  <c r="AN31" i="38"/>
  <c r="AN32" i="38"/>
  <c r="AN33" i="38"/>
  <c r="AN34" i="38"/>
  <c r="AN35" i="38"/>
  <c r="AN36" i="38"/>
  <c r="AN38" i="38"/>
  <c r="AN39" i="38"/>
  <c r="AN40" i="38"/>
  <c r="AN43" i="38"/>
  <c r="AN44" i="38"/>
  <c r="AN48" i="38"/>
  <c r="AN50" i="38"/>
  <c r="AN51" i="38"/>
  <c r="AN52" i="38" s="1"/>
  <c r="AL14" i="38"/>
  <c r="AL15" i="38"/>
  <c r="AL17" i="38"/>
  <c r="AL18" i="38"/>
  <c r="AL21" i="38"/>
  <c r="AL24" i="38"/>
  <c r="AL26" i="38"/>
  <c r="AL27" i="38"/>
  <c r="AL28" i="38"/>
  <c r="AL30" i="38"/>
  <c r="AL31" i="38"/>
  <c r="AL32" i="38"/>
  <c r="AL33" i="38"/>
  <c r="AL34" i="38"/>
  <c r="AL35" i="38"/>
  <c r="AL36" i="38"/>
  <c r="AL38" i="38"/>
  <c r="AL40" i="38"/>
  <c r="AL43" i="38"/>
  <c r="AL44" i="38"/>
  <c r="AL48" i="38"/>
  <c r="AL50" i="38"/>
  <c r="AL51" i="38"/>
  <c r="AL52" i="38" s="1"/>
  <c r="AJ14" i="38"/>
  <c r="AJ15" i="38"/>
  <c r="AJ17" i="38"/>
  <c r="AJ18" i="38"/>
  <c r="AJ21" i="38"/>
  <c r="AJ24" i="38"/>
  <c r="AJ26" i="38"/>
  <c r="AJ27" i="38"/>
  <c r="AJ28" i="38"/>
  <c r="AJ30" i="38"/>
  <c r="AJ31" i="38"/>
  <c r="AJ32" i="38"/>
  <c r="AJ33" i="38"/>
  <c r="AJ34" i="38"/>
  <c r="AJ35" i="38"/>
  <c r="AJ36" i="38"/>
  <c r="AJ38" i="38"/>
  <c r="AJ39" i="38"/>
  <c r="AJ40" i="38"/>
  <c r="AJ43" i="38"/>
  <c r="AJ44" i="38"/>
  <c r="AJ48" i="38"/>
  <c r="AJ50" i="38"/>
  <c r="AJ51" i="38"/>
  <c r="AJ52" i="38" s="1"/>
  <c r="AH14" i="38"/>
  <c r="AH15" i="38"/>
  <c r="AH17" i="38"/>
  <c r="AH18" i="38"/>
  <c r="AH21" i="38"/>
  <c r="AH24" i="38"/>
  <c r="AH26" i="38"/>
  <c r="AH27" i="38"/>
  <c r="AH28" i="38"/>
  <c r="AH30" i="38"/>
  <c r="AH31" i="38"/>
  <c r="AH32" i="38"/>
  <c r="AH33" i="38"/>
  <c r="AH34" i="38"/>
  <c r="AH35" i="38"/>
  <c r="AH36" i="38"/>
  <c r="AH38" i="38"/>
  <c r="AH39" i="38"/>
  <c r="AH40" i="38"/>
  <c r="AH43" i="38"/>
  <c r="AH44" i="38"/>
  <c r="AH48" i="38"/>
  <c r="AH50" i="38"/>
  <c r="AH51" i="38"/>
  <c r="AH52" i="38" s="1"/>
  <c r="AF14" i="38"/>
  <c r="AF15" i="38"/>
  <c r="AF17" i="38"/>
  <c r="AF18" i="38"/>
  <c r="AF21" i="38"/>
  <c r="AF24" i="38"/>
  <c r="AF26" i="38"/>
  <c r="AF27" i="38"/>
  <c r="AF28" i="38"/>
  <c r="AF30" i="38"/>
  <c r="AF31" i="38"/>
  <c r="AF32" i="38"/>
  <c r="AF33" i="38"/>
  <c r="AF34" i="38"/>
  <c r="AF35" i="38"/>
  <c r="AF36" i="38"/>
  <c r="AF38" i="38"/>
  <c r="AF39" i="38"/>
  <c r="AF40" i="38"/>
  <c r="AF43" i="38"/>
  <c r="AF44" i="38"/>
  <c r="AF48" i="38"/>
  <c r="AF50" i="38"/>
  <c r="AF51" i="38"/>
  <c r="AF52" i="38" s="1"/>
  <c r="AD14" i="38"/>
  <c r="AD15" i="38"/>
  <c r="AD17" i="38"/>
  <c r="AD18" i="38"/>
  <c r="AD21" i="38"/>
  <c r="AD24" i="38"/>
  <c r="AD26" i="38"/>
  <c r="AD27" i="38"/>
  <c r="AD28" i="38"/>
  <c r="AD30" i="38"/>
  <c r="AD31" i="38"/>
  <c r="AD32" i="38"/>
  <c r="AD33" i="38"/>
  <c r="AD34" i="38"/>
  <c r="AD35" i="38"/>
  <c r="AD36" i="38"/>
  <c r="AD38" i="38"/>
  <c r="AD39" i="38"/>
  <c r="AD40" i="38"/>
  <c r="AD43" i="38"/>
  <c r="AD44" i="38"/>
  <c r="AD48" i="38"/>
  <c r="AD50" i="38"/>
  <c r="AD51" i="38"/>
  <c r="AD52" i="38" s="1"/>
  <c r="AB24" i="38"/>
  <c r="AB18" i="38"/>
  <c r="AB17" i="38"/>
  <c r="AB15" i="38"/>
  <c r="BH75" i="25"/>
  <c r="BH77" i="25"/>
  <c r="BI77" i="25" s="1"/>
  <c r="AB14" i="38"/>
  <c r="AB21" i="38"/>
  <c r="AB26" i="38"/>
  <c r="AB27" i="38"/>
  <c r="AB28" i="38"/>
  <c r="AB30" i="38"/>
  <c r="AB31" i="38"/>
  <c r="AB32" i="38"/>
  <c r="AB33" i="38"/>
  <c r="AB34" i="38"/>
  <c r="AB35" i="38"/>
  <c r="AB36" i="38"/>
  <c r="AB38" i="38"/>
  <c r="AB39" i="38"/>
  <c r="AB40" i="38"/>
  <c r="AB43" i="38"/>
  <c r="AB44" i="38"/>
  <c r="AB48" i="38"/>
  <c r="AB50" i="38"/>
  <c r="AB51" i="38"/>
  <c r="AB52" i="38" s="1"/>
  <c r="AY31" i="34"/>
  <c r="BU31" i="34"/>
  <c r="BJ31" i="34"/>
  <c r="F31" i="34" s="1"/>
  <c r="BI31" i="34"/>
  <c r="BG31" i="34"/>
  <c r="BE31" i="34"/>
  <c r="BC31" i="34"/>
  <c r="BA31" i="34"/>
  <c r="AW31" i="34"/>
  <c r="AU31" i="34"/>
  <c r="AS31" i="34"/>
  <c r="AQ31" i="34"/>
  <c r="AO31" i="34"/>
  <c r="AM31" i="34"/>
  <c r="AK31" i="34"/>
  <c r="AI31" i="34"/>
  <c r="AG31" i="34"/>
  <c r="AE31" i="34"/>
  <c r="AC31" i="34"/>
  <c r="AA31" i="34"/>
  <c r="BH13" i="34"/>
  <c r="BK37" i="37" l="1"/>
  <c r="BN120" i="32"/>
  <c r="AL42" i="38"/>
  <c r="BN115" i="32"/>
  <c r="BN80" i="32"/>
  <c r="BN85" i="32"/>
  <c r="BN83" i="32"/>
  <c r="BN97" i="32"/>
  <c r="BN84" i="32"/>
  <c r="BN98" i="32"/>
  <c r="BL80" i="32"/>
  <c r="AN42" i="38"/>
  <c r="AP42" i="38"/>
  <c r="AR42" i="38"/>
  <c r="AT42" i="38"/>
  <c r="AV42" i="38"/>
  <c r="AX42" i="38"/>
  <c r="AZ42" i="38"/>
  <c r="BB42" i="38"/>
  <c r="BD42" i="38"/>
  <c r="BF42" i="38"/>
  <c r="BH42" i="38"/>
  <c r="BJ42" i="38"/>
  <c r="BH78" i="25"/>
  <c r="BI75" i="25"/>
  <c r="BI78" i="25" s="1"/>
  <c r="AB42" i="38"/>
  <c r="AD42" i="38"/>
  <c r="AF42" i="38"/>
  <c r="AH42" i="38"/>
  <c r="AJ42" i="38"/>
  <c r="BL84" i="32"/>
  <c r="G31" i="34"/>
  <c r="L31" i="34" s="1"/>
  <c r="BL83" i="32"/>
  <c r="U97" i="32"/>
  <c r="Y97" i="32" s="1"/>
  <c r="H97" i="32"/>
  <c r="H85" i="32"/>
  <c r="BQ85" i="32" s="1"/>
  <c r="BS85" i="32" s="1"/>
  <c r="BW85" i="32" s="1"/>
  <c r="U85" i="32"/>
  <c r="Y85" i="32" s="1"/>
  <c r="S85" i="32"/>
  <c r="W85" i="32" s="1"/>
  <c r="T85" i="32"/>
  <c r="X85" i="32" s="1"/>
  <c r="BH52" i="37"/>
  <c r="V115" i="32"/>
  <c r="Z115" i="32" s="1"/>
  <c r="H115" i="32"/>
  <c r="BQ115" i="32" s="1"/>
  <c r="BS115" i="32" s="1"/>
  <c r="T115" i="32"/>
  <c r="X115" i="32" s="1"/>
  <c r="S80" i="32"/>
  <c r="W80" i="32" s="1"/>
  <c r="T80" i="32"/>
  <c r="X80" i="32" s="1"/>
  <c r="U80" i="32"/>
  <c r="Y80" i="32" s="1"/>
  <c r="H80" i="32"/>
  <c r="T84" i="32"/>
  <c r="X84" i="32" s="1"/>
  <c r="U84" i="32"/>
  <c r="Y84" i="32" s="1"/>
  <c r="H84" i="32"/>
  <c r="BQ84" i="32" s="1"/>
  <c r="BS84" i="32" s="1"/>
  <c r="BW84" i="32" s="1"/>
  <c r="S84" i="32"/>
  <c r="W84" i="32" s="1"/>
  <c r="AX52" i="37"/>
  <c r="V120" i="32"/>
  <c r="Z120" i="32" s="1"/>
  <c r="T120" i="32"/>
  <c r="X120" i="32" s="1"/>
  <c r="H120" i="32"/>
  <c r="BQ120" i="32" s="1"/>
  <c r="BS120" i="32" s="1"/>
  <c r="BW120" i="32" s="1"/>
  <c r="S83" i="32"/>
  <c r="W83" i="32" s="1"/>
  <c r="T83" i="32"/>
  <c r="X83" i="32" s="1"/>
  <c r="U83" i="32"/>
  <c r="Y83" i="32" s="1"/>
  <c r="H83" i="32"/>
  <c r="BQ83" i="32" s="1"/>
  <c r="BS83" i="32" s="1"/>
  <c r="BW83" i="32" s="1"/>
  <c r="R85" i="32"/>
  <c r="BL85" i="32"/>
  <c r="U98" i="32"/>
  <c r="Y98" i="32" s="1"/>
  <c r="H98" i="32"/>
  <c r="AR52" i="37"/>
  <c r="AL52" i="37"/>
  <c r="BB52" i="37"/>
  <c r="AV52" i="37"/>
  <c r="AT52" i="37"/>
  <c r="AN52" i="37"/>
  <c r="AJ52" i="37"/>
  <c r="BI53" i="38"/>
  <c r="AH52" i="37"/>
  <c r="BF52" i="37"/>
  <c r="AZ52" i="37"/>
  <c r="AP52" i="37"/>
  <c r="BD52" i="37"/>
  <c r="BL41" i="38"/>
  <c r="L41" i="38" s="1"/>
  <c r="BE53" i="38"/>
  <c r="BC53" i="38"/>
  <c r="AY53" i="38"/>
  <c r="AW53" i="38"/>
  <c r="AU53" i="38"/>
  <c r="AQ53" i="38"/>
  <c r="AO53" i="38"/>
  <c r="AM53" i="38"/>
  <c r="AK53" i="38"/>
  <c r="AC53" i="38"/>
  <c r="BL98" i="32"/>
  <c r="BL97" i="32"/>
  <c r="BL115" i="32"/>
  <c r="R115" i="32" s="1"/>
  <c r="BL120" i="32"/>
  <c r="R120" i="32" s="1"/>
  <c r="BG53" i="38"/>
  <c r="AI53" i="38"/>
  <c r="AG53" i="38"/>
  <c r="AE53" i="38"/>
  <c r="BA53" i="38"/>
  <c r="AS53" i="38"/>
  <c r="BK31" i="34"/>
  <c r="BH12" i="34"/>
  <c r="AB46" i="34"/>
  <c r="AD46" i="34"/>
  <c r="AF46" i="34"/>
  <c r="AH46" i="34"/>
  <c r="AJ46" i="34"/>
  <c r="AL46" i="34"/>
  <c r="AN46" i="34"/>
  <c r="AP46" i="34"/>
  <c r="AR46" i="34"/>
  <c r="AT46" i="34"/>
  <c r="AV46" i="34"/>
  <c r="AX46" i="34"/>
  <c r="AZ46" i="34"/>
  <c r="BB46" i="34"/>
  <c r="BD46" i="34"/>
  <c r="BF46" i="34"/>
  <c r="BH46" i="34"/>
  <c r="Z46" i="34"/>
  <c r="AB44" i="34"/>
  <c r="AD44" i="34"/>
  <c r="AF44" i="34"/>
  <c r="AH44" i="34"/>
  <c r="AJ44" i="34"/>
  <c r="AL44" i="34"/>
  <c r="AN44" i="34"/>
  <c r="AP44" i="34"/>
  <c r="AR44" i="34"/>
  <c r="AT44" i="34"/>
  <c r="AV44" i="34"/>
  <c r="AX44" i="34"/>
  <c r="AZ44" i="34"/>
  <c r="BB44" i="34"/>
  <c r="BD44" i="34"/>
  <c r="BF44" i="34"/>
  <c r="BH44" i="34"/>
  <c r="Z44" i="34"/>
  <c r="AB40" i="34"/>
  <c r="AD40" i="34"/>
  <c r="AF40" i="34"/>
  <c r="AH40" i="34"/>
  <c r="AJ40" i="34"/>
  <c r="AL40" i="34"/>
  <c r="AN40" i="34"/>
  <c r="AP40" i="34"/>
  <c r="AR40" i="34"/>
  <c r="AT40" i="34"/>
  <c r="AV40" i="34"/>
  <c r="AX40" i="34"/>
  <c r="AZ40" i="34"/>
  <c r="BB40" i="34"/>
  <c r="BD40" i="34"/>
  <c r="BF40" i="34"/>
  <c r="BH40" i="34"/>
  <c r="Z40" i="34"/>
  <c r="AB33" i="34"/>
  <c r="AD33" i="34"/>
  <c r="AF33" i="34"/>
  <c r="AH33" i="34"/>
  <c r="AJ33" i="34"/>
  <c r="AL33" i="34"/>
  <c r="AN33" i="34"/>
  <c r="AP33" i="34"/>
  <c r="AR33" i="34"/>
  <c r="AT33" i="34"/>
  <c r="AV33" i="34"/>
  <c r="AX33" i="34"/>
  <c r="AZ33" i="34"/>
  <c r="BB33" i="34"/>
  <c r="BD33" i="34"/>
  <c r="BF33" i="34"/>
  <c r="BH33" i="34"/>
  <c r="Z33" i="34"/>
  <c r="AB27" i="34"/>
  <c r="AD27" i="34"/>
  <c r="AF27" i="34"/>
  <c r="AH27" i="34"/>
  <c r="AJ27" i="34"/>
  <c r="AL27" i="34"/>
  <c r="AL56" i="34" s="1"/>
  <c r="AN27" i="34"/>
  <c r="AP27" i="34"/>
  <c r="AR27" i="34"/>
  <c r="AT27" i="34"/>
  <c r="AV27" i="34"/>
  <c r="AX27" i="34"/>
  <c r="AZ27" i="34"/>
  <c r="BB27" i="34"/>
  <c r="BD27" i="34"/>
  <c r="BF27" i="34"/>
  <c r="BH27" i="34"/>
  <c r="Z27" i="34"/>
  <c r="AB22" i="34"/>
  <c r="AD22" i="34"/>
  <c r="AF22" i="34"/>
  <c r="AH22" i="34"/>
  <c r="AJ22" i="34"/>
  <c r="AL22" i="34"/>
  <c r="AN22" i="34"/>
  <c r="AP22" i="34"/>
  <c r="AR22" i="34"/>
  <c r="AT22" i="34"/>
  <c r="AV22" i="34"/>
  <c r="AX22" i="34"/>
  <c r="AZ22" i="34"/>
  <c r="BB22" i="34"/>
  <c r="BD22" i="34"/>
  <c r="BF22" i="34"/>
  <c r="BH22" i="34"/>
  <c r="Z22" i="34"/>
  <c r="BJ16" i="34"/>
  <c r="BJ17" i="34"/>
  <c r="BJ18" i="34"/>
  <c r="F18" i="34" s="1"/>
  <c r="BJ19" i="34"/>
  <c r="F19" i="34" s="1"/>
  <c r="BJ20" i="34"/>
  <c r="F20" i="34" s="1"/>
  <c r="BJ21" i="34"/>
  <c r="F21" i="34" s="1"/>
  <c r="BJ23" i="34"/>
  <c r="BJ24" i="34"/>
  <c r="F24" i="34" s="1"/>
  <c r="BJ25" i="34"/>
  <c r="F25" i="34" s="1"/>
  <c r="BJ26" i="34"/>
  <c r="F26" i="34" s="1"/>
  <c r="BJ29" i="34"/>
  <c r="BJ30" i="34"/>
  <c r="BJ32" i="34"/>
  <c r="BJ34" i="34"/>
  <c r="BJ35" i="34"/>
  <c r="F35" i="34" s="1"/>
  <c r="BJ36" i="34"/>
  <c r="F36" i="34" s="1"/>
  <c r="BJ37" i="34"/>
  <c r="F37" i="34" s="1"/>
  <c r="BJ38" i="34"/>
  <c r="F38" i="34" s="1"/>
  <c r="BJ39" i="34"/>
  <c r="F39" i="34" s="1"/>
  <c r="BJ41" i="34"/>
  <c r="BJ42" i="34"/>
  <c r="BJ43" i="34"/>
  <c r="BJ45" i="34"/>
  <c r="BJ46" i="34" s="1"/>
  <c r="BI13" i="34"/>
  <c r="BI16" i="34"/>
  <c r="BI23" i="34"/>
  <c r="BI34" i="34"/>
  <c r="BI41" i="34"/>
  <c r="BG12" i="34"/>
  <c r="BG13" i="34"/>
  <c r="BG16" i="34"/>
  <c r="BG23" i="34"/>
  <c r="BG28" i="34"/>
  <c r="BG34" i="34"/>
  <c r="BG41" i="34"/>
  <c r="BG11" i="34"/>
  <c r="BE16" i="34"/>
  <c r="BE23" i="34"/>
  <c r="BE28" i="34"/>
  <c r="BE34" i="34"/>
  <c r="BE41" i="34"/>
  <c r="BE12" i="34"/>
  <c r="BE13" i="34"/>
  <c r="BE11" i="34"/>
  <c r="BC12" i="34"/>
  <c r="BC13" i="34"/>
  <c r="BC16" i="34"/>
  <c r="BC23" i="34"/>
  <c r="BC28" i="34"/>
  <c r="BC34" i="34"/>
  <c r="BC41" i="34"/>
  <c r="BC11" i="34"/>
  <c r="BA12" i="34"/>
  <c r="BA13" i="34"/>
  <c r="BA16" i="34"/>
  <c r="BA23" i="34"/>
  <c r="BA28" i="34"/>
  <c r="BA34" i="34"/>
  <c r="BA41" i="34"/>
  <c r="BA11" i="34"/>
  <c r="AY12" i="34"/>
  <c r="AY13" i="34"/>
  <c r="AY16" i="34"/>
  <c r="AY23" i="34"/>
  <c r="AY28" i="34"/>
  <c r="AY34" i="34"/>
  <c r="AY41" i="34"/>
  <c r="AY11" i="34"/>
  <c r="AW12" i="34"/>
  <c r="AW13" i="34"/>
  <c r="AW16" i="34"/>
  <c r="AW23" i="34"/>
  <c r="AW28" i="34"/>
  <c r="AW34" i="34"/>
  <c r="AW41" i="34"/>
  <c r="AW11" i="34"/>
  <c r="AU12" i="34"/>
  <c r="AU13" i="34"/>
  <c r="AU16" i="34"/>
  <c r="AU23" i="34"/>
  <c r="AU28" i="34"/>
  <c r="AU34" i="34"/>
  <c r="AU41" i="34"/>
  <c r="AU11" i="34"/>
  <c r="AS12" i="34"/>
  <c r="AS13" i="34"/>
  <c r="AS16" i="34"/>
  <c r="AS23" i="34"/>
  <c r="AS28" i="34"/>
  <c r="AS34" i="34"/>
  <c r="AS41" i="34"/>
  <c r="AS11" i="34"/>
  <c r="AQ12" i="34"/>
  <c r="AQ13" i="34"/>
  <c r="AQ16" i="34"/>
  <c r="AQ23" i="34"/>
  <c r="AQ28" i="34"/>
  <c r="AQ34" i="34"/>
  <c r="AQ41" i="34"/>
  <c r="AQ11" i="34"/>
  <c r="AO12" i="34"/>
  <c r="AO13" i="34"/>
  <c r="AO16" i="34"/>
  <c r="AO23" i="34"/>
  <c r="AO28" i="34"/>
  <c r="AO34" i="34"/>
  <c r="AO41" i="34"/>
  <c r="AO11" i="34"/>
  <c r="AM12" i="34"/>
  <c r="AM13" i="34"/>
  <c r="AM16" i="34"/>
  <c r="AM23" i="34"/>
  <c r="AM28" i="34"/>
  <c r="AM34" i="34"/>
  <c r="AM41" i="34"/>
  <c r="AM11" i="34"/>
  <c r="AK16" i="34"/>
  <c r="AK23" i="34"/>
  <c r="AK28" i="34"/>
  <c r="AK34" i="34"/>
  <c r="AK41" i="34"/>
  <c r="AK12" i="34"/>
  <c r="AK13" i="34"/>
  <c r="AK11" i="34"/>
  <c r="AI12" i="34"/>
  <c r="AI13" i="34"/>
  <c r="AI16" i="34"/>
  <c r="AI23" i="34"/>
  <c r="AI28" i="34"/>
  <c r="AI34" i="34"/>
  <c r="AI41" i="34"/>
  <c r="AI11" i="34"/>
  <c r="AG12" i="34"/>
  <c r="AG13" i="34"/>
  <c r="AG16" i="34"/>
  <c r="AG23" i="34"/>
  <c r="AG28" i="34"/>
  <c r="AG34" i="34"/>
  <c r="AG41" i="34"/>
  <c r="AG11" i="34"/>
  <c r="AE12" i="34"/>
  <c r="AE16" i="34"/>
  <c r="AE23" i="34"/>
  <c r="AE28" i="34"/>
  <c r="AE34" i="34"/>
  <c r="AE41" i="34"/>
  <c r="AE11" i="34"/>
  <c r="AC12" i="34"/>
  <c r="AC13" i="34"/>
  <c r="AC16" i="34"/>
  <c r="AC23" i="34"/>
  <c r="AC28" i="34"/>
  <c r="AC34" i="34"/>
  <c r="AC41" i="34"/>
  <c r="AC11" i="34"/>
  <c r="AC15" i="34" s="1"/>
  <c r="AA12" i="34"/>
  <c r="AA13" i="34"/>
  <c r="AA16" i="34"/>
  <c r="AA23" i="34"/>
  <c r="AA28" i="34"/>
  <c r="AA34" i="34"/>
  <c r="AA41" i="34"/>
  <c r="AA11" i="34"/>
  <c r="BH11" i="34"/>
  <c r="BJ32" i="33"/>
  <c r="BJ33" i="33" s="1"/>
  <c r="BJ28" i="33"/>
  <c r="F28" i="33" s="1"/>
  <c r="BJ29" i="33"/>
  <c r="F29" i="33" s="1"/>
  <c r="BJ30" i="33"/>
  <c r="BJ26" i="33"/>
  <c r="BJ23" i="33"/>
  <c r="F23" i="33" s="1"/>
  <c r="BJ24" i="33"/>
  <c r="BJ25" i="33" s="1"/>
  <c r="BJ22" i="33"/>
  <c r="BJ19" i="33"/>
  <c r="F19" i="33" s="1"/>
  <c r="S19" i="33" s="1"/>
  <c r="BJ20" i="33"/>
  <c r="F20" i="33" s="1"/>
  <c r="BJ18" i="33"/>
  <c r="BJ15" i="33"/>
  <c r="F15" i="33" s="1"/>
  <c r="BJ14" i="33"/>
  <c r="F14" i="33" s="1"/>
  <c r="BJ12" i="33"/>
  <c r="BJ11" i="33"/>
  <c r="BJ10" i="33"/>
  <c r="BJ13" i="33"/>
  <c r="AO26" i="33"/>
  <c r="AO22" i="33"/>
  <c r="AO11" i="33"/>
  <c r="AO15" i="33"/>
  <c r="AO10" i="33"/>
  <c r="AY32" i="33"/>
  <c r="AY33" i="33" s="1"/>
  <c r="AY26" i="33"/>
  <c r="AY22" i="33"/>
  <c r="AY18" i="33"/>
  <c r="AY11" i="33"/>
  <c r="AY15" i="33"/>
  <c r="AY10" i="33"/>
  <c r="AW10" i="33"/>
  <c r="AW32" i="33"/>
  <c r="AW33" i="33" s="1"/>
  <c r="AW26" i="33"/>
  <c r="AW22" i="33"/>
  <c r="AW18" i="33"/>
  <c r="AW15" i="33"/>
  <c r="AW11" i="33"/>
  <c r="AU32" i="33"/>
  <c r="AU33" i="33" s="1"/>
  <c r="AU26" i="33"/>
  <c r="AU22" i="33"/>
  <c r="AU18" i="33"/>
  <c r="AU11" i="33"/>
  <c r="AU15" i="33"/>
  <c r="AU10" i="33"/>
  <c r="AO18" i="33"/>
  <c r="AK32" i="33"/>
  <c r="AK33" i="33" s="1"/>
  <c r="AK26" i="33"/>
  <c r="AK22" i="33"/>
  <c r="AK18" i="33"/>
  <c r="AK11" i="33"/>
  <c r="AK15" i="33"/>
  <c r="AK10" i="33"/>
  <c r="G32" i="33"/>
  <c r="AO32" i="33" s="1"/>
  <c r="AO33" i="33" s="1"/>
  <c r="AB33" i="33"/>
  <c r="AD33" i="33"/>
  <c r="AF33" i="33"/>
  <c r="AH33" i="33"/>
  <c r="AJ33" i="33"/>
  <c r="AL33" i="33"/>
  <c r="AN33" i="33"/>
  <c r="AP33" i="33"/>
  <c r="AR33" i="33"/>
  <c r="AT33" i="33"/>
  <c r="AV33" i="33"/>
  <c r="AX33" i="33"/>
  <c r="AZ33" i="33"/>
  <c r="BB33" i="33"/>
  <c r="BD33" i="33"/>
  <c r="BF33" i="33"/>
  <c r="BH33" i="33"/>
  <c r="AB25" i="33"/>
  <c r="AD25" i="33"/>
  <c r="AF25" i="33"/>
  <c r="AH25" i="33"/>
  <c r="AJ25" i="33"/>
  <c r="AL25" i="33"/>
  <c r="AN25" i="33"/>
  <c r="AP25" i="33"/>
  <c r="AR25" i="33"/>
  <c r="AT25" i="33"/>
  <c r="AV25" i="33"/>
  <c r="AX25" i="33"/>
  <c r="AZ25" i="33"/>
  <c r="BB25" i="33"/>
  <c r="BD25" i="33"/>
  <c r="BF25" i="33"/>
  <c r="BH25" i="33"/>
  <c r="AB21" i="33"/>
  <c r="AD21" i="33"/>
  <c r="AF21" i="33"/>
  <c r="AH21" i="33"/>
  <c r="AJ21" i="33"/>
  <c r="AL21" i="33"/>
  <c r="AN21" i="33"/>
  <c r="AP21" i="33"/>
  <c r="AR21" i="33"/>
  <c r="AT21" i="33"/>
  <c r="AV21" i="33"/>
  <c r="AX21" i="33"/>
  <c r="AZ21" i="33"/>
  <c r="BB21" i="33"/>
  <c r="BD21" i="33"/>
  <c r="BF21" i="33"/>
  <c r="BH21" i="33"/>
  <c r="BI18" i="33"/>
  <c r="BI22" i="33"/>
  <c r="BI26" i="33"/>
  <c r="BI32" i="33"/>
  <c r="BI33" i="33" s="1"/>
  <c r="BG18" i="33"/>
  <c r="BG22" i="33"/>
  <c r="BG26" i="33"/>
  <c r="BG32" i="33"/>
  <c r="BG33" i="33" s="1"/>
  <c r="BE18" i="33"/>
  <c r="BE22" i="33"/>
  <c r="BE26" i="33"/>
  <c r="BE32" i="33"/>
  <c r="BE33" i="33" s="1"/>
  <c r="BC18" i="33"/>
  <c r="BC22" i="33"/>
  <c r="BC26" i="33"/>
  <c r="BC32" i="33"/>
  <c r="BC33" i="33" s="1"/>
  <c r="BA18" i="33"/>
  <c r="BA22" i="33"/>
  <c r="BA26" i="33"/>
  <c r="BA32" i="33"/>
  <c r="BA33" i="33" s="1"/>
  <c r="AS18" i="33"/>
  <c r="AS22" i="33"/>
  <c r="AS26" i="33"/>
  <c r="AS32" i="33"/>
  <c r="AS33" i="33" s="1"/>
  <c r="AQ18" i="33"/>
  <c r="AQ22" i="33"/>
  <c r="AQ26" i="33"/>
  <c r="AQ32" i="33"/>
  <c r="AQ33" i="33" s="1"/>
  <c r="AM18" i="33"/>
  <c r="AM22" i="33"/>
  <c r="AM26" i="33"/>
  <c r="AM32" i="33"/>
  <c r="AM33" i="33" s="1"/>
  <c r="AI18" i="33"/>
  <c r="AI22" i="33"/>
  <c r="AI26" i="33"/>
  <c r="AI32" i="33"/>
  <c r="AI33" i="33" s="1"/>
  <c r="AG18" i="33"/>
  <c r="AG22" i="33"/>
  <c r="AG26" i="33"/>
  <c r="AG32" i="33"/>
  <c r="AG33" i="33" s="1"/>
  <c r="AE22" i="33"/>
  <c r="AE26" i="33"/>
  <c r="AE32" i="33"/>
  <c r="AE33" i="33" s="1"/>
  <c r="AC22" i="33"/>
  <c r="AC26" i="33"/>
  <c r="AC32" i="33"/>
  <c r="AC33" i="33" s="1"/>
  <c r="AA22" i="33"/>
  <c r="AA26" i="33"/>
  <c r="AA32" i="33"/>
  <c r="AA33" i="33" s="1"/>
  <c r="BI11" i="33"/>
  <c r="BI15" i="33"/>
  <c r="BG11" i="33"/>
  <c r="BG15" i="33"/>
  <c r="BG10" i="33"/>
  <c r="BE11" i="33"/>
  <c r="BE15" i="33"/>
  <c r="BE10" i="33"/>
  <c r="BC11" i="33"/>
  <c r="BC15" i="33"/>
  <c r="BC10" i="33"/>
  <c r="BA11" i="33"/>
  <c r="BA15" i="33"/>
  <c r="BA10" i="33"/>
  <c r="AS11" i="33"/>
  <c r="AS15" i="33"/>
  <c r="AS10" i="33"/>
  <c r="AQ11" i="33"/>
  <c r="AQ15" i="33"/>
  <c r="AQ10" i="33"/>
  <c r="AM11" i="33"/>
  <c r="AM15" i="33"/>
  <c r="AM10" i="33"/>
  <c r="AI11" i="33"/>
  <c r="AI15" i="33"/>
  <c r="AI10" i="33"/>
  <c r="AG11" i="33"/>
  <c r="AG15" i="33"/>
  <c r="AG10" i="33"/>
  <c r="AE11" i="33"/>
  <c r="AE15" i="33"/>
  <c r="AE10" i="33"/>
  <c r="AC11" i="33"/>
  <c r="AC15" i="33"/>
  <c r="AC10" i="33"/>
  <c r="AA11" i="33"/>
  <c r="AA15" i="33"/>
  <c r="AA10" i="33"/>
  <c r="AB42" i="32"/>
  <c r="AD42" i="32"/>
  <c r="AF42" i="32"/>
  <c r="AH42" i="32"/>
  <c r="AJ42" i="32"/>
  <c r="AL42" i="32"/>
  <c r="AN42" i="32"/>
  <c r="AP42" i="32"/>
  <c r="AR42" i="32"/>
  <c r="AT42" i="32"/>
  <c r="AV42" i="32"/>
  <c r="AX42" i="32"/>
  <c r="AZ42" i="32"/>
  <c r="BB42" i="32"/>
  <c r="BD42" i="32"/>
  <c r="BF42" i="32"/>
  <c r="BH42" i="32"/>
  <c r="BJ42" i="32"/>
  <c r="BK42" i="32"/>
  <c r="G42" i="32" s="1"/>
  <c r="AC125" i="32"/>
  <c r="AE125" i="32"/>
  <c r="AG125" i="32"/>
  <c r="AI125" i="32"/>
  <c r="AK125" i="32"/>
  <c r="AM125" i="32"/>
  <c r="AO125" i="32"/>
  <c r="AQ125" i="32"/>
  <c r="AS125" i="32"/>
  <c r="AU125" i="32"/>
  <c r="AW125" i="32"/>
  <c r="AY125" i="32"/>
  <c r="BA125" i="32"/>
  <c r="BC125" i="32"/>
  <c r="BE125" i="32"/>
  <c r="BI125" i="32"/>
  <c r="AC87" i="32"/>
  <c r="AE87" i="32"/>
  <c r="AG87" i="32"/>
  <c r="AI87" i="32"/>
  <c r="AK87" i="32"/>
  <c r="AM87" i="32"/>
  <c r="AO87" i="32"/>
  <c r="AQ87" i="32"/>
  <c r="AS87" i="32"/>
  <c r="AU87" i="32"/>
  <c r="AW87" i="32"/>
  <c r="AY87" i="32"/>
  <c r="BA87" i="32"/>
  <c r="BC87" i="32"/>
  <c r="BE87" i="32"/>
  <c r="BG87" i="32"/>
  <c r="BI87" i="32"/>
  <c r="AC77" i="32"/>
  <c r="AE77" i="32"/>
  <c r="AG77" i="32"/>
  <c r="AI77" i="32"/>
  <c r="AK77" i="32"/>
  <c r="AM77" i="32"/>
  <c r="AO77" i="32"/>
  <c r="AQ77" i="32"/>
  <c r="AS77" i="32"/>
  <c r="AU77" i="32"/>
  <c r="AW77" i="32"/>
  <c r="AY77" i="32"/>
  <c r="BA77" i="32"/>
  <c r="BC77" i="32"/>
  <c r="BE77" i="32"/>
  <c r="BG77" i="32"/>
  <c r="BI77" i="32"/>
  <c r="AA77" i="32"/>
  <c r="AC38" i="32"/>
  <c r="AE38" i="32"/>
  <c r="AG38" i="32"/>
  <c r="AI38" i="32"/>
  <c r="AK38" i="32"/>
  <c r="AM38" i="32"/>
  <c r="AO38" i="32"/>
  <c r="AQ38" i="32"/>
  <c r="AS38" i="32"/>
  <c r="AU38" i="32"/>
  <c r="AW38" i="32"/>
  <c r="AY38" i="32"/>
  <c r="BA38" i="32"/>
  <c r="BC38" i="32"/>
  <c r="BE38" i="32"/>
  <c r="BG38" i="32"/>
  <c r="BI38" i="32"/>
  <c r="AC22" i="32"/>
  <c r="AE22" i="32"/>
  <c r="AG22" i="32"/>
  <c r="AI22" i="32"/>
  <c r="AK22" i="32"/>
  <c r="AM22" i="32"/>
  <c r="AO22" i="32"/>
  <c r="AQ22" i="32"/>
  <c r="AS22" i="32"/>
  <c r="AU22" i="32"/>
  <c r="AW22" i="32"/>
  <c r="AY22" i="32"/>
  <c r="BA22" i="32"/>
  <c r="BC22" i="32"/>
  <c r="BE22" i="32"/>
  <c r="BG22" i="32"/>
  <c r="BI22" i="32"/>
  <c r="AA22" i="32"/>
  <c r="AA15" i="32"/>
  <c r="AC15" i="32"/>
  <c r="AE15" i="32"/>
  <c r="AG15" i="32"/>
  <c r="AI15" i="32"/>
  <c r="AK15" i="32"/>
  <c r="AM15" i="32"/>
  <c r="AO15" i="32"/>
  <c r="AQ15" i="32"/>
  <c r="AS15" i="32"/>
  <c r="AU15" i="32"/>
  <c r="AW15" i="32"/>
  <c r="AY15" i="32"/>
  <c r="BA15" i="32"/>
  <c r="BC15" i="32"/>
  <c r="BE15" i="32"/>
  <c r="BG15" i="32"/>
  <c r="BI15" i="32"/>
  <c r="BK13" i="32"/>
  <c r="BK14" i="32"/>
  <c r="BK16" i="32"/>
  <c r="BK17" i="32"/>
  <c r="BK18" i="32"/>
  <c r="BK20" i="32"/>
  <c r="BK21" i="32"/>
  <c r="BK23" i="32"/>
  <c r="BK24" i="32"/>
  <c r="G24" i="32" s="1"/>
  <c r="BK26" i="32"/>
  <c r="BK27" i="32"/>
  <c r="BK28" i="32"/>
  <c r="BK29" i="32"/>
  <c r="BK30" i="32"/>
  <c r="BK31" i="32"/>
  <c r="BK35" i="32"/>
  <c r="BK36" i="32"/>
  <c r="BK37" i="32"/>
  <c r="BK39" i="32"/>
  <c r="G39" i="32" s="1"/>
  <c r="BK40" i="32"/>
  <c r="BK41" i="32"/>
  <c r="BK43" i="32"/>
  <c r="BK44" i="32"/>
  <c r="G44" i="32" s="1"/>
  <c r="BK46" i="32"/>
  <c r="G46" i="32" s="1"/>
  <c r="BK47" i="32"/>
  <c r="BK48" i="32"/>
  <c r="BK49" i="32"/>
  <c r="BK50" i="32"/>
  <c r="BK51" i="32"/>
  <c r="BK52" i="32"/>
  <c r="BK53" i="32"/>
  <c r="BK54" i="32"/>
  <c r="G54" i="32" s="1"/>
  <c r="BK55" i="32"/>
  <c r="BK56" i="32"/>
  <c r="BK57" i="32"/>
  <c r="BK58" i="32"/>
  <c r="BK59" i="32"/>
  <c r="G59" i="32" s="1"/>
  <c r="BK60" i="32"/>
  <c r="G60" i="32" s="1"/>
  <c r="BK61" i="32"/>
  <c r="G61" i="32" s="1"/>
  <c r="BK64" i="32"/>
  <c r="BK65" i="32"/>
  <c r="BK66" i="32"/>
  <c r="BK67" i="32"/>
  <c r="BK68" i="32"/>
  <c r="BK69" i="32"/>
  <c r="BK70" i="32"/>
  <c r="BK71" i="32"/>
  <c r="BK72" i="32"/>
  <c r="BK73" i="32"/>
  <c r="BK74" i="32"/>
  <c r="BK75" i="32"/>
  <c r="G75" i="32" s="1"/>
  <c r="BK76" i="32"/>
  <c r="G76" i="32" s="1"/>
  <c r="BK78" i="32"/>
  <c r="G78" i="32" s="1"/>
  <c r="H78" i="32" s="1"/>
  <c r="BK79" i="32"/>
  <c r="BK81" i="32"/>
  <c r="BK82" i="32"/>
  <c r="BK86" i="32"/>
  <c r="BK89" i="32"/>
  <c r="BK90" i="32"/>
  <c r="BK91" i="32"/>
  <c r="BK92" i="32"/>
  <c r="BK93" i="32"/>
  <c r="BK94" i="32"/>
  <c r="BK95" i="32"/>
  <c r="BK96" i="32"/>
  <c r="BK99" i="32"/>
  <c r="BK100" i="32"/>
  <c r="BK101" i="32"/>
  <c r="BK102" i="32"/>
  <c r="BK103" i="32"/>
  <c r="BK104" i="32"/>
  <c r="BK105" i="32"/>
  <c r="G105" i="32" s="1"/>
  <c r="H105" i="32" s="1"/>
  <c r="BK106" i="32"/>
  <c r="G106" i="32" s="1"/>
  <c r="H106" i="32" s="1"/>
  <c r="BK107" i="32"/>
  <c r="G107" i="32" s="1"/>
  <c r="H107" i="32" s="1"/>
  <c r="BK108" i="32"/>
  <c r="G108" i="32" s="1"/>
  <c r="H108" i="32" s="1"/>
  <c r="BK110" i="32"/>
  <c r="G110" i="32" s="1"/>
  <c r="BK111" i="32"/>
  <c r="BK112" i="32"/>
  <c r="BK113" i="32"/>
  <c r="BK114" i="32"/>
  <c r="BK116" i="32"/>
  <c r="BK117" i="32"/>
  <c r="BK118" i="32"/>
  <c r="BK119" i="32"/>
  <c r="BK121" i="32"/>
  <c r="BK122" i="32"/>
  <c r="BK123" i="32"/>
  <c r="BK124" i="32"/>
  <c r="BK126" i="32"/>
  <c r="BK127" i="32"/>
  <c r="BK128" i="32"/>
  <c r="BK129" i="32"/>
  <c r="G129" i="32" s="1"/>
  <c r="H129" i="32" s="1"/>
  <c r="BF54" i="32"/>
  <c r="BD54" i="32"/>
  <c r="AX54" i="32"/>
  <c r="AT54" i="32"/>
  <c r="AP54" i="32"/>
  <c r="AN54" i="32"/>
  <c r="AL54" i="32"/>
  <c r="AH54" i="32"/>
  <c r="AD54" i="32"/>
  <c r="AF54" i="32"/>
  <c r="AJ54" i="32"/>
  <c r="AR54" i="32"/>
  <c r="AV54" i="32"/>
  <c r="BB54" i="32"/>
  <c r="BH54" i="32"/>
  <c r="BJ54" i="32"/>
  <c r="AB54" i="32"/>
  <c r="BJ16" i="32"/>
  <c r="BJ17" i="32"/>
  <c r="BJ23" i="32"/>
  <c r="BJ24" i="32"/>
  <c r="BJ25" i="32"/>
  <c r="BJ26" i="32"/>
  <c r="BJ27" i="32"/>
  <c r="BJ28" i="32"/>
  <c r="BJ29" i="32"/>
  <c r="BJ30" i="32"/>
  <c r="BJ31" i="32"/>
  <c r="BJ34" i="32"/>
  <c r="BJ35" i="32"/>
  <c r="BJ36" i="32"/>
  <c r="BJ37" i="32"/>
  <c r="BJ39" i="32"/>
  <c r="BJ40" i="32"/>
  <c r="BJ41" i="32"/>
  <c r="BJ43" i="32"/>
  <c r="BJ44" i="32"/>
  <c r="BJ46" i="32"/>
  <c r="BJ47" i="32"/>
  <c r="BJ48" i="32"/>
  <c r="BJ49" i="32"/>
  <c r="BJ50" i="32"/>
  <c r="BJ51" i="32"/>
  <c r="BJ52" i="32"/>
  <c r="BJ53" i="32"/>
  <c r="BJ55" i="32"/>
  <c r="BJ56" i="32"/>
  <c r="BJ57" i="32"/>
  <c r="BJ58" i="32"/>
  <c r="BJ59" i="32"/>
  <c r="BJ60" i="32"/>
  <c r="BJ61" i="32"/>
  <c r="BJ64" i="32"/>
  <c r="BJ65" i="32"/>
  <c r="BJ66" i="32"/>
  <c r="BJ67" i="32"/>
  <c r="BJ68" i="32"/>
  <c r="BJ69" i="32"/>
  <c r="BJ70" i="32"/>
  <c r="BJ71" i="32"/>
  <c r="BJ72" i="32"/>
  <c r="BJ73" i="32"/>
  <c r="BJ74" i="32"/>
  <c r="BJ75" i="32"/>
  <c r="BJ76" i="32"/>
  <c r="BJ78" i="32"/>
  <c r="BJ79" i="32"/>
  <c r="BJ81" i="32"/>
  <c r="BJ82" i="32"/>
  <c r="BJ86" i="32"/>
  <c r="BJ88" i="32"/>
  <c r="BJ89" i="32"/>
  <c r="BJ90" i="32"/>
  <c r="BJ91" i="32"/>
  <c r="BJ92" i="32"/>
  <c r="BJ93" i="32"/>
  <c r="BJ94" i="32"/>
  <c r="BJ95" i="32"/>
  <c r="BJ96" i="32"/>
  <c r="BJ99" i="32"/>
  <c r="BJ100" i="32"/>
  <c r="BJ101" i="32"/>
  <c r="BJ102" i="32"/>
  <c r="BJ103" i="32"/>
  <c r="BJ104" i="32"/>
  <c r="BJ105" i="32"/>
  <c r="BJ106" i="32"/>
  <c r="BJ107" i="32"/>
  <c r="BJ108" i="32"/>
  <c r="BJ110" i="32"/>
  <c r="BJ111" i="32"/>
  <c r="BJ112" i="32"/>
  <c r="BJ113" i="32"/>
  <c r="BJ114" i="32"/>
  <c r="BJ116" i="32"/>
  <c r="BJ117" i="32"/>
  <c r="BJ118" i="32"/>
  <c r="BJ119" i="32"/>
  <c r="BJ121" i="32"/>
  <c r="BJ122" i="32"/>
  <c r="BJ123" i="32"/>
  <c r="BJ124" i="32"/>
  <c r="BJ126" i="32"/>
  <c r="BJ127" i="32"/>
  <c r="BJ128" i="32"/>
  <c r="BJ129" i="32"/>
  <c r="BH16" i="32"/>
  <c r="BH17" i="32"/>
  <c r="BH19" i="32"/>
  <c r="BH23" i="32"/>
  <c r="BH24" i="32"/>
  <c r="BH25" i="32"/>
  <c r="BH26" i="32"/>
  <c r="BH27" i="32"/>
  <c r="BH28" i="32"/>
  <c r="BH29" i="32"/>
  <c r="BH30" i="32"/>
  <c r="BH31" i="32"/>
  <c r="BH34" i="32"/>
  <c r="BH35" i="32"/>
  <c r="BH36" i="32"/>
  <c r="BH37" i="32"/>
  <c r="BH39" i="32"/>
  <c r="BH40" i="32"/>
  <c r="BH41" i="32"/>
  <c r="BH43" i="32"/>
  <c r="BH44" i="32"/>
  <c r="BH46" i="32"/>
  <c r="BH47" i="32"/>
  <c r="BH48" i="32"/>
  <c r="BH49" i="32"/>
  <c r="BH50" i="32"/>
  <c r="BH51" i="32"/>
  <c r="BH52" i="32"/>
  <c r="BH53" i="32"/>
  <c r="BH55" i="32"/>
  <c r="BH56" i="32"/>
  <c r="BH57" i="32"/>
  <c r="BH58" i="32"/>
  <c r="BH59" i="32"/>
  <c r="BH60" i="32"/>
  <c r="BH61" i="32"/>
  <c r="BH63" i="32"/>
  <c r="BH64" i="32"/>
  <c r="BH65" i="32"/>
  <c r="BH66" i="32"/>
  <c r="BH67" i="32"/>
  <c r="BH68" i="32"/>
  <c r="BH69" i="32"/>
  <c r="BH70" i="32"/>
  <c r="BH71" i="32"/>
  <c r="BH72" i="32"/>
  <c r="BH73" i="32"/>
  <c r="BH74" i="32"/>
  <c r="BH75" i="32"/>
  <c r="BH76" i="32"/>
  <c r="BH78" i="32"/>
  <c r="BH79" i="32"/>
  <c r="BH81" i="32"/>
  <c r="BH82" i="32"/>
  <c r="BH86" i="32"/>
  <c r="BH88" i="32"/>
  <c r="BH89" i="32"/>
  <c r="BH90" i="32"/>
  <c r="BH91" i="32"/>
  <c r="BH92" i="32"/>
  <c r="BH93" i="32"/>
  <c r="BH94" i="32"/>
  <c r="BH95" i="32"/>
  <c r="BH96" i="32"/>
  <c r="BH99" i="32"/>
  <c r="BH100" i="32"/>
  <c r="BH101" i="32"/>
  <c r="BH102" i="32"/>
  <c r="BH103" i="32"/>
  <c r="BH104" i="32"/>
  <c r="BH105" i="32"/>
  <c r="BH106" i="32"/>
  <c r="BH107" i="32"/>
  <c r="BH108" i="32"/>
  <c r="BH110" i="32"/>
  <c r="BH111" i="32"/>
  <c r="BH112" i="32"/>
  <c r="BH113" i="32"/>
  <c r="BH114" i="32"/>
  <c r="BH116" i="32"/>
  <c r="BH117" i="32"/>
  <c r="BH118" i="32"/>
  <c r="BH119" i="32"/>
  <c r="BH121" i="32"/>
  <c r="BH122" i="32"/>
  <c r="BH123" i="32"/>
  <c r="BH124" i="32"/>
  <c r="BH126" i="32"/>
  <c r="BH127" i="32"/>
  <c r="BH128" i="32"/>
  <c r="BH129" i="32"/>
  <c r="BF16" i="32"/>
  <c r="BF17" i="32"/>
  <c r="BF19" i="32"/>
  <c r="BF23" i="32"/>
  <c r="BF24" i="32"/>
  <c r="BF25" i="32"/>
  <c r="BF26" i="32"/>
  <c r="BF27" i="32"/>
  <c r="BF28" i="32"/>
  <c r="BF29" i="32"/>
  <c r="BF30" i="32"/>
  <c r="BF31" i="32"/>
  <c r="BF34" i="32"/>
  <c r="BF35" i="32"/>
  <c r="BF36" i="32"/>
  <c r="BF37" i="32"/>
  <c r="BF39" i="32"/>
  <c r="BF40" i="32"/>
  <c r="BF41" i="32"/>
  <c r="BF43" i="32"/>
  <c r="BF44" i="32"/>
  <c r="BF46" i="32"/>
  <c r="BF47" i="32"/>
  <c r="BF48" i="32"/>
  <c r="BF49" i="32"/>
  <c r="BF50" i="32"/>
  <c r="BF51" i="32"/>
  <c r="BF52" i="32"/>
  <c r="BF53" i="32"/>
  <c r="BF55" i="32"/>
  <c r="BF56" i="32"/>
  <c r="BF57" i="32"/>
  <c r="BF58" i="32"/>
  <c r="BF59" i="32"/>
  <c r="BF60" i="32"/>
  <c r="BF61" i="32"/>
  <c r="BF63" i="32"/>
  <c r="BF64" i="32"/>
  <c r="BF65" i="32"/>
  <c r="BF66" i="32"/>
  <c r="BF67" i="32"/>
  <c r="BF68" i="32"/>
  <c r="BF69" i="32"/>
  <c r="BF70" i="32"/>
  <c r="BF71" i="32"/>
  <c r="BF72" i="32"/>
  <c r="BF73" i="32"/>
  <c r="BF74" i="32"/>
  <c r="BF75" i="32"/>
  <c r="BF76" i="32"/>
  <c r="BF78" i="32"/>
  <c r="BF79" i="32"/>
  <c r="BF81" i="32"/>
  <c r="BF82" i="32"/>
  <c r="BF86" i="32"/>
  <c r="BF88" i="32"/>
  <c r="BF89" i="32"/>
  <c r="BF90" i="32"/>
  <c r="BF91" i="32"/>
  <c r="BF92" i="32"/>
  <c r="BF93" i="32"/>
  <c r="BF94" i="32"/>
  <c r="BF95" i="32"/>
  <c r="BF96" i="32"/>
  <c r="BF99" i="32"/>
  <c r="BF100" i="32"/>
  <c r="BF101" i="32"/>
  <c r="BF102" i="32"/>
  <c r="BF103" i="32"/>
  <c r="BF104" i="32"/>
  <c r="BF105" i="32"/>
  <c r="BF106" i="32"/>
  <c r="BF107" i="32"/>
  <c r="BF108" i="32"/>
  <c r="BF110" i="32"/>
  <c r="BF111" i="32"/>
  <c r="BF112" i="32"/>
  <c r="BF113" i="32"/>
  <c r="BF114" i="32"/>
  <c r="BF116" i="32"/>
  <c r="BF117" i="32"/>
  <c r="BF118" i="32"/>
  <c r="BF119" i="32"/>
  <c r="BF121" i="32"/>
  <c r="BF122" i="32"/>
  <c r="BF123" i="32"/>
  <c r="BF124" i="32"/>
  <c r="BF126" i="32"/>
  <c r="BF127" i="32"/>
  <c r="BF128" i="32"/>
  <c r="BF129" i="32"/>
  <c r="BD16" i="32"/>
  <c r="BD17" i="32"/>
  <c r="BD19" i="32"/>
  <c r="BD23" i="32"/>
  <c r="BD24" i="32"/>
  <c r="BD25" i="32"/>
  <c r="BD26" i="32"/>
  <c r="BD27" i="32"/>
  <c r="BD28" i="32"/>
  <c r="BD29" i="32"/>
  <c r="BD30" i="32"/>
  <c r="BD31" i="32"/>
  <c r="BD34" i="32"/>
  <c r="BD35" i="32"/>
  <c r="BD36" i="32"/>
  <c r="BD37" i="32"/>
  <c r="BD39" i="32"/>
  <c r="BD40" i="32"/>
  <c r="BD41" i="32"/>
  <c r="BD43" i="32"/>
  <c r="BD44" i="32"/>
  <c r="BD46" i="32"/>
  <c r="BD47" i="32"/>
  <c r="BD48" i="32"/>
  <c r="BD49" i="32"/>
  <c r="BD50" i="32"/>
  <c r="BD51" i="32"/>
  <c r="BD52" i="32"/>
  <c r="BD53" i="32"/>
  <c r="BD55" i="32"/>
  <c r="BD56" i="32"/>
  <c r="BD57" i="32"/>
  <c r="BD58" i="32"/>
  <c r="BD59" i="32"/>
  <c r="BD60" i="32"/>
  <c r="BD61" i="32"/>
  <c r="BD63" i="32"/>
  <c r="BD64" i="32"/>
  <c r="BD65" i="32"/>
  <c r="BD66" i="32"/>
  <c r="BD67" i="32"/>
  <c r="BD68" i="32"/>
  <c r="BD69" i="32"/>
  <c r="BD70" i="32"/>
  <c r="BD71" i="32"/>
  <c r="BD72" i="32"/>
  <c r="BD73" i="32"/>
  <c r="BD74" i="32"/>
  <c r="BD75" i="32"/>
  <c r="BD76" i="32"/>
  <c r="BD78" i="32"/>
  <c r="BD79" i="32"/>
  <c r="BD81" i="32"/>
  <c r="BD82" i="32"/>
  <c r="BD86" i="32"/>
  <c r="BD88" i="32"/>
  <c r="BD89" i="32"/>
  <c r="BD90" i="32"/>
  <c r="BD91" i="32"/>
  <c r="BD92" i="32"/>
  <c r="BD93" i="32"/>
  <c r="BD94" i="32"/>
  <c r="BD95" i="32"/>
  <c r="BD96" i="32"/>
  <c r="BD99" i="32"/>
  <c r="BD100" i="32"/>
  <c r="BD101" i="32"/>
  <c r="BD102" i="32"/>
  <c r="BD103" i="32"/>
  <c r="BD104" i="32"/>
  <c r="BD105" i="32"/>
  <c r="BD106" i="32"/>
  <c r="BD107" i="32"/>
  <c r="BD108" i="32"/>
  <c r="BD110" i="32"/>
  <c r="BD111" i="32"/>
  <c r="BD112" i="32"/>
  <c r="BD113" i="32"/>
  <c r="BD114" i="32"/>
  <c r="BD116" i="32"/>
  <c r="BD117" i="32"/>
  <c r="BD118" i="32"/>
  <c r="BD119" i="32"/>
  <c r="BD121" i="32"/>
  <c r="BD122" i="32"/>
  <c r="BD123" i="32"/>
  <c r="BD124" i="32"/>
  <c r="BD126" i="32"/>
  <c r="BD127" i="32"/>
  <c r="BD128" i="32"/>
  <c r="BD129" i="32"/>
  <c r="BB16" i="32"/>
  <c r="BB17" i="32"/>
  <c r="BB19" i="32"/>
  <c r="BB23" i="32"/>
  <c r="BB24" i="32"/>
  <c r="BB25" i="32"/>
  <c r="BB26" i="32"/>
  <c r="BB27" i="32"/>
  <c r="BB28" i="32"/>
  <c r="BB29" i="32"/>
  <c r="BB30" i="32"/>
  <c r="BB31" i="32"/>
  <c r="BB34" i="32"/>
  <c r="BB35" i="32"/>
  <c r="BB36" i="32"/>
  <c r="BB37" i="32"/>
  <c r="BB39" i="32"/>
  <c r="BB40" i="32"/>
  <c r="BB41" i="32"/>
  <c r="BB43" i="32"/>
  <c r="BB44" i="32"/>
  <c r="BB46" i="32"/>
  <c r="BB47" i="32"/>
  <c r="BB48" i="32"/>
  <c r="BB49" i="32"/>
  <c r="BB50" i="32"/>
  <c r="BB51" i="32"/>
  <c r="BB52" i="32"/>
  <c r="BB53" i="32"/>
  <c r="BB55" i="32"/>
  <c r="BB56" i="32"/>
  <c r="BB57" i="32"/>
  <c r="BB58" i="32"/>
  <c r="BB59" i="32"/>
  <c r="BB60" i="32"/>
  <c r="BB61" i="32"/>
  <c r="BB63" i="32"/>
  <c r="BB64" i="32"/>
  <c r="BB65" i="32"/>
  <c r="BB66" i="32"/>
  <c r="BB67" i="32"/>
  <c r="BB68" i="32"/>
  <c r="BB69" i="32"/>
  <c r="BB70" i="32"/>
  <c r="BB71" i="32"/>
  <c r="BB72" i="32"/>
  <c r="BB73" i="32"/>
  <c r="BB74" i="32"/>
  <c r="BB75" i="32"/>
  <c r="BB76" i="32"/>
  <c r="BB78" i="32"/>
  <c r="BB79" i="32"/>
  <c r="BB81" i="32"/>
  <c r="BB82" i="32"/>
  <c r="BB86" i="32"/>
  <c r="BB88" i="32"/>
  <c r="BB89" i="32"/>
  <c r="BB90" i="32"/>
  <c r="BB91" i="32"/>
  <c r="BB92" i="32"/>
  <c r="BB93" i="32"/>
  <c r="BB94" i="32"/>
  <c r="BB95" i="32"/>
  <c r="BB96" i="32"/>
  <c r="BB99" i="32"/>
  <c r="BB100" i="32"/>
  <c r="BB101" i="32"/>
  <c r="BB102" i="32"/>
  <c r="BB103" i="32"/>
  <c r="BB104" i="32"/>
  <c r="BB105" i="32"/>
  <c r="BB106" i="32"/>
  <c r="BB107" i="32"/>
  <c r="BB108" i="32"/>
  <c r="BB110" i="32"/>
  <c r="BB111" i="32"/>
  <c r="BB112" i="32"/>
  <c r="BB113" i="32"/>
  <c r="BB114" i="32"/>
  <c r="BB116" i="32"/>
  <c r="BB117" i="32"/>
  <c r="BB118" i="32"/>
  <c r="BB119" i="32"/>
  <c r="BB121" i="32"/>
  <c r="BB122" i="32"/>
  <c r="BB123" i="32"/>
  <c r="BB124" i="32"/>
  <c r="BB127" i="32"/>
  <c r="BB128" i="32"/>
  <c r="BB129" i="32"/>
  <c r="AZ16" i="32"/>
  <c r="AZ17" i="32"/>
  <c r="AZ19" i="32"/>
  <c r="AZ23" i="32"/>
  <c r="AZ24" i="32"/>
  <c r="AZ25" i="32"/>
  <c r="AZ26" i="32"/>
  <c r="AZ27" i="32"/>
  <c r="AZ28" i="32"/>
  <c r="AZ29" i="32"/>
  <c r="AZ30" i="32"/>
  <c r="AZ31" i="32"/>
  <c r="AZ34" i="32"/>
  <c r="AZ35" i="32"/>
  <c r="AZ36" i="32"/>
  <c r="AZ37" i="32"/>
  <c r="AZ39" i="32"/>
  <c r="AZ40" i="32"/>
  <c r="AZ41" i="32"/>
  <c r="AZ43" i="32"/>
  <c r="AZ44" i="32"/>
  <c r="AZ46" i="32"/>
  <c r="AZ47" i="32"/>
  <c r="AZ48" i="32"/>
  <c r="AZ49" i="32"/>
  <c r="AZ50" i="32"/>
  <c r="AZ51" i="32"/>
  <c r="AZ52" i="32"/>
  <c r="AZ53" i="32"/>
  <c r="AZ55" i="32"/>
  <c r="AZ56" i="32"/>
  <c r="AZ57" i="32"/>
  <c r="AZ58" i="32"/>
  <c r="AZ59" i="32"/>
  <c r="AZ60" i="32"/>
  <c r="AZ61" i="32"/>
  <c r="AZ63" i="32"/>
  <c r="AZ64" i="32"/>
  <c r="AZ65" i="32"/>
  <c r="AZ66" i="32"/>
  <c r="AZ67" i="32"/>
  <c r="AZ68" i="32"/>
  <c r="AZ69" i="32"/>
  <c r="AZ70" i="32"/>
  <c r="AZ71" i="32"/>
  <c r="AZ72" i="32"/>
  <c r="AZ73" i="32"/>
  <c r="AZ74" i="32"/>
  <c r="AZ75" i="32"/>
  <c r="AZ76" i="32"/>
  <c r="AZ78" i="32"/>
  <c r="AZ79" i="32"/>
  <c r="AZ81" i="32"/>
  <c r="AZ82" i="32"/>
  <c r="AZ86" i="32"/>
  <c r="AZ88" i="32"/>
  <c r="AZ89" i="32"/>
  <c r="AZ90" i="32"/>
  <c r="AZ91" i="32"/>
  <c r="AZ92" i="32"/>
  <c r="AZ93" i="32"/>
  <c r="AZ94" i="32"/>
  <c r="AZ95" i="32"/>
  <c r="AZ96" i="32"/>
  <c r="AZ99" i="32"/>
  <c r="AZ100" i="32"/>
  <c r="AZ101" i="32"/>
  <c r="AZ102" i="32"/>
  <c r="AZ103" i="32"/>
  <c r="AZ104" i="32"/>
  <c r="AZ105" i="32"/>
  <c r="AZ106" i="32"/>
  <c r="AZ107" i="32"/>
  <c r="AZ108" i="32"/>
  <c r="AZ110" i="32"/>
  <c r="AZ111" i="32"/>
  <c r="AZ112" i="32"/>
  <c r="AZ113" i="32"/>
  <c r="AZ114" i="32"/>
  <c r="AZ116" i="32"/>
  <c r="AZ117" i="32"/>
  <c r="AZ118" i="32"/>
  <c r="AZ119" i="32"/>
  <c r="AZ121" i="32"/>
  <c r="AZ122" i="32"/>
  <c r="AZ123" i="32"/>
  <c r="AZ124" i="32"/>
  <c r="AZ126" i="32"/>
  <c r="AZ127" i="32"/>
  <c r="AZ128" i="32"/>
  <c r="AZ129" i="32"/>
  <c r="AX16" i="32"/>
  <c r="AX17" i="32"/>
  <c r="AX19" i="32"/>
  <c r="AX23" i="32"/>
  <c r="AX24" i="32"/>
  <c r="AX25" i="32"/>
  <c r="AX26" i="32"/>
  <c r="AX27" i="32"/>
  <c r="AX28" i="32"/>
  <c r="AX29" i="32"/>
  <c r="AX30" i="32"/>
  <c r="AX31" i="32"/>
  <c r="AX34" i="32"/>
  <c r="AX35" i="32"/>
  <c r="AX36" i="32"/>
  <c r="AX37" i="32"/>
  <c r="AX39" i="32"/>
  <c r="AX40" i="32"/>
  <c r="AX41" i="32"/>
  <c r="AX43" i="32"/>
  <c r="AX44" i="32"/>
  <c r="AX46" i="32"/>
  <c r="AX47" i="32"/>
  <c r="AX48" i="32"/>
  <c r="AX49" i="32"/>
  <c r="AX50" i="32"/>
  <c r="AX51" i="32"/>
  <c r="AX52" i="32"/>
  <c r="AX53" i="32"/>
  <c r="AX55" i="32"/>
  <c r="AX56" i="32"/>
  <c r="AX57" i="32"/>
  <c r="AX58" i="32"/>
  <c r="AX59" i="32"/>
  <c r="AX60" i="32"/>
  <c r="AX61" i="32"/>
  <c r="AX63" i="32"/>
  <c r="AX64" i="32"/>
  <c r="AX65" i="32"/>
  <c r="AX66" i="32"/>
  <c r="AX67" i="32"/>
  <c r="AX68" i="32"/>
  <c r="AX69" i="32"/>
  <c r="AX70" i="32"/>
  <c r="AX71" i="32"/>
  <c r="AX72" i="32"/>
  <c r="AX73" i="32"/>
  <c r="AX74" i="32"/>
  <c r="AX75" i="32"/>
  <c r="AX76" i="32"/>
  <c r="AX78" i="32"/>
  <c r="AX79" i="32"/>
  <c r="AX81" i="32"/>
  <c r="AX82" i="32"/>
  <c r="AX86" i="32"/>
  <c r="AX88" i="32"/>
  <c r="AX89" i="32"/>
  <c r="AX90" i="32"/>
  <c r="AX91" i="32"/>
  <c r="AX92" i="32"/>
  <c r="AX93" i="32"/>
  <c r="AX94" i="32"/>
  <c r="AX95" i="32"/>
  <c r="AX96" i="32"/>
  <c r="AX99" i="32"/>
  <c r="AX100" i="32"/>
  <c r="AX101" i="32"/>
  <c r="AX102" i="32"/>
  <c r="AX103" i="32"/>
  <c r="AX104" i="32"/>
  <c r="AX105" i="32"/>
  <c r="AX106" i="32"/>
  <c r="AX107" i="32"/>
  <c r="AX108" i="32"/>
  <c r="AX110" i="32"/>
  <c r="AX111" i="32"/>
  <c r="AX112" i="32"/>
  <c r="AX113" i="32"/>
  <c r="AX114" i="32"/>
  <c r="AX116" i="32"/>
  <c r="AX117" i="32"/>
  <c r="AX118" i="32"/>
  <c r="AX119" i="32"/>
  <c r="AX121" i="32"/>
  <c r="AX122" i="32"/>
  <c r="AX123" i="32"/>
  <c r="AX124" i="32"/>
  <c r="AX126" i="32"/>
  <c r="AX127" i="32"/>
  <c r="AX128" i="32"/>
  <c r="AX129" i="32"/>
  <c r="AV16" i="32"/>
  <c r="AV17" i="32"/>
  <c r="AV19" i="32"/>
  <c r="AV23" i="32"/>
  <c r="AV24" i="32"/>
  <c r="AV25" i="32"/>
  <c r="AV26" i="32"/>
  <c r="AV27" i="32"/>
  <c r="AV28" i="32"/>
  <c r="AV29" i="32"/>
  <c r="AV30" i="32"/>
  <c r="AV31" i="32"/>
  <c r="AV34" i="32"/>
  <c r="AV35" i="32"/>
  <c r="AV36" i="32"/>
  <c r="AV37" i="32"/>
  <c r="AV39" i="32"/>
  <c r="AV40" i="32"/>
  <c r="AV41" i="32"/>
  <c r="AV43" i="32"/>
  <c r="AV44" i="32"/>
  <c r="AV46" i="32"/>
  <c r="AV47" i="32"/>
  <c r="AV48" i="32"/>
  <c r="AV49" i="32"/>
  <c r="AV50" i="32"/>
  <c r="AV51" i="32"/>
  <c r="AV52" i="32"/>
  <c r="AV53" i="32"/>
  <c r="AV55" i="32"/>
  <c r="AV56" i="32"/>
  <c r="AV57" i="32"/>
  <c r="AV58" i="32"/>
  <c r="AV59" i="32"/>
  <c r="AV60" i="32"/>
  <c r="AV61" i="32"/>
  <c r="AV63" i="32"/>
  <c r="AV64" i="32"/>
  <c r="AV65" i="32"/>
  <c r="AV66" i="32"/>
  <c r="AV67" i="32"/>
  <c r="AV68" i="32"/>
  <c r="AV69" i="32"/>
  <c r="AV70" i="32"/>
  <c r="AV71" i="32"/>
  <c r="AV72" i="32"/>
  <c r="AV73" i="32"/>
  <c r="AV74" i="32"/>
  <c r="AV75" i="32"/>
  <c r="AV76" i="32"/>
  <c r="AV78" i="32"/>
  <c r="AV79" i="32"/>
  <c r="AV81" i="32"/>
  <c r="AV82" i="32"/>
  <c r="AV86" i="32"/>
  <c r="AV88" i="32"/>
  <c r="AV89" i="32"/>
  <c r="AV90" i="32"/>
  <c r="AV91" i="32"/>
  <c r="AV92" i="32"/>
  <c r="AV93" i="32"/>
  <c r="AV94" i="32"/>
  <c r="AV95" i="32"/>
  <c r="AV96" i="32"/>
  <c r="AV99" i="32"/>
  <c r="AV100" i="32"/>
  <c r="AV101" i="32"/>
  <c r="AV102" i="32"/>
  <c r="AV103" i="32"/>
  <c r="AV104" i="32"/>
  <c r="AV105" i="32"/>
  <c r="AV106" i="32"/>
  <c r="AV107" i="32"/>
  <c r="AV108" i="32"/>
  <c r="AV110" i="32"/>
  <c r="AV111" i="32"/>
  <c r="AV112" i="32"/>
  <c r="AV113" i="32"/>
  <c r="AV114" i="32"/>
  <c r="AV116" i="32"/>
  <c r="AV117" i="32"/>
  <c r="AV118" i="32"/>
  <c r="AV119" i="32"/>
  <c r="AV121" i="32"/>
  <c r="AV122" i="32"/>
  <c r="AV123" i="32"/>
  <c r="AV124" i="32"/>
  <c r="AV126" i="32"/>
  <c r="AV127" i="32"/>
  <c r="AV128" i="32"/>
  <c r="AV129" i="32"/>
  <c r="AT16" i="32"/>
  <c r="AT17" i="32"/>
  <c r="AT19" i="32"/>
  <c r="AT23" i="32"/>
  <c r="AT24" i="32"/>
  <c r="AT25" i="32"/>
  <c r="AT26" i="32"/>
  <c r="AT27" i="32"/>
  <c r="AT28" i="32"/>
  <c r="AT29" i="32"/>
  <c r="AT30" i="32"/>
  <c r="AT31" i="32"/>
  <c r="AT34" i="32"/>
  <c r="AT35" i="32"/>
  <c r="AT36" i="32"/>
  <c r="AT37" i="32"/>
  <c r="AT39" i="32"/>
  <c r="AT40" i="32"/>
  <c r="AT41" i="32"/>
  <c r="AT43" i="32"/>
  <c r="AT44" i="32"/>
  <c r="AT46" i="32"/>
  <c r="AT47" i="32"/>
  <c r="AT48" i="32"/>
  <c r="AT49" i="32"/>
  <c r="AT50" i="32"/>
  <c r="AT51" i="32"/>
  <c r="AT52" i="32"/>
  <c r="AT53" i="32"/>
  <c r="AT55" i="32"/>
  <c r="AT56" i="32"/>
  <c r="AT57" i="32"/>
  <c r="AT58" i="32"/>
  <c r="AT59" i="32"/>
  <c r="AT60" i="32"/>
  <c r="AT61" i="32"/>
  <c r="AT63" i="32"/>
  <c r="AT64" i="32"/>
  <c r="AT65" i="32"/>
  <c r="AT66" i="32"/>
  <c r="AT67" i="32"/>
  <c r="AT68" i="32"/>
  <c r="AT69" i="32"/>
  <c r="AT70" i="32"/>
  <c r="AT71" i="32"/>
  <c r="AT72" i="32"/>
  <c r="AT73" i="32"/>
  <c r="AT74" i="32"/>
  <c r="AT75" i="32"/>
  <c r="AT76" i="32"/>
  <c r="AT78" i="32"/>
  <c r="AT79" i="32"/>
  <c r="AT81" i="32"/>
  <c r="AT82" i="32"/>
  <c r="AT86" i="32"/>
  <c r="AT88" i="32"/>
  <c r="AT89" i="32"/>
  <c r="AT90" i="32"/>
  <c r="AT91" i="32"/>
  <c r="AT92" i="32"/>
  <c r="AT93" i="32"/>
  <c r="AT94" i="32"/>
  <c r="AT95" i="32"/>
  <c r="AT96" i="32"/>
  <c r="AT99" i="32"/>
  <c r="AT100" i="32"/>
  <c r="AT101" i="32"/>
  <c r="AT102" i="32"/>
  <c r="AT103" i="32"/>
  <c r="AT104" i="32"/>
  <c r="AT105" i="32"/>
  <c r="AT106" i="32"/>
  <c r="AT107" i="32"/>
  <c r="AT108" i="32"/>
  <c r="AT110" i="32"/>
  <c r="AT111" i="32"/>
  <c r="AT112" i="32"/>
  <c r="AT113" i="32"/>
  <c r="AT114" i="32"/>
  <c r="AT116" i="32"/>
  <c r="AT117" i="32"/>
  <c r="AT118" i="32"/>
  <c r="AT119" i="32"/>
  <c r="AT121" i="32"/>
  <c r="AT122" i="32"/>
  <c r="AT123" i="32"/>
  <c r="AT124" i="32"/>
  <c r="AT126" i="32"/>
  <c r="AT127" i="32"/>
  <c r="AT128" i="32"/>
  <c r="AT129" i="32"/>
  <c r="AR16" i="32"/>
  <c r="AR17" i="32"/>
  <c r="AR19" i="32"/>
  <c r="AR23" i="32"/>
  <c r="AR24" i="32"/>
  <c r="AR25" i="32"/>
  <c r="AR26" i="32"/>
  <c r="AR27" i="32"/>
  <c r="AR28" i="32"/>
  <c r="AR29" i="32"/>
  <c r="AR30" i="32"/>
  <c r="AR31" i="32"/>
  <c r="AR34" i="32"/>
  <c r="AR35" i="32"/>
  <c r="AR36" i="32"/>
  <c r="AR37" i="32"/>
  <c r="AR39" i="32"/>
  <c r="AR40" i="32"/>
  <c r="AR41" i="32"/>
  <c r="AR43" i="32"/>
  <c r="AR44" i="32"/>
  <c r="AR46" i="32"/>
  <c r="AR47" i="32"/>
  <c r="AR48" i="32"/>
  <c r="AR49" i="32"/>
  <c r="AR50" i="32"/>
  <c r="AR51" i="32"/>
  <c r="AR52" i="32"/>
  <c r="AR53" i="32"/>
  <c r="AR55" i="32"/>
  <c r="AR56" i="32"/>
  <c r="AR57" i="32"/>
  <c r="AR58" i="32"/>
  <c r="AR59" i="32"/>
  <c r="AR60" i="32"/>
  <c r="AR61" i="32"/>
  <c r="AR63" i="32"/>
  <c r="AR64" i="32"/>
  <c r="AR65" i="32"/>
  <c r="AR66" i="32"/>
  <c r="AR67" i="32"/>
  <c r="AR68" i="32"/>
  <c r="AR69" i="32"/>
  <c r="AR70" i="32"/>
  <c r="AR71" i="32"/>
  <c r="AR72" i="32"/>
  <c r="AR73" i="32"/>
  <c r="AR74" i="32"/>
  <c r="AR75" i="32"/>
  <c r="AR76" i="32"/>
  <c r="AR78" i="32"/>
  <c r="AR79" i="32"/>
  <c r="AR81" i="32"/>
  <c r="AR82" i="32"/>
  <c r="AR86" i="32"/>
  <c r="AR88" i="32"/>
  <c r="AR89" i="32"/>
  <c r="AR90" i="32"/>
  <c r="AR91" i="32"/>
  <c r="AR92" i="32"/>
  <c r="AR93" i="32"/>
  <c r="AR94" i="32"/>
  <c r="AR95" i="32"/>
  <c r="AR96" i="32"/>
  <c r="AR99" i="32"/>
  <c r="AR100" i="32"/>
  <c r="AR101" i="32"/>
  <c r="AR102" i="32"/>
  <c r="AR103" i="32"/>
  <c r="AR104" i="32"/>
  <c r="AR105" i="32"/>
  <c r="AR106" i="32"/>
  <c r="AR107" i="32"/>
  <c r="AR108" i="32"/>
  <c r="AR110" i="32"/>
  <c r="AR111" i="32"/>
  <c r="AR112" i="32"/>
  <c r="AR113" i="32"/>
  <c r="AR114" i="32"/>
  <c r="AR116" i="32"/>
  <c r="AR117" i="32"/>
  <c r="AR118" i="32"/>
  <c r="AR119" i="32"/>
  <c r="AR121" i="32"/>
  <c r="AR122" i="32"/>
  <c r="AR123" i="32"/>
  <c r="AR124" i="32"/>
  <c r="AR126" i="32"/>
  <c r="AR127" i="32"/>
  <c r="AR128" i="32"/>
  <c r="AR129" i="32"/>
  <c r="AP16" i="32"/>
  <c r="AP17" i="32"/>
  <c r="AP19" i="32"/>
  <c r="AP23" i="32"/>
  <c r="AP24" i="32"/>
  <c r="AP25" i="32"/>
  <c r="AP26" i="32"/>
  <c r="AP27" i="32"/>
  <c r="AP28" i="32"/>
  <c r="AP29" i="32"/>
  <c r="AP30" i="32"/>
  <c r="AP31" i="32"/>
  <c r="AP34" i="32"/>
  <c r="AP35" i="32"/>
  <c r="AP36" i="32"/>
  <c r="AP37" i="32"/>
  <c r="AP39" i="32"/>
  <c r="AP40" i="32"/>
  <c r="AP41" i="32"/>
  <c r="AP43" i="32"/>
  <c r="AP44" i="32"/>
  <c r="AP46" i="32"/>
  <c r="AP47" i="32"/>
  <c r="AP48" i="32"/>
  <c r="AP49" i="32"/>
  <c r="AP50" i="32"/>
  <c r="AP51" i="32"/>
  <c r="AP52" i="32"/>
  <c r="AP53" i="32"/>
  <c r="AP55" i="32"/>
  <c r="AP56" i="32"/>
  <c r="AP57" i="32"/>
  <c r="AP58" i="32"/>
  <c r="AP59" i="32"/>
  <c r="AP60" i="32"/>
  <c r="AP61" i="32"/>
  <c r="AP63" i="32"/>
  <c r="AP64" i="32"/>
  <c r="AP65" i="32"/>
  <c r="AP66" i="32"/>
  <c r="AP67" i="32"/>
  <c r="AP68" i="32"/>
  <c r="AP69" i="32"/>
  <c r="AP70" i="32"/>
  <c r="AP71" i="32"/>
  <c r="AP72" i="32"/>
  <c r="AP73" i="32"/>
  <c r="AP74" i="32"/>
  <c r="AP75" i="32"/>
  <c r="AP76" i="32"/>
  <c r="AP78" i="32"/>
  <c r="AP79" i="32"/>
  <c r="AP81" i="32"/>
  <c r="AP82" i="32"/>
  <c r="AP86" i="32"/>
  <c r="AP88" i="32"/>
  <c r="AP89" i="32"/>
  <c r="AP90" i="32"/>
  <c r="AP91" i="32"/>
  <c r="AP92" i="32"/>
  <c r="AP93" i="32"/>
  <c r="AP94" i="32"/>
  <c r="AP95" i="32"/>
  <c r="AP96" i="32"/>
  <c r="AP99" i="32"/>
  <c r="AP100" i="32"/>
  <c r="AP101" i="32"/>
  <c r="AP102" i="32"/>
  <c r="AP103" i="32"/>
  <c r="AP104" i="32"/>
  <c r="AP105" i="32"/>
  <c r="AP106" i="32"/>
  <c r="AP107" i="32"/>
  <c r="AP108" i="32"/>
  <c r="AP110" i="32"/>
  <c r="AP111" i="32"/>
  <c r="AP112" i="32"/>
  <c r="AP113" i="32"/>
  <c r="AP114" i="32"/>
  <c r="AP116" i="32"/>
  <c r="AP117" i="32"/>
  <c r="AP118" i="32"/>
  <c r="AP119" i="32"/>
  <c r="AP121" i="32"/>
  <c r="AP122" i="32"/>
  <c r="AP123" i="32"/>
  <c r="AP124" i="32"/>
  <c r="AP126" i="32"/>
  <c r="AP127" i="32"/>
  <c r="AP128" i="32"/>
  <c r="AP129" i="32"/>
  <c r="AN16" i="32"/>
  <c r="AN17" i="32"/>
  <c r="AN19" i="32"/>
  <c r="AN23" i="32"/>
  <c r="AN24" i="32"/>
  <c r="AN25" i="32"/>
  <c r="AN26" i="32"/>
  <c r="AN27" i="32"/>
  <c r="AN28" i="32"/>
  <c r="AN29" i="32"/>
  <c r="AN30" i="32"/>
  <c r="AN31" i="32"/>
  <c r="AN34" i="32"/>
  <c r="AN35" i="32"/>
  <c r="AN36" i="32"/>
  <c r="AN37" i="32"/>
  <c r="AN39" i="32"/>
  <c r="AN40" i="32"/>
  <c r="AN41" i="32"/>
  <c r="AN43" i="32"/>
  <c r="AN44" i="32"/>
  <c r="AN46" i="32"/>
  <c r="AN47" i="32"/>
  <c r="AN48" i="32"/>
  <c r="AN49" i="32"/>
  <c r="AN50" i="32"/>
  <c r="AN51" i="32"/>
  <c r="AN52" i="32"/>
  <c r="AN53" i="32"/>
  <c r="AN55" i="32"/>
  <c r="AN56" i="32"/>
  <c r="AN57" i="32"/>
  <c r="AN58" i="32"/>
  <c r="AN59" i="32"/>
  <c r="AN60" i="32"/>
  <c r="AN61" i="32"/>
  <c r="AN63" i="32"/>
  <c r="AN64" i="32"/>
  <c r="AN65" i="32"/>
  <c r="AN66" i="32"/>
  <c r="AN67" i="32"/>
  <c r="AN68" i="32"/>
  <c r="AN69" i="32"/>
  <c r="AN70" i="32"/>
  <c r="AN71" i="32"/>
  <c r="AN72" i="32"/>
  <c r="AN73" i="32"/>
  <c r="AN74" i="32"/>
  <c r="AN75" i="32"/>
  <c r="AN76" i="32"/>
  <c r="AN78" i="32"/>
  <c r="AN79" i="32"/>
  <c r="AN81" i="32"/>
  <c r="AN82" i="32"/>
  <c r="AN86" i="32"/>
  <c r="AN88" i="32"/>
  <c r="AN89" i="32"/>
  <c r="AN90" i="32"/>
  <c r="AN91" i="32"/>
  <c r="AN92" i="32"/>
  <c r="AN93" i="32"/>
  <c r="AN94" i="32"/>
  <c r="AN95" i="32"/>
  <c r="AN96" i="32"/>
  <c r="AN99" i="32"/>
  <c r="AN100" i="32"/>
  <c r="AN101" i="32"/>
  <c r="AN102" i="32"/>
  <c r="AN103" i="32"/>
  <c r="AN104" i="32"/>
  <c r="AN105" i="32"/>
  <c r="AN106" i="32"/>
  <c r="AN107" i="32"/>
  <c r="AN108" i="32"/>
  <c r="AN110" i="32"/>
  <c r="AN111" i="32"/>
  <c r="AN112" i="32"/>
  <c r="AN113" i="32"/>
  <c r="AN114" i="32"/>
  <c r="AN116" i="32"/>
  <c r="AN117" i="32"/>
  <c r="AN118" i="32"/>
  <c r="AN119" i="32"/>
  <c r="AN121" i="32"/>
  <c r="AN122" i="32"/>
  <c r="AN123" i="32"/>
  <c r="AN124" i="32"/>
  <c r="AN126" i="32"/>
  <c r="AN127" i="32"/>
  <c r="AN128" i="32"/>
  <c r="AN129" i="32"/>
  <c r="AL16" i="32"/>
  <c r="AL17" i="32"/>
  <c r="AL19" i="32"/>
  <c r="AL23" i="32"/>
  <c r="AL24" i="32"/>
  <c r="AL25" i="32"/>
  <c r="AL26" i="32"/>
  <c r="AL27" i="32"/>
  <c r="AL28" i="32"/>
  <c r="AL29" i="32"/>
  <c r="AL30" i="32"/>
  <c r="AL31" i="32"/>
  <c r="AL34" i="32"/>
  <c r="AL35" i="32"/>
  <c r="AL36" i="32"/>
  <c r="AL37" i="32"/>
  <c r="AL39" i="32"/>
  <c r="AL40" i="32"/>
  <c r="AL41" i="32"/>
  <c r="AL43" i="32"/>
  <c r="AL44" i="32"/>
  <c r="AL46" i="32"/>
  <c r="AL47" i="32"/>
  <c r="AL48" i="32"/>
  <c r="AL49" i="32"/>
  <c r="AL50" i="32"/>
  <c r="AL51" i="32"/>
  <c r="AL52" i="32"/>
  <c r="AL53" i="32"/>
  <c r="AL55" i="32"/>
  <c r="AL56" i="32"/>
  <c r="AL57" i="32"/>
  <c r="AL58" i="32"/>
  <c r="AL59" i="32"/>
  <c r="AL60" i="32"/>
  <c r="AL61" i="32"/>
  <c r="AL63" i="32"/>
  <c r="AL64" i="32"/>
  <c r="AL65" i="32"/>
  <c r="AL66" i="32"/>
  <c r="AL67" i="32"/>
  <c r="AL68" i="32"/>
  <c r="AL69" i="32"/>
  <c r="AL70" i="32"/>
  <c r="AL71" i="32"/>
  <c r="AL72" i="32"/>
  <c r="AL73" i="32"/>
  <c r="AL74" i="32"/>
  <c r="AL75" i="32"/>
  <c r="AL76" i="32"/>
  <c r="AL78" i="32"/>
  <c r="AL79" i="32"/>
  <c r="AL81" i="32"/>
  <c r="AL82" i="32"/>
  <c r="AL86" i="32"/>
  <c r="AL88" i="32"/>
  <c r="AL89" i="32"/>
  <c r="AL90" i="32"/>
  <c r="AL91" i="32"/>
  <c r="AL92" i="32"/>
  <c r="AL93" i="32"/>
  <c r="AL94" i="32"/>
  <c r="AL95" i="32"/>
  <c r="AL96" i="32"/>
  <c r="AL99" i="32"/>
  <c r="AL100" i="32"/>
  <c r="AL101" i="32"/>
  <c r="AL102" i="32"/>
  <c r="AL103" i="32"/>
  <c r="AL104" i="32"/>
  <c r="AL105" i="32"/>
  <c r="AL106" i="32"/>
  <c r="AL107" i="32"/>
  <c r="AL108" i="32"/>
  <c r="AL110" i="32"/>
  <c r="AL111" i="32"/>
  <c r="AL112" i="32"/>
  <c r="AL113" i="32"/>
  <c r="AL114" i="32"/>
  <c r="AL116" i="32"/>
  <c r="AL117" i="32"/>
  <c r="AL118" i="32"/>
  <c r="AL119" i="32"/>
  <c r="AL121" i="32"/>
  <c r="AL122" i="32"/>
  <c r="AL123" i="32"/>
  <c r="AL124" i="32"/>
  <c r="AL126" i="32"/>
  <c r="AL127" i="32"/>
  <c r="AL128" i="32"/>
  <c r="AL129" i="32"/>
  <c r="AJ16" i="32"/>
  <c r="AJ17" i="32"/>
  <c r="AJ19" i="32"/>
  <c r="AJ23" i="32"/>
  <c r="AJ24" i="32"/>
  <c r="AJ25" i="32"/>
  <c r="AJ26" i="32"/>
  <c r="AJ27" i="32"/>
  <c r="AJ28" i="32"/>
  <c r="AJ29" i="32"/>
  <c r="AJ30" i="32"/>
  <c r="AJ31" i="32"/>
  <c r="AJ34" i="32"/>
  <c r="AJ35" i="32"/>
  <c r="AJ36" i="32"/>
  <c r="AJ37" i="32"/>
  <c r="AJ39" i="32"/>
  <c r="AJ40" i="32"/>
  <c r="AJ41" i="32"/>
  <c r="AJ43" i="32"/>
  <c r="AJ44" i="32"/>
  <c r="AJ46" i="32"/>
  <c r="AJ47" i="32"/>
  <c r="AJ48" i="32"/>
  <c r="AJ49" i="32"/>
  <c r="AJ50" i="32"/>
  <c r="AJ51" i="32"/>
  <c r="AJ52" i="32"/>
  <c r="AJ53" i="32"/>
  <c r="AJ55" i="32"/>
  <c r="AJ56" i="32"/>
  <c r="AJ57" i="32"/>
  <c r="AJ58" i="32"/>
  <c r="AJ59" i="32"/>
  <c r="AJ60" i="32"/>
  <c r="AJ61" i="32"/>
  <c r="AJ63" i="32"/>
  <c r="AJ64" i="32"/>
  <c r="AJ65" i="32"/>
  <c r="AJ66" i="32"/>
  <c r="AJ67" i="32"/>
  <c r="AJ68" i="32"/>
  <c r="AJ69" i="32"/>
  <c r="AJ70" i="32"/>
  <c r="AJ71" i="32"/>
  <c r="AJ72" i="32"/>
  <c r="AJ73" i="32"/>
  <c r="AJ74" i="32"/>
  <c r="AJ75" i="32"/>
  <c r="AJ76" i="32"/>
  <c r="AJ78" i="32"/>
  <c r="AJ79" i="32"/>
  <c r="AJ81" i="32"/>
  <c r="AJ82" i="32"/>
  <c r="AJ86" i="32"/>
  <c r="AJ88" i="32"/>
  <c r="AJ89" i="32"/>
  <c r="AJ90" i="32"/>
  <c r="AJ91" i="32"/>
  <c r="AJ92" i="32"/>
  <c r="AJ93" i="32"/>
  <c r="AJ94" i="32"/>
  <c r="AJ95" i="32"/>
  <c r="AJ96" i="32"/>
  <c r="AJ99" i="32"/>
  <c r="AJ100" i="32"/>
  <c r="AJ101" i="32"/>
  <c r="AJ102" i="32"/>
  <c r="AJ103" i="32"/>
  <c r="AJ104" i="32"/>
  <c r="AJ105" i="32"/>
  <c r="AJ106" i="32"/>
  <c r="AJ107" i="32"/>
  <c r="AJ108" i="32"/>
  <c r="AJ110" i="32"/>
  <c r="AJ111" i="32"/>
  <c r="AJ112" i="32"/>
  <c r="AJ113" i="32"/>
  <c r="AJ114" i="32"/>
  <c r="AJ116" i="32"/>
  <c r="AJ117" i="32"/>
  <c r="AJ118" i="32"/>
  <c r="AJ119" i="32"/>
  <c r="AJ121" i="32"/>
  <c r="AJ122" i="32"/>
  <c r="AJ123" i="32"/>
  <c r="AJ124" i="32"/>
  <c r="AJ126" i="32"/>
  <c r="AJ127" i="32"/>
  <c r="AJ128" i="32"/>
  <c r="AJ129" i="32"/>
  <c r="AH16" i="32"/>
  <c r="AH17" i="32"/>
  <c r="AH19" i="32"/>
  <c r="AH23" i="32"/>
  <c r="AH24" i="32"/>
  <c r="AH25" i="32"/>
  <c r="AH26" i="32"/>
  <c r="AH27" i="32"/>
  <c r="AH28" i="32"/>
  <c r="AH29" i="32"/>
  <c r="AH30" i="32"/>
  <c r="AH31" i="32"/>
  <c r="AH34" i="32"/>
  <c r="AH35" i="32"/>
  <c r="AH36" i="32"/>
  <c r="AH37" i="32"/>
  <c r="AH39" i="32"/>
  <c r="AH40" i="32"/>
  <c r="AH41" i="32"/>
  <c r="AH43" i="32"/>
  <c r="AH44" i="32"/>
  <c r="AH46" i="32"/>
  <c r="AH47" i="32"/>
  <c r="AH48" i="32"/>
  <c r="AH49" i="32"/>
  <c r="AH50" i="32"/>
  <c r="AH51" i="32"/>
  <c r="AH52" i="32"/>
  <c r="AH53" i="32"/>
  <c r="AH56" i="32"/>
  <c r="AH57" i="32"/>
  <c r="AH58" i="32"/>
  <c r="AH59" i="32"/>
  <c r="AH60" i="32"/>
  <c r="AH61" i="32"/>
  <c r="AH63" i="32"/>
  <c r="AH64" i="32"/>
  <c r="AH65" i="32"/>
  <c r="AH66" i="32"/>
  <c r="AH67" i="32"/>
  <c r="AH68" i="32"/>
  <c r="AH69" i="32"/>
  <c r="AH70" i="32"/>
  <c r="AH71" i="32"/>
  <c r="AH72" i="32"/>
  <c r="AH73" i="32"/>
  <c r="AH74" i="32"/>
  <c r="AH75" i="32"/>
  <c r="AH76" i="32"/>
  <c r="AH78" i="32"/>
  <c r="AH79" i="32"/>
  <c r="AH81" i="32"/>
  <c r="AH82" i="32"/>
  <c r="AH86" i="32"/>
  <c r="AH88" i="32"/>
  <c r="AH89" i="32"/>
  <c r="AH90" i="32"/>
  <c r="AH91" i="32"/>
  <c r="AH92" i="32"/>
  <c r="AH93" i="32"/>
  <c r="AH94" i="32"/>
  <c r="AH95" i="32"/>
  <c r="AH96" i="32"/>
  <c r="AH99" i="32"/>
  <c r="AH100" i="32"/>
  <c r="AH101" i="32"/>
  <c r="AH102" i="32"/>
  <c r="AH103" i="32"/>
  <c r="AH104" i="32"/>
  <c r="AH105" i="32"/>
  <c r="AH106" i="32"/>
  <c r="AH107" i="32"/>
  <c r="AH108" i="32"/>
  <c r="AH110" i="32"/>
  <c r="AH111" i="32"/>
  <c r="AH112" i="32"/>
  <c r="AH113" i="32"/>
  <c r="AH114" i="32"/>
  <c r="AH116" i="32"/>
  <c r="AH117" i="32"/>
  <c r="AH118" i="32"/>
  <c r="AH119" i="32"/>
  <c r="AH121" i="32"/>
  <c r="AH122" i="32"/>
  <c r="AH123" i="32"/>
  <c r="AH124" i="32"/>
  <c r="AH126" i="32"/>
  <c r="AH127" i="32"/>
  <c r="AH128" i="32"/>
  <c r="AH129" i="32"/>
  <c r="AF16" i="32"/>
  <c r="AF17" i="32"/>
  <c r="AF19" i="32"/>
  <c r="AF23" i="32"/>
  <c r="AF24" i="32"/>
  <c r="AF26" i="32"/>
  <c r="AF27" i="32"/>
  <c r="AF28" i="32"/>
  <c r="AF29" i="32"/>
  <c r="AF30" i="32"/>
  <c r="AF31" i="32"/>
  <c r="AF34" i="32"/>
  <c r="AF35" i="32"/>
  <c r="AF36" i="32"/>
  <c r="AF37" i="32"/>
  <c r="AF39" i="32"/>
  <c r="AF40" i="32"/>
  <c r="AF41" i="32"/>
  <c r="AF43" i="32"/>
  <c r="AF44" i="32"/>
  <c r="AF46" i="32"/>
  <c r="AF47" i="32"/>
  <c r="AF48" i="32"/>
  <c r="AF49" i="32"/>
  <c r="AF50" i="32"/>
  <c r="AF51" i="32"/>
  <c r="AF52" i="32"/>
  <c r="AF53" i="32"/>
  <c r="AF55" i="32"/>
  <c r="AF56" i="32"/>
  <c r="AF57" i="32"/>
  <c r="AF58" i="32"/>
  <c r="AF59" i="32"/>
  <c r="AF60" i="32"/>
  <c r="AF61" i="32"/>
  <c r="AF63" i="32"/>
  <c r="AF64" i="32"/>
  <c r="AF65" i="32"/>
  <c r="AF66" i="32"/>
  <c r="AF67" i="32"/>
  <c r="AF68" i="32"/>
  <c r="AF69" i="32"/>
  <c r="AF70" i="32"/>
  <c r="AF71" i="32"/>
  <c r="AF72" i="32"/>
  <c r="AF73" i="32"/>
  <c r="AF74" i="32"/>
  <c r="AF75" i="32"/>
  <c r="AF76" i="32"/>
  <c r="AF78" i="32"/>
  <c r="AF79" i="32"/>
  <c r="AF81" i="32"/>
  <c r="AF82" i="32"/>
  <c r="AF86" i="32"/>
  <c r="AF88" i="32"/>
  <c r="AF89" i="32"/>
  <c r="AF90" i="32"/>
  <c r="AF91" i="32"/>
  <c r="AF92" i="32"/>
  <c r="AF93" i="32"/>
  <c r="AF94" i="32"/>
  <c r="AF95" i="32"/>
  <c r="AF96" i="32"/>
  <c r="AF99" i="32"/>
  <c r="AF100" i="32"/>
  <c r="AF101" i="32"/>
  <c r="AF102" i="32"/>
  <c r="AF103" i="32"/>
  <c r="AF104" i="32"/>
  <c r="AF105" i="32"/>
  <c r="AF106" i="32"/>
  <c r="AF107" i="32"/>
  <c r="AF108" i="32"/>
  <c r="AF110" i="32"/>
  <c r="AF111" i="32"/>
  <c r="AF112" i="32"/>
  <c r="AF113" i="32"/>
  <c r="AF114" i="32"/>
  <c r="AF116" i="32"/>
  <c r="AF117" i="32"/>
  <c r="AF118" i="32"/>
  <c r="AF119" i="32"/>
  <c r="AF121" i="32"/>
  <c r="AF122" i="32"/>
  <c r="AF123" i="32"/>
  <c r="AF124" i="32"/>
  <c r="AF126" i="32"/>
  <c r="AF127" i="32"/>
  <c r="AF128" i="32"/>
  <c r="AF129" i="32"/>
  <c r="AD16" i="32"/>
  <c r="AD17" i="32"/>
  <c r="AD19" i="32"/>
  <c r="AD23" i="32"/>
  <c r="AD24" i="32"/>
  <c r="AD25" i="32"/>
  <c r="AD26" i="32"/>
  <c r="AD27" i="32"/>
  <c r="AB16" i="32"/>
  <c r="AB17" i="32"/>
  <c r="AB23" i="32"/>
  <c r="AB24" i="32"/>
  <c r="AB25" i="32"/>
  <c r="AD28" i="32"/>
  <c r="AD29" i="32"/>
  <c r="AD30" i="32"/>
  <c r="AD31" i="32"/>
  <c r="AD34" i="32"/>
  <c r="AD35" i="32"/>
  <c r="AD36" i="32"/>
  <c r="AD37" i="32"/>
  <c r="AD39" i="32"/>
  <c r="AD40" i="32"/>
  <c r="AD41" i="32"/>
  <c r="AD43" i="32"/>
  <c r="AD44" i="32"/>
  <c r="AD46" i="32"/>
  <c r="AD47" i="32"/>
  <c r="AD48" i="32"/>
  <c r="AD49" i="32"/>
  <c r="AD50" i="32"/>
  <c r="AD51" i="32"/>
  <c r="AD52" i="32"/>
  <c r="AD53" i="32"/>
  <c r="AD55" i="32"/>
  <c r="AD56" i="32"/>
  <c r="AD57" i="32"/>
  <c r="AD58" i="32"/>
  <c r="AD59" i="32"/>
  <c r="AD60" i="32"/>
  <c r="AD61" i="32"/>
  <c r="AD63" i="32"/>
  <c r="AD64" i="32"/>
  <c r="AD65" i="32"/>
  <c r="AD66" i="32"/>
  <c r="AD67" i="32"/>
  <c r="AD68" i="32"/>
  <c r="AD69" i="32"/>
  <c r="AD70" i="32"/>
  <c r="AD71" i="32"/>
  <c r="AD72" i="32"/>
  <c r="AD73" i="32"/>
  <c r="AD74" i="32"/>
  <c r="AD75" i="32"/>
  <c r="AD76" i="32"/>
  <c r="AD78" i="32"/>
  <c r="AD79" i="32"/>
  <c r="AD81" i="32"/>
  <c r="AD82" i="32"/>
  <c r="AD86" i="32"/>
  <c r="AD88" i="32"/>
  <c r="AD89" i="32"/>
  <c r="AD90" i="32"/>
  <c r="AD91" i="32"/>
  <c r="AD92" i="32"/>
  <c r="AD93" i="32"/>
  <c r="AD94" i="32"/>
  <c r="AD95" i="32"/>
  <c r="AD96" i="32"/>
  <c r="AD99" i="32"/>
  <c r="AD100" i="32"/>
  <c r="AD101" i="32"/>
  <c r="AD102" i="32"/>
  <c r="AD103" i="32"/>
  <c r="AD104" i="32"/>
  <c r="AD105" i="32"/>
  <c r="AD106" i="32"/>
  <c r="AD107" i="32"/>
  <c r="AD108" i="32"/>
  <c r="AD110" i="32"/>
  <c r="AD111" i="32"/>
  <c r="AD112" i="32"/>
  <c r="AD113" i="32"/>
  <c r="AD114" i="32"/>
  <c r="AD116" i="32"/>
  <c r="AD117" i="32"/>
  <c r="AD118" i="32"/>
  <c r="AD119" i="32"/>
  <c r="AD121" i="32"/>
  <c r="AD122" i="32"/>
  <c r="AD123" i="32"/>
  <c r="AD124" i="32"/>
  <c r="AD126" i="32"/>
  <c r="AD127" i="32"/>
  <c r="AD128" i="32"/>
  <c r="AD129" i="32"/>
  <c r="AB26" i="32"/>
  <c r="AB27" i="32"/>
  <c r="AB28" i="32"/>
  <c r="AB29" i="32"/>
  <c r="AB30" i="32"/>
  <c r="AB31" i="32"/>
  <c r="AB34" i="32"/>
  <c r="AB35" i="32"/>
  <c r="AB36" i="32"/>
  <c r="AB37" i="32"/>
  <c r="AB39" i="32"/>
  <c r="AB40" i="32"/>
  <c r="AB41" i="32"/>
  <c r="AB43" i="32"/>
  <c r="AB44" i="32"/>
  <c r="AB46" i="32"/>
  <c r="AB47" i="32"/>
  <c r="AB48" i="32"/>
  <c r="AB49" i="32"/>
  <c r="AB50" i="32"/>
  <c r="AB51" i="32"/>
  <c r="AB52" i="32"/>
  <c r="AB53" i="32"/>
  <c r="AB55" i="32"/>
  <c r="AB56" i="32"/>
  <c r="AB57" i="32"/>
  <c r="AB58" i="32"/>
  <c r="AB59" i="32"/>
  <c r="AB60" i="32"/>
  <c r="AB61" i="32"/>
  <c r="AB63" i="32"/>
  <c r="AB64" i="32"/>
  <c r="AB65" i="32"/>
  <c r="AB66" i="32"/>
  <c r="AB67" i="32"/>
  <c r="AB68" i="32"/>
  <c r="AB69" i="32"/>
  <c r="AB70" i="32"/>
  <c r="AB71" i="32"/>
  <c r="AB72" i="32"/>
  <c r="AB73" i="32"/>
  <c r="AB74" i="32"/>
  <c r="AB75" i="32"/>
  <c r="AB76" i="32"/>
  <c r="AB78" i="32"/>
  <c r="AB79" i="32"/>
  <c r="AB81" i="32"/>
  <c r="AB82" i="32"/>
  <c r="AB86" i="32"/>
  <c r="AB88" i="32"/>
  <c r="AB89" i="32"/>
  <c r="AB90" i="32"/>
  <c r="AB91" i="32"/>
  <c r="AB92" i="32"/>
  <c r="AB93" i="32"/>
  <c r="AB94" i="32"/>
  <c r="AB95" i="32"/>
  <c r="AB96" i="32"/>
  <c r="AB99" i="32"/>
  <c r="AB100" i="32"/>
  <c r="AB101" i="32"/>
  <c r="AB102" i="32"/>
  <c r="AB103" i="32"/>
  <c r="AB104" i="32"/>
  <c r="AB105" i="32"/>
  <c r="AB106" i="32"/>
  <c r="AB107" i="32"/>
  <c r="AB108" i="32"/>
  <c r="AB110" i="32"/>
  <c r="AB111" i="32"/>
  <c r="AB112" i="32"/>
  <c r="AB113" i="32"/>
  <c r="AB114" i="32"/>
  <c r="AB116" i="32"/>
  <c r="AB117" i="32"/>
  <c r="AB118" i="32"/>
  <c r="AB119" i="32"/>
  <c r="AB121" i="32"/>
  <c r="AB122" i="32"/>
  <c r="AB123" i="32"/>
  <c r="AB124" i="32"/>
  <c r="AB126" i="32"/>
  <c r="AB127" i="32"/>
  <c r="AB128" i="32"/>
  <c r="AB129" i="32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BG4" i="28"/>
  <c r="BF4" i="28"/>
  <c r="BE4" i="28"/>
  <c r="BD4" i="28"/>
  <c r="BC4" i="28"/>
  <c r="BB4" i="28"/>
  <c r="BA4" i="28"/>
  <c r="AZ4" i="28"/>
  <c r="AY4" i="28"/>
  <c r="AX4" i="28"/>
  <c r="AW4" i="28"/>
  <c r="AV4" i="28"/>
  <c r="AU4" i="28"/>
  <c r="AT4" i="28"/>
  <c r="AS4" i="28"/>
  <c r="AR4" i="28"/>
  <c r="AQ4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AC4" i="28"/>
  <c r="AB4" i="28"/>
  <c r="AA4" i="28"/>
  <c r="BG5" i="37"/>
  <c r="BF5" i="37"/>
  <c r="BE5" i="37"/>
  <c r="BD5" i="37"/>
  <c r="BC5" i="37"/>
  <c r="BB5" i="37"/>
  <c r="BA5" i="37"/>
  <c r="AZ5" i="37"/>
  <c r="AY5" i="37"/>
  <c r="AX5" i="37"/>
  <c r="AW5" i="37"/>
  <c r="AV5" i="37"/>
  <c r="AU5" i="37"/>
  <c r="AT5" i="37"/>
  <c r="AS5" i="37"/>
  <c r="AR5" i="37"/>
  <c r="AQ5" i="37"/>
  <c r="AP5" i="37"/>
  <c r="AO5" i="37"/>
  <c r="AN5" i="37"/>
  <c r="AM5" i="37"/>
  <c r="AL5" i="37"/>
  <c r="AK5" i="37"/>
  <c r="AJ5" i="37"/>
  <c r="AI5" i="37"/>
  <c r="AH5" i="37"/>
  <c r="AG5" i="37"/>
  <c r="AF5" i="37"/>
  <c r="AE5" i="37"/>
  <c r="AD5" i="37"/>
  <c r="AC5" i="37"/>
  <c r="AB5" i="37"/>
  <c r="AA5" i="37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BG4" i="34"/>
  <c r="BF4" i="34"/>
  <c r="BE4" i="34"/>
  <c r="BD4" i="34"/>
  <c r="BC4" i="34"/>
  <c r="BB4" i="34"/>
  <c r="BA4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BG4" i="33"/>
  <c r="BF4" i="33"/>
  <c r="BE4" i="33"/>
  <c r="BD4" i="33"/>
  <c r="BC4" i="33"/>
  <c r="BB4" i="33"/>
  <c r="BA4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AC5" i="32"/>
  <c r="AD5" i="32"/>
  <c r="AE5" i="32"/>
  <c r="AF5" i="32"/>
  <c r="AG5" i="32"/>
  <c r="AH5" i="32"/>
  <c r="AI5" i="32"/>
  <c r="AJ5" i="32"/>
  <c r="AK5" i="32"/>
  <c r="AL5" i="32"/>
  <c r="AM5" i="32"/>
  <c r="AN5" i="32"/>
  <c r="AO5" i="32"/>
  <c r="AP5" i="32"/>
  <c r="AQ5" i="32"/>
  <c r="AR5" i="32"/>
  <c r="AS5" i="32"/>
  <c r="AT5" i="32"/>
  <c r="AU5" i="32"/>
  <c r="AV5" i="32"/>
  <c r="AW5" i="32"/>
  <c r="AX5" i="32"/>
  <c r="AY5" i="32"/>
  <c r="AZ5" i="32"/>
  <c r="BA5" i="32"/>
  <c r="BB5" i="32"/>
  <c r="BC5" i="32"/>
  <c r="BD5" i="32"/>
  <c r="BE5" i="32"/>
  <c r="BF5" i="32"/>
  <c r="BG5" i="32"/>
  <c r="BH5" i="32"/>
  <c r="AB5" i="32"/>
  <c r="AZ56" i="34" l="1"/>
  <c r="AG15" i="34"/>
  <c r="AM15" i="34"/>
  <c r="AS15" i="34"/>
  <c r="AY15" i="34"/>
  <c r="BB56" i="34"/>
  <c r="AP56" i="34"/>
  <c r="AD56" i="34"/>
  <c r="AB56" i="34"/>
  <c r="Z56" i="34"/>
  <c r="AV56" i="34"/>
  <c r="AJ56" i="34"/>
  <c r="AX56" i="34"/>
  <c r="AR131" i="32"/>
  <c r="BF56" i="34"/>
  <c r="AT56" i="34"/>
  <c r="AH56" i="34"/>
  <c r="AN56" i="34"/>
  <c r="BD56" i="34"/>
  <c r="AR56" i="34"/>
  <c r="AF56" i="34"/>
  <c r="BN112" i="32"/>
  <c r="BN73" i="32"/>
  <c r="AB131" i="32"/>
  <c r="AJ33" i="32"/>
  <c r="AT131" i="32"/>
  <c r="BN128" i="32"/>
  <c r="BN121" i="32"/>
  <c r="BN113" i="32"/>
  <c r="BN106" i="32"/>
  <c r="BN100" i="32"/>
  <c r="BN92" i="32"/>
  <c r="BN82" i="32"/>
  <c r="BN74" i="32"/>
  <c r="BN68" i="32"/>
  <c r="BN60" i="32"/>
  <c r="BN53" i="32"/>
  <c r="BN47" i="32"/>
  <c r="BN39" i="32"/>
  <c r="BN30" i="32"/>
  <c r="BN24" i="32"/>
  <c r="AK15" i="34"/>
  <c r="AQ15" i="34"/>
  <c r="AW15" i="34"/>
  <c r="BC15" i="34"/>
  <c r="BN119" i="32"/>
  <c r="BN81" i="32"/>
  <c r="BN46" i="32"/>
  <c r="BN52" i="32"/>
  <c r="BN50" i="32"/>
  <c r="BN126" i="32"/>
  <c r="BN118" i="32"/>
  <c r="BN111" i="32"/>
  <c r="BN104" i="32"/>
  <c r="BN96" i="32"/>
  <c r="BN90" i="32"/>
  <c r="BN79" i="32"/>
  <c r="BN72" i="32"/>
  <c r="BN66" i="32"/>
  <c r="BN58" i="32"/>
  <c r="BN44" i="32"/>
  <c r="BN36" i="32"/>
  <c r="BN17" i="32"/>
  <c r="BK131" i="32"/>
  <c r="BI11" i="34"/>
  <c r="BH15" i="34"/>
  <c r="BH56" i="34" s="1"/>
  <c r="BE15" i="34"/>
  <c r="BN99" i="32"/>
  <c r="BN59" i="32"/>
  <c r="BN23" i="32"/>
  <c r="BN124" i="32"/>
  <c r="BN117" i="32"/>
  <c r="BN110" i="32"/>
  <c r="BN103" i="32"/>
  <c r="BN95" i="32"/>
  <c r="BN89" i="32"/>
  <c r="BN78" i="32"/>
  <c r="BN71" i="32"/>
  <c r="BN57" i="32"/>
  <c r="BN43" i="32"/>
  <c r="BN35" i="32"/>
  <c r="AA15" i="34"/>
  <c r="BN65" i="32"/>
  <c r="BN105" i="32"/>
  <c r="BN67" i="32"/>
  <c r="BN29" i="32"/>
  <c r="BB131" i="32"/>
  <c r="BN63" i="32"/>
  <c r="BN123" i="32"/>
  <c r="BN116" i="32"/>
  <c r="BN108" i="32"/>
  <c r="BN102" i="32"/>
  <c r="BN94" i="32"/>
  <c r="BN88" i="32"/>
  <c r="BN76" i="32"/>
  <c r="BN70" i="32"/>
  <c r="BN64" i="32"/>
  <c r="BN56" i="32"/>
  <c r="BN49" i="32"/>
  <c r="BN41" i="32"/>
  <c r="BN34" i="32"/>
  <c r="BN26" i="32"/>
  <c r="BN42" i="32"/>
  <c r="AI15" i="34"/>
  <c r="AO15" i="34"/>
  <c r="AU15" i="34"/>
  <c r="BA15" i="34"/>
  <c r="BG15" i="34"/>
  <c r="BN51" i="32"/>
  <c r="BN127" i="32"/>
  <c r="BN91" i="32"/>
  <c r="BN37" i="32"/>
  <c r="BN129" i="32"/>
  <c r="BN122" i="32"/>
  <c r="BN114" i="32"/>
  <c r="BN107" i="32"/>
  <c r="BN101" i="32"/>
  <c r="BN93" i="32"/>
  <c r="BN86" i="32"/>
  <c r="BN75" i="32"/>
  <c r="BN69" i="32"/>
  <c r="BN61" i="32"/>
  <c r="BN55" i="32"/>
  <c r="BN48" i="32"/>
  <c r="BN40" i="32"/>
  <c r="BN31" i="32"/>
  <c r="AV33" i="32"/>
  <c r="BN28" i="32"/>
  <c r="BN54" i="32"/>
  <c r="BN27" i="32"/>
  <c r="BH33" i="32"/>
  <c r="AJ131" i="32"/>
  <c r="AL131" i="32"/>
  <c r="AN33" i="32"/>
  <c r="AZ33" i="32"/>
  <c r="BJ131" i="32"/>
  <c r="BH131" i="32"/>
  <c r="BJ33" i="32"/>
  <c r="AP33" i="32"/>
  <c r="AZ131" i="32"/>
  <c r="BB33" i="32"/>
  <c r="AF131" i="32"/>
  <c r="AL33" i="32"/>
  <c r="AB33" i="32"/>
  <c r="AR33" i="32"/>
  <c r="BD33" i="32"/>
  <c r="AD131" i="32"/>
  <c r="AX33" i="32"/>
  <c r="AE25" i="32"/>
  <c r="AD33" i="32"/>
  <c r="AH33" i="32"/>
  <c r="AT33" i="32"/>
  <c r="BF33" i="32"/>
  <c r="R20" i="33"/>
  <c r="S20" i="33"/>
  <c r="T20" i="33"/>
  <c r="AP131" i="32"/>
  <c r="AP109" i="32"/>
  <c r="AX131" i="32"/>
  <c r="AX109" i="32"/>
  <c r="BF131" i="32"/>
  <c r="BF109" i="32"/>
  <c r="AD109" i="32"/>
  <c r="AF109" i="32"/>
  <c r="AJ109" i="32"/>
  <c r="AR109" i="32"/>
  <c r="AZ109" i="32"/>
  <c r="BH109" i="32"/>
  <c r="AB109" i="32"/>
  <c r="AL109" i="32"/>
  <c r="AT109" i="32"/>
  <c r="BB109" i="32"/>
  <c r="BJ109" i="32"/>
  <c r="AH131" i="32"/>
  <c r="AH109" i="32"/>
  <c r="AN131" i="32"/>
  <c r="AN109" i="32"/>
  <c r="AV131" i="32"/>
  <c r="AV109" i="32"/>
  <c r="BD131" i="32"/>
  <c r="BD109" i="32"/>
  <c r="BJ17" i="33"/>
  <c r="BL100" i="32"/>
  <c r="BL94" i="32"/>
  <c r="BL90" i="32"/>
  <c r="BL82" i="32"/>
  <c r="BL76" i="32"/>
  <c r="BL72" i="32"/>
  <c r="BL68" i="32"/>
  <c r="BL65" i="32"/>
  <c r="BL60" i="32"/>
  <c r="BL56" i="32"/>
  <c r="BL51" i="32"/>
  <c r="BL47" i="32"/>
  <c r="BL41" i="32"/>
  <c r="BL36" i="32"/>
  <c r="BL30" i="32"/>
  <c r="F13" i="33"/>
  <c r="F17" i="33" s="1"/>
  <c r="BJ21" i="33"/>
  <c r="BQ98" i="32"/>
  <c r="BS98" i="32" s="1"/>
  <c r="BW98" i="32" s="1"/>
  <c r="F24" i="33"/>
  <c r="BK18" i="33"/>
  <c r="AD62" i="32"/>
  <c r="AH62" i="32"/>
  <c r="AJ62" i="32"/>
  <c r="AL62" i="32"/>
  <c r="AN62" i="32"/>
  <c r="AP62" i="32"/>
  <c r="AR62" i="32"/>
  <c r="AT62" i="32"/>
  <c r="AV62" i="32"/>
  <c r="AX62" i="32"/>
  <c r="AZ62" i="32"/>
  <c r="BB62" i="32"/>
  <c r="BD62" i="32"/>
  <c r="BF62" i="32"/>
  <c r="BH62" i="32"/>
  <c r="BJ62" i="32"/>
  <c r="R84" i="32"/>
  <c r="AB62" i="32"/>
  <c r="AD45" i="32"/>
  <c r="BK62" i="32"/>
  <c r="BQ97" i="32"/>
  <c r="BS97" i="32" s="1"/>
  <c r="BW97" i="32" s="1"/>
  <c r="AF62" i="32"/>
  <c r="H31" i="34"/>
  <c r="I31" i="34"/>
  <c r="T26" i="34"/>
  <c r="S26" i="34"/>
  <c r="S21" i="34"/>
  <c r="T21" i="34"/>
  <c r="T18" i="34"/>
  <c r="S18" i="34"/>
  <c r="T24" i="34"/>
  <c r="S24" i="34"/>
  <c r="S19" i="34"/>
  <c r="T19" i="34"/>
  <c r="S25" i="34"/>
  <c r="T25" i="34"/>
  <c r="T20" i="34"/>
  <c r="S20" i="34"/>
  <c r="AF45" i="32"/>
  <c r="I108" i="32"/>
  <c r="Q108" i="32"/>
  <c r="J108" i="32"/>
  <c r="S75" i="32"/>
  <c r="W75" i="32" s="1"/>
  <c r="T75" i="32"/>
  <c r="X75" i="32" s="1"/>
  <c r="U75" i="32"/>
  <c r="Y75" i="32" s="1"/>
  <c r="H75" i="32"/>
  <c r="N75" i="32" s="1"/>
  <c r="S59" i="32"/>
  <c r="W59" i="32" s="1"/>
  <c r="T59" i="32"/>
  <c r="X59" i="32" s="1"/>
  <c r="U59" i="32"/>
  <c r="Y59" i="32" s="1"/>
  <c r="H59" i="32"/>
  <c r="V59" i="32"/>
  <c r="Z59" i="32" s="1"/>
  <c r="BK10" i="33"/>
  <c r="BK26" i="33"/>
  <c r="AB45" i="32"/>
  <c r="Q107" i="32"/>
  <c r="J107" i="32"/>
  <c r="I107" i="32"/>
  <c r="S44" i="32"/>
  <c r="W44" i="32" s="1"/>
  <c r="T44" i="32"/>
  <c r="X44" i="32" s="1"/>
  <c r="U44" i="32"/>
  <c r="Y44" i="32" s="1"/>
  <c r="V44" i="32"/>
  <c r="Z44" i="32" s="1"/>
  <c r="H44" i="32"/>
  <c r="BO44" i="32" s="1"/>
  <c r="BS44" i="32" s="1"/>
  <c r="S54" i="32"/>
  <c r="W54" i="32" s="1"/>
  <c r="T54" i="32"/>
  <c r="X54" i="32" s="1"/>
  <c r="U54" i="32"/>
  <c r="Y54" i="32" s="1"/>
  <c r="V54" i="32"/>
  <c r="Z54" i="32" s="1"/>
  <c r="H54" i="32"/>
  <c r="BO54" i="32" s="1"/>
  <c r="S42" i="32"/>
  <c r="W42" i="32" s="1"/>
  <c r="T42" i="32"/>
  <c r="X42" i="32" s="1"/>
  <c r="U42" i="32"/>
  <c r="Y42" i="32" s="1"/>
  <c r="V42" i="32"/>
  <c r="Z42" i="32" s="1"/>
  <c r="H42" i="32"/>
  <c r="BO42" i="32" s="1"/>
  <c r="BS42" i="32" s="1"/>
  <c r="AH45" i="32"/>
  <c r="AJ45" i="32"/>
  <c r="AL45" i="32"/>
  <c r="AN45" i="32"/>
  <c r="AP45" i="32"/>
  <c r="AR45" i="32"/>
  <c r="AT45" i="32"/>
  <c r="AV45" i="32"/>
  <c r="AX45" i="32"/>
  <c r="AZ45" i="32"/>
  <c r="BB45" i="32"/>
  <c r="BD45" i="32"/>
  <c r="BF45" i="32"/>
  <c r="BH45" i="32"/>
  <c r="BJ45" i="32"/>
  <c r="Q106" i="32"/>
  <c r="J106" i="32"/>
  <c r="I106" i="32"/>
  <c r="S61" i="32"/>
  <c r="W61" i="32" s="1"/>
  <c r="T61" i="32"/>
  <c r="X61" i="32" s="1"/>
  <c r="U61" i="32"/>
  <c r="Y61" i="32" s="1"/>
  <c r="V61" i="32"/>
  <c r="Z61" i="32" s="1"/>
  <c r="H61" i="32"/>
  <c r="V39" i="32"/>
  <c r="Z39" i="32" s="1"/>
  <c r="U39" i="32"/>
  <c r="Y39" i="32" s="1"/>
  <c r="T39" i="32"/>
  <c r="X39" i="32" s="1"/>
  <c r="S39" i="32"/>
  <c r="W39" i="32" s="1"/>
  <c r="H39" i="32"/>
  <c r="J105" i="32"/>
  <c r="I105" i="32"/>
  <c r="Q105" i="32"/>
  <c r="S60" i="32"/>
  <c r="W60" i="32" s="1"/>
  <c r="T60" i="32"/>
  <c r="X60" i="32" s="1"/>
  <c r="U60" i="32"/>
  <c r="Y60" i="32" s="1"/>
  <c r="V60" i="32"/>
  <c r="Z60" i="32" s="1"/>
  <c r="H60" i="32"/>
  <c r="V34" i="32"/>
  <c r="Z34" i="32" s="1"/>
  <c r="U34" i="32"/>
  <c r="Y34" i="32" s="1"/>
  <c r="T34" i="32"/>
  <c r="X34" i="32" s="1"/>
  <c r="S34" i="32"/>
  <c r="W34" i="32" s="1"/>
  <c r="S76" i="32"/>
  <c r="W76" i="32" s="1"/>
  <c r="T76" i="32"/>
  <c r="X76" i="32" s="1"/>
  <c r="U76" i="32"/>
  <c r="Y76" i="32" s="1"/>
  <c r="H76" i="32"/>
  <c r="N76" i="32" s="1"/>
  <c r="R83" i="32"/>
  <c r="BK22" i="33"/>
  <c r="BK11" i="33"/>
  <c r="BK15" i="33"/>
  <c r="BL16" i="32"/>
  <c r="J31" i="34"/>
  <c r="BL121" i="32"/>
  <c r="BL116" i="32"/>
  <c r="BL111" i="32"/>
  <c r="BL106" i="32"/>
  <c r="BK41" i="34"/>
  <c r="BK32" i="33"/>
  <c r="BK16" i="34"/>
  <c r="J98" i="32"/>
  <c r="Q98" i="32"/>
  <c r="Q80" i="32"/>
  <c r="I98" i="32"/>
  <c r="I80" i="32"/>
  <c r="J80" i="32"/>
  <c r="AZ38" i="32"/>
  <c r="BQ80" i="32"/>
  <c r="BS80" i="32" s="1"/>
  <c r="BW80" i="32" s="1"/>
  <c r="J97" i="32"/>
  <c r="BL112" i="32"/>
  <c r="BL107" i="32"/>
  <c r="BL95" i="32"/>
  <c r="BL78" i="32"/>
  <c r="BL52" i="32"/>
  <c r="BL37" i="32"/>
  <c r="BL54" i="32"/>
  <c r="Q97" i="32"/>
  <c r="BL127" i="32"/>
  <c r="BL117" i="32"/>
  <c r="BL103" i="32"/>
  <c r="BL91" i="32"/>
  <c r="BL73" i="32"/>
  <c r="BL61" i="32"/>
  <c r="BL48" i="32"/>
  <c r="BL27" i="32"/>
  <c r="BL128" i="32"/>
  <c r="BL123" i="32"/>
  <c r="BL118" i="32"/>
  <c r="BL113" i="32"/>
  <c r="BL108" i="32"/>
  <c r="BL104" i="32"/>
  <c r="BL101" i="32"/>
  <c r="BL96" i="32"/>
  <c r="BL92" i="32"/>
  <c r="BL70" i="32"/>
  <c r="BL66" i="32"/>
  <c r="BL58" i="32"/>
  <c r="BL49" i="32"/>
  <c r="BL44" i="32"/>
  <c r="BL28" i="32"/>
  <c r="BL23" i="32"/>
  <c r="AL38" i="32"/>
  <c r="BB38" i="32"/>
  <c r="I97" i="32"/>
  <c r="BL122" i="32"/>
  <c r="BL86" i="32"/>
  <c r="BL69" i="32"/>
  <c r="BL57" i="32"/>
  <c r="BL43" i="32"/>
  <c r="BL129" i="32"/>
  <c r="BL124" i="32"/>
  <c r="BL119" i="32"/>
  <c r="BL114" i="32"/>
  <c r="BL110" i="32"/>
  <c r="BL105" i="32"/>
  <c r="BL102" i="32"/>
  <c r="BL99" i="32"/>
  <c r="BL93" i="32"/>
  <c r="BL81" i="32"/>
  <c r="BL75" i="32"/>
  <c r="BL71" i="32"/>
  <c r="BL67" i="32"/>
  <c r="BL64" i="32"/>
  <c r="BL59" i="32"/>
  <c r="BL55" i="32"/>
  <c r="BL50" i="32"/>
  <c r="BL46" i="32"/>
  <c r="BL29" i="32"/>
  <c r="BH38" i="32"/>
  <c r="AT38" i="32"/>
  <c r="BJ38" i="32"/>
  <c r="AV38" i="32"/>
  <c r="AP38" i="32"/>
  <c r="AX38" i="32"/>
  <c r="BL74" i="32"/>
  <c r="BJ27" i="34"/>
  <c r="BJ44" i="34"/>
  <c r="BJ40" i="34"/>
  <c r="O31" i="34"/>
  <c r="M31" i="34"/>
  <c r="K31" i="34"/>
  <c r="BP31" i="34"/>
  <c r="BR31" i="34" s="1"/>
  <c r="BV31" i="34" s="1"/>
  <c r="N31" i="34"/>
  <c r="Q31" i="34"/>
  <c r="P31" i="34"/>
  <c r="BK23" i="34"/>
  <c r="BK34" i="34"/>
  <c r="BJ33" i="34"/>
  <c r="BJ22" i="34"/>
  <c r="F17" i="34"/>
  <c r="AE13" i="34"/>
  <c r="BK13" i="34" s="1"/>
  <c r="BJ13" i="34"/>
  <c r="BJ12" i="34"/>
  <c r="BI12" i="34"/>
  <c r="BK33" i="33"/>
  <c r="F30" i="33"/>
  <c r="BL42" i="32"/>
  <c r="BL24" i="32"/>
  <c r="AH87" i="32"/>
  <c r="AJ125" i="32"/>
  <c r="AN77" i="32"/>
  <c r="AN38" i="32"/>
  <c r="AP87" i="32"/>
  <c r="AR125" i="32"/>
  <c r="AV77" i="32"/>
  <c r="AX87" i="32"/>
  <c r="AZ125" i="32"/>
  <c r="BD77" i="32"/>
  <c r="BF87" i="32"/>
  <c r="BH125" i="32"/>
  <c r="BK77" i="32"/>
  <c r="AD125" i="32"/>
  <c r="AF125" i="32"/>
  <c r="AH77" i="32"/>
  <c r="AJ87" i="32"/>
  <c r="AL125" i="32"/>
  <c r="AP77" i="32"/>
  <c r="AR87" i="32"/>
  <c r="AT125" i="32"/>
  <c r="AX77" i="32"/>
  <c r="AZ87" i="32"/>
  <c r="BB125" i="32"/>
  <c r="BF77" i="32"/>
  <c r="BF38" i="32"/>
  <c r="BH87" i="32"/>
  <c r="BJ125" i="32"/>
  <c r="BK109" i="32"/>
  <c r="AB87" i="32"/>
  <c r="AD87" i="32"/>
  <c r="AF87" i="32"/>
  <c r="AJ77" i="32"/>
  <c r="AL87" i="32"/>
  <c r="AN125" i="32"/>
  <c r="AR77" i="32"/>
  <c r="AR38" i="32"/>
  <c r="AT87" i="32"/>
  <c r="AV125" i="32"/>
  <c r="AZ77" i="32"/>
  <c r="BB87" i="32"/>
  <c r="BD125" i="32"/>
  <c r="BH77" i="32"/>
  <c r="BJ87" i="32"/>
  <c r="BK125" i="32"/>
  <c r="BI132" i="32"/>
  <c r="AB38" i="32"/>
  <c r="AD77" i="32"/>
  <c r="AD38" i="32"/>
  <c r="AF77" i="32"/>
  <c r="AF38" i="32"/>
  <c r="AH125" i="32"/>
  <c r="AL77" i="32"/>
  <c r="AN87" i="32"/>
  <c r="AP125" i="32"/>
  <c r="AT77" i="32"/>
  <c r="AV87" i="32"/>
  <c r="AX125" i="32"/>
  <c r="BB77" i="32"/>
  <c r="BD87" i="32"/>
  <c r="BF125" i="32"/>
  <c r="BJ77" i="32"/>
  <c r="BK87" i="32"/>
  <c r="AH38" i="32"/>
  <c r="BL89" i="32"/>
  <c r="BL39" i="32"/>
  <c r="BA132" i="32"/>
  <c r="AQ132" i="32"/>
  <c r="AW132" i="32"/>
  <c r="AO132" i="32"/>
  <c r="AB77" i="32"/>
  <c r="AB125" i="32"/>
  <c r="BL126" i="32"/>
  <c r="AG132" i="32"/>
  <c r="AY132" i="32"/>
  <c r="BL40" i="32"/>
  <c r="BL31" i="32"/>
  <c r="BK45" i="32"/>
  <c r="BK38" i="32"/>
  <c r="BL79" i="32"/>
  <c r="BD38" i="32"/>
  <c r="BG132" i="32"/>
  <c r="AU132" i="32"/>
  <c r="AM132" i="32"/>
  <c r="BL35" i="32"/>
  <c r="AJ38" i="32"/>
  <c r="AI132" i="32"/>
  <c r="BE132" i="32"/>
  <c r="BC132" i="32"/>
  <c r="AS132" i="32"/>
  <c r="AK132" i="32"/>
  <c r="AC132" i="32"/>
  <c r="BL26" i="32"/>
  <c r="BL53" i="32"/>
  <c r="BL17" i="32"/>
  <c r="E16" i="25"/>
  <c r="F16" i="25"/>
  <c r="E15" i="25"/>
  <c r="F15" i="25"/>
  <c r="AC48" i="28"/>
  <c r="AC41" i="28"/>
  <c r="AM15" i="28"/>
  <c r="BG15" i="28"/>
  <c r="BE15" i="28"/>
  <c r="BC15" i="28"/>
  <c r="BA15" i="28"/>
  <c r="AY15" i="28"/>
  <c r="AW15" i="28"/>
  <c r="AU15" i="28"/>
  <c r="AS15" i="28"/>
  <c r="AQ15" i="28"/>
  <c r="AO15" i="28"/>
  <c r="AK15" i="28"/>
  <c r="AI15" i="28"/>
  <c r="AG15" i="28"/>
  <c r="AE15" i="28"/>
  <c r="AC15" i="28"/>
  <c r="AA15" i="28"/>
  <c r="BN87" i="32" l="1"/>
  <c r="BN125" i="32"/>
  <c r="BN38" i="32"/>
  <c r="BN77" i="32"/>
  <c r="BN131" i="32"/>
  <c r="BN109" i="32"/>
  <c r="AE15" i="34"/>
  <c r="BI15" i="34"/>
  <c r="BN45" i="32"/>
  <c r="R54" i="32"/>
  <c r="BN62" i="32"/>
  <c r="BL38" i="32"/>
  <c r="AF25" i="32"/>
  <c r="BN25" i="32" s="1"/>
  <c r="AE33" i="32"/>
  <c r="AE132" i="32" s="1"/>
  <c r="BK25" i="32"/>
  <c r="BK33" i="32" s="1"/>
  <c r="G33" i="32" s="1"/>
  <c r="BL131" i="32"/>
  <c r="N42" i="32"/>
  <c r="BC15" i="25"/>
  <c r="BE15" i="25"/>
  <c r="AW15" i="25"/>
  <c r="BG15" i="25"/>
  <c r="AY15" i="25"/>
  <c r="BI15" i="25"/>
  <c r="BA15" i="25"/>
  <c r="AS15" i="25"/>
  <c r="AQ15" i="25"/>
  <c r="AI15" i="25"/>
  <c r="AA15" i="25"/>
  <c r="AK15" i="25"/>
  <c r="AC15" i="25"/>
  <c r="AU15" i="25"/>
  <c r="AM15" i="25"/>
  <c r="AE15" i="25"/>
  <c r="AO15" i="25"/>
  <c r="AG15" i="25"/>
  <c r="BE16" i="25"/>
  <c r="AW16" i="25"/>
  <c r="BG16" i="25"/>
  <c r="AY16" i="25"/>
  <c r="BI16" i="25"/>
  <c r="BA16" i="25"/>
  <c r="AS16" i="25"/>
  <c r="BC16" i="25"/>
  <c r="AU16" i="25"/>
  <c r="AK16" i="25"/>
  <c r="AC16" i="25"/>
  <c r="AM16" i="25"/>
  <c r="AE16" i="25"/>
  <c r="AO16" i="25"/>
  <c r="AG16" i="25"/>
  <c r="AQ16" i="25"/>
  <c r="AI16" i="25"/>
  <c r="AA16" i="25"/>
  <c r="BO59" i="32"/>
  <c r="BS59" i="32" s="1"/>
  <c r="BW59" i="32" s="1"/>
  <c r="N59" i="32"/>
  <c r="BO61" i="32"/>
  <c r="BS61" i="32" s="1"/>
  <c r="BW61" i="32" s="1"/>
  <c r="N61" i="32"/>
  <c r="BL62" i="32"/>
  <c r="BO60" i="32"/>
  <c r="BS60" i="32" s="1"/>
  <c r="BW60" i="32" s="1"/>
  <c r="N60" i="32"/>
  <c r="S17" i="34"/>
  <c r="T17" i="34"/>
  <c r="Q75" i="32"/>
  <c r="J75" i="32"/>
  <c r="I75" i="32"/>
  <c r="I76" i="32"/>
  <c r="Q76" i="32"/>
  <c r="J76" i="32"/>
  <c r="BS54" i="32"/>
  <c r="BW54" i="32" s="1"/>
  <c r="BL87" i="32"/>
  <c r="BL77" i="32"/>
  <c r="BL125" i="32"/>
  <c r="BL109" i="32"/>
  <c r="BL45" i="32"/>
  <c r="BK12" i="34"/>
  <c r="BW42" i="32"/>
  <c r="BI39" i="7"/>
  <c r="BK39" i="7" s="1"/>
  <c r="BI14" i="7"/>
  <c r="BJ14" i="7"/>
  <c r="AE10" i="7"/>
  <c r="AA10" i="7"/>
  <c r="AF33" i="32" l="1"/>
  <c r="BN33" i="32" s="1"/>
  <c r="BL25" i="32"/>
  <c r="BL33" i="32" s="1"/>
  <c r="F14" i="7"/>
  <c r="G67" i="7"/>
  <c r="G39" i="7"/>
  <c r="BI46" i="24"/>
  <c r="BI45" i="24"/>
  <c r="E93" i="24"/>
  <c r="G59" i="24"/>
  <c r="BS67" i="7" l="1"/>
  <c r="BV67" i="7" s="1"/>
  <c r="BZ67" i="7" s="1"/>
  <c r="Q67" i="7"/>
  <c r="M67" i="7"/>
  <c r="O67" i="7"/>
  <c r="H67" i="7"/>
  <c r="N67" i="7"/>
  <c r="L67" i="7"/>
  <c r="P67" i="7"/>
  <c r="X93" i="24"/>
  <c r="W93" i="24"/>
  <c r="BI93" i="24"/>
  <c r="BE93" i="24"/>
  <c r="BA93" i="24"/>
  <c r="AW93" i="24"/>
  <c r="AS93" i="24"/>
  <c r="AO93" i="24"/>
  <c r="AK93" i="24"/>
  <c r="V93" i="24"/>
  <c r="Y93" i="24"/>
  <c r="BG93" i="24"/>
  <c r="BC93" i="24"/>
  <c r="AY93" i="24"/>
  <c r="AU93" i="24"/>
  <c r="AQ93" i="24"/>
  <c r="AM93" i="24"/>
  <c r="AI93" i="24"/>
  <c r="AE93" i="24"/>
  <c r="AA93" i="24"/>
  <c r="AG93" i="24"/>
  <c r="AC93" i="24"/>
  <c r="H39" i="7"/>
  <c r="BS39" i="7"/>
  <c r="BV39" i="7" s="1"/>
  <c r="BZ39" i="7" s="1"/>
  <c r="I39" i="7"/>
  <c r="I67" i="7"/>
  <c r="BJ21" i="24"/>
  <c r="F21" i="24" s="1"/>
  <c r="G21" i="24" s="1"/>
  <c r="BK21" i="24"/>
  <c r="BD66" i="7"/>
  <c r="BE66" i="7" s="1"/>
  <c r="BD65" i="7"/>
  <c r="BE65" i="7" s="1"/>
  <c r="BB62" i="7"/>
  <c r="BD62" i="7"/>
  <c r="BE62" i="7" s="1"/>
  <c r="BB66" i="7"/>
  <c r="BC66" i="7" s="1"/>
  <c r="BB65" i="7"/>
  <c r="BC65" i="7" s="1"/>
  <c r="AX62" i="7"/>
  <c r="W25" i="7"/>
  <c r="Y27" i="7"/>
  <c r="BO125" i="32"/>
  <c r="BP109" i="32"/>
  <c r="BR109" i="32"/>
  <c r="BT109" i="32"/>
  <c r="BU109" i="32"/>
  <c r="BM87" i="32"/>
  <c r="BP87" i="32"/>
  <c r="BR87" i="32"/>
  <c r="BT87" i="32"/>
  <c r="BU87" i="32"/>
  <c r="BV87" i="32"/>
  <c r="BO77" i="32"/>
  <c r="BP77" i="32"/>
  <c r="BR77" i="32"/>
  <c r="BT77" i="32"/>
  <c r="BU77" i="32"/>
  <c r="BV77" i="32"/>
  <c r="BT62" i="32"/>
  <c r="BU62" i="32"/>
  <c r="BV62" i="32"/>
  <c r="BP45" i="32"/>
  <c r="BQ45" i="32"/>
  <c r="BR45" i="32"/>
  <c r="BT45" i="32"/>
  <c r="BU45" i="32"/>
  <c r="BV45" i="32"/>
  <c r="BP38" i="32"/>
  <c r="BQ38" i="32"/>
  <c r="BR38" i="32"/>
  <c r="BT38" i="32"/>
  <c r="BU38" i="32"/>
  <c r="BV38" i="32"/>
  <c r="BL47" i="37"/>
  <c r="BL38" i="37"/>
  <c r="BO38" i="37"/>
  <c r="BQ38" i="37"/>
  <c r="BS38" i="37"/>
  <c r="BT38" i="37"/>
  <c r="BP49" i="38"/>
  <c r="BQ49" i="38"/>
  <c r="BR49" i="38"/>
  <c r="BT49" i="38"/>
  <c r="BU49" i="38"/>
  <c r="BV48" i="38"/>
  <c r="BP42" i="38"/>
  <c r="BQ42" i="38"/>
  <c r="BR42" i="38"/>
  <c r="BT42" i="38"/>
  <c r="BU42" i="38"/>
  <c r="BM37" i="38"/>
  <c r="BP37" i="38"/>
  <c r="BR37" i="38"/>
  <c r="BT37" i="38"/>
  <c r="BU37" i="38"/>
  <c r="BV31" i="38"/>
  <c r="BV32" i="38"/>
  <c r="BV33" i="38"/>
  <c r="BV34" i="38"/>
  <c r="BV35" i="38"/>
  <c r="BV36" i="38"/>
  <c r="BJ22" i="26"/>
  <c r="F22" i="26" s="1"/>
  <c r="BG45" i="28"/>
  <c r="BE45" i="28"/>
  <c r="AO45" i="28"/>
  <c r="BL62" i="28"/>
  <c r="BL31" i="28"/>
  <c r="BF65" i="7"/>
  <c r="BG65" i="7" s="1"/>
  <c r="AZ65" i="7"/>
  <c r="BA65" i="7" s="1"/>
  <c r="AX65" i="7"/>
  <c r="AY65" i="7" s="1"/>
  <c r="AV65" i="7"/>
  <c r="AW65" i="7" s="1"/>
  <c r="AT65" i="7"/>
  <c r="AU65" i="7" s="1"/>
  <c r="AR65" i="7"/>
  <c r="AS65" i="7" s="1"/>
  <c r="AP65" i="7"/>
  <c r="AQ65" i="7" s="1"/>
  <c r="AO65" i="7"/>
  <c r="AL65" i="7"/>
  <c r="AM65" i="7" s="1"/>
  <c r="AJ65" i="7"/>
  <c r="AK65" i="7" s="1"/>
  <c r="AH65" i="7"/>
  <c r="AI65" i="7" s="1"/>
  <c r="AF65" i="7"/>
  <c r="AG65" i="7" s="1"/>
  <c r="AD65" i="7"/>
  <c r="AE65" i="7" s="1"/>
  <c r="AB65" i="7"/>
  <c r="AC65" i="7" s="1"/>
  <c r="Z65" i="7"/>
  <c r="BJ73" i="7"/>
  <c r="BL57" i="7"/>
  <c r="BM57" i="7"/>
  <c r="BN57" i="7"/>
  <c r="BO57" i="7"/>
  <c r="BP57" i="7"/>
  <c r="BZ49" i="7"/>
  <c r="BT44" i="7"/>
  <c r="BU44" i="7"/>
  <c r="BW44" i="7"/>
  <c r="BX44" i="7"/>
  <c r="E97" i="25"/>
  <c r="E108" i="25"/>
  <c r="E109" i="25"/>
  <c r="BJ86" i="25"/>
  <c r="F86" i="25" s="1"/>
  <c r="S86" i="25" s="1"/>
  <c r="BJ33" i="25"/>
  <c r="E96" i="24"/>
  <c r="BS46" i="7"/>
  <c r="BV46" i="7" s="1"/>
  <c r="BZ46" i="7" s="1"/>
  <c r="BO87" i="32"/>
  <c r="BG63" i="7"/>
  <c r="BE63" i="7"/>
  <c r="AO63" i="7"/>
  <c r="AA81" i="7"/>
  <c r="AB81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Z81" i="7"/>
  <c r="BG75" i="7"/>
  <c r="BG74" i="7"/>
  <c r="BG77" i="7"/>
  <c r="I38" i="32"/>
  <c r="K77" i="32"/>
  <c r="L77" i="32"/>
  <c r="M77" i="32"/>
  <c r="O77" i="32"/>
  <c r="P77" i="32"/>
  <c r="K87" i="32"/>
  <c r="L87" i="32"/>
  <c r="M87" i="32"/>
  <c r="N87" i="32"/>
  <c r="O87" i="32"/>
  <c r="P87" i="32"/>
  <c r="K125" i="32"/>
  <c r="L125" i="32"/>
  <c r="M125" i="32"/>
  <c r="N125" i="32"/>
  <c r="O125" i="32"/>
  <c r="P125" i="32"/>
  <c r="BJ18" i="7"/>
  <c r="F18" i="7" s="1"/>
  <c r="BJ22" i="7"/>
  <c r="F22" i="7" s="1"/>
  <c r="BJ23" i="7"/>
  <c r="F23" i="7" s="1"/>
  <c r="AI70" i="7"/>
  <c r="AI71" i="7" s="1"/>
  <c r="G62" i="24"/>
  <c r="Q62" i="24" s="1"/>
  <c r="BJ25" i="24"/>
  <c r="F25" i="24" s="1"/>
  <c r="G25" i="24" s="1"/>
  <c r="BJ28" i="24"/>
  <c r="F28" i="24" s="1"/>
  <c r="S28" i="24" s="1"/>
  <c r="BG31" i="7"/>
  <c r="BE31" i="7"/>
  <c r="BC31" i="7"/>
  <c r="BA31" i="7"/>
  <c r="AY31" i="7"/>
  <c r="AW31" i="7"/>
  <c r="AU31" i="7"/>
  <c r="AS31" i="7"/>
  <c r="AQ31" i="7"/>
  <c r="AO31" i="7"/>
  <c r="AM31" i="7"/>
  <c r="AK31" i="7"/>
  <c r="AI31" i="7"/>
  <c r="AG31" i="7"/>
  <c r="AE31" i="7"/>
  <c r="AC31" i="7"/>
  <c r="AA31" i="7"/>
  <c r="E115" i="24"/>
  <c r="E43" i="34"/>
  <c r="BJ68" i="28"/>
  <c r="F68" i="28" s="1"/>
  <c r="AO68" i="28"/>
  <c r="AQ68" i="28"/>
  <c r="AS68" i="28"/>
  <c r="AU68" i="28"/>
  <c r="AY68" i="28"/>
  <c r="BA68" i="28"/>
  <c r="BC68" i="28"/>
  <c r="BE68" i="28"/>
  <c r="BG68" i="28"/>
  <c r="AM68" i="28"/>
  <c r="AK68" i="28"/>
  <c r="AI68" i="28"/>
  <c r="AG68" i="28"/>
  <c r="AE68" i="28"/>
  <c r="AC68" i="28"/>
  <c r="AA68" i="28"/>
  <c r="E37" i="24"/>
  <c r="E26" i="34"/>
  <c r="E31" i="7"/>
  <c r="X31" i="7" s="1"/>
  <c r="G33" i="25"/>
  <c r="J33" i="25" s="1"/>
  <c r="H46" i="7"/>
  <c r="I46" i="7"/>
  <c r="BK48" i="38"/>
  <c r="G48" i="38" s="1"/>
  <c r="H48" i="38" s="1"/>
  <c r="AA49" i="38"/>
  <c r="V89" i="25"/>
  <c r="W89" i="25"/>
  <c r="X89" i="25"/>
  <c r="Y89" i="25"/>
  <c r="R79" i="25"/>
  <c r="V79" i="25" s="1"/>
  <c r="S79" i="25"/>
  <c r="W79" i="25" s="1"/>
  <c r="T79" i="25"/>
  <c r="X79" i="25" s="1"/>
  <c r="U79" i="25"/>
  <c r="Y79" i="25" s="1"/>
  <c r="R89" i="25"/>
  <c r="S89" i="25"/>
  <c r="T89" i="25"/>
  <c r="U89" i="25"/>
  <c r="R104" i="25"/>
  <c r="V104" i="25" s="1"/>
  <c r="S104" i="25"/>
  <c r="W104" i="25" s="1"/>
  <c r="T104" i="25"/>
  <c r="X104" i="25" s="1"/>
  <c r="U104" i="25"/>
  <c r="Y104" i="25" s="1"/>
  <c r="R14" i="25"/>
  <c r="V14" i="25" s="1"/>
  <c r="S14" i="25"/>
  <c r="W14" i="25" s="1"/>
  <c r="T14" i="25"/>
  <c r="X14" i="25" s="1"/>
  <c r="U14" i="25"/>
  <c r="Y14" i="25" s="1"/>
  <c r="U32" i="33"/>
  <c r="T32" i="33"/>
  <c r="S32" i="33"/>
  <c r="S30" i="33"/>
  <c r="T24" i="33"/>
  <c r="S24" i="33"/>
  <c r="S25" i="33" s="1"/>
  <c r="S15" i="33"/>
  <c r="W15" i="33" s="1"/>
  <c r="S14" i="33"/>
  <c r="S13" i="33"/>
  <c r="V13" i="33"/>
  <c r="X13" i="33"/>
  <c r="Y13" i="33"/>
  <c r="V14" i="33"/>
  <c r="X14" i="33"/>
  <c r="Y14" i="33"/>
  <c r="V15" i="33"/>
  <c r="X15" i="33"/>
  <c r="Y15" i="33"/>
  <c r="V19" i="33"/>
  <c r="X19" i="33"/>
  <c r="Y19" i="33"/>
  <c r="Y20" i="33"/>
  <c r="U129" i="32"/>
  <c r="Y129" i="32" s="1"/>
  <c r="T129" i="32"/>
  <c r="X129" i="32" s="1"/>
  <c r="BQ129" i="32"/>
  <c r="BS129" i="32" s="1"/>
  <c r="BW129" i="32" s="1"/>
  <c r="T52" i="24"/>
  <c r="X52" i="24" s="1"/>
  <c r="S38" i="24"/>
  <c r="W38" i="24" s="1"/>
  <c r="U39" i="37"/>
  <c r="U48" i="37"/>
  <c r="T39" i="37"/>
  <c r="T48" i="37"/>
  <c r="S39" i="37"/>
  <c r="S48" i="37"/>
  <c r="Z21" i="38"/>
  <c r="Z26" i="38"/>
  <c r="Z38" i="38"/>
  <c r="Z43" i="38"/>
  <c r="Z50" i="38"/>
  <c r="Y21" i="38"/>
  <c r="Y26" i="38"/>
  <c r="Y38" i="38"/>
  <c r="Y43" i="38"/>
  <c r="Y50" i="38"/>
  <c r="X21" i="38"/>
  <c r="X26" i="38"/>
  <c r="X38" i="38"/>
  <c r="X43" i="38"/>
  <c r="X50" i="38"/>
  <c r="V21" i="38"/>
  <c r="V26" i="38"/>
  <c r="V38" i="38"/>
  <c r="V43" i="38"/>
  <c r="V50" i="38"/>
  <c r="U21" i="38"/>
  <c r="U26" i="38"/>
  <c r="U38" i="38"/>
  <c r="U43" i="38"/>
  <c r="U50" i="38"/>
  <c r="T21" i="38"/>
  <c r="T26" i="38"/>
  <c r="T38" i="38"/>
  <c r="T43" i="38"/>
  <c r="T50" i="38"/>
  <c r="BJ43" i="37"/>
  <c r="R51" i="37"/>
  <c r="U16" i="28"/>
  <c r="V16" i="28"/>
  <c r="Y16" i="28"/>
  <c r="S14" i="28"/>
  <c r="T14" i="28"/>
  <c r="U14" i="28"/>
  <c r="R14" i="28"/>
  <c r="R17" i="28" s="1"/>
  <c r="T16" i="28"/>
  <c r="S16" i="28"/>
  <c r="Y46" i="7"/>
  <c r="X46" i="7"/>
  <c r="W46" i="7"/>
  <c r="V18" i="7"/>
  <c r="V19" i="7"/>
  <c r="V20" i="7"/>
  <c r="V21" i="7"/>
  <c r="V22" i="7"/>
  <c r="V23" i="7"/>
  <c r="V24" i="7"/>
  <c r="V25" i="7"/>
  <c r="V26" i="7"/>
  <c r="V27" i="7"/>
  <c r="V28" i="7"/>
  <c r="Y17" i="7"/>
  <c r="X17" i="7"/>
  <c r="W17" i="7"/>
  <c r="V10" i="7"/>
  <c r="BJ31" i="25"/>
  <c r="F31" i="25" s="1"/>
  <c r="G31" i="25" s="1"/>
  <c r="BJ14" i="37"/>
  <c r="F14" i="37" s="1"/>
  <c r="G14" i="37" s="1"/>
  <c r="BN14" i="37" s="1"/>
  <c r="BR14" i="37" s="1"/>
  <c r="BV14" i="37" s="1"/>
  <c r="BJ15" i="37"/>
  <c r="F15" i="37" s="1"/>
  <c r="G15" i="37" s="1"/>
  <c r="BJ16" i="37"/>
  <c r="F16" i="37" s="1"/>
  <c r="G16" i="37" s="1"/>
  <c r="I16" i="37" s="1"/>
  <c r="BJ17" i="37"/>
  <c r="F17" i="37" s="1"/>
  <c r="G17" i="37" s="1"/>
  <c r="H17" i="37" s="1"/>
  <c r="BJ18" i="37"/>
  <c r="F18" i="37" s="1"/>
  <c r="G18" i="37" s="1"/>
  <c r="I18" i="37" s="1"/>
  <c r="BJ19" i="37"/>
  <c r="F19" i="37" s="1"/>
  <c r="G19" i="37" s="1"/>
  <c r="I19" i="37" s="1"/>
  <c r="BJ20" i="37"/>
  <c r="F20" i="37" s="1"/>
  <c r="G20" i="37" s="1"/>
  <c r="BJ21" i="37"/>
  <c r="F21" i="37" s="1"/>
  <c r="G21" i="37" s="1"/>
  <c r="BJ22" i="37"/>
  <c r="F22" i="37" s="1"/>
  <c r="G22" i="37" s="1"/>
  <c r="P22" i="37" s="1"/>
  <c r="BJ23" i="37"/>
  <c r="F23" i="37" s="1"/>
  <c r="G23" i="37" s="1"/>
  <c r="BJ24" i="37"/>
  <c r="F24" i="37" s="1"/>
  <c r="G24" i="37" s="1"/>
  <c r="BJ25" i="37"/>
  <c r="F25" i="37" s="1"/>
  <c r="G25" i="37" s="1"/>
  <c r="BJ26" i="37"/>
  <c r="F26" i="37" s="1"/>
  <c r="G26" i="37" s="1"/>
  <c r="BJ27" i="37"/>
  <c r="F27" i="37" s="1"/>
  <c r="G27" i="37" s="1"/>
  <c r="BN27" i="37" s="1"/>
  <c r="BR27" i="37" s="1"/>
  <c r="BV27" i="37" s="1"/>
  <c r="BJ28" i="37"/>
  <c r="F28" i="37" s="1"/>
  <c r="G28" i="37" s="1"/>
  <c r="BN28" i="37" s="1"/>
  <c r="BR28" i="37" s="1"/>
  <c r="BV28" i="37" s="1"/>
  <c r="BJ29" i="37"/>
  <c r="F29" i="37" s="1"/>
  <c r="G29" i="37" s="1"/>
  <c r="P29" i="37" s="1"/>
  <c r="BJ30" i="37"/>
  <c r="F30" i="37" s="1"/>
  <c r="G30" i="37" s="1"/>
  <c r="BN30" i="37" s="1"/>
  <c r="BR30" i="37" s="1"/>
  <c r="BV30" i="37" s="1"/>
  <c r="BJ31" i="37"/>
  <c r="F31" i="37" s="1"/>
  <c r="G31" i="37" s="1"/>
  <c r="I31" i="37" s="1"/>
  <c r="BJ32" i="37"/>
  <c r="F32" i="37" s="1"/>
  <c r="G32" i="37" s="1"/>
  <c r="BJ33" i="37"/>
  <c r="F33" i="37" s="1"/>
  <c r="BJ34" i="37"/>
  <c r="F34" i="37" s="1"/>
  <c r="G34" i="37" s="1"/>
  <c r="I34" i="37" s="1"/>
  <c r="BJ35" i="37"/>
  <c r="F35" i="37" s="1"/>
  <c r="G35" i="37" s="1"/>
  <c r="BK35" i="37"/>
  <c r="BK39" i="37"/>
  <c r="BK48" i="37"/>
  <c r="S37" i="38"/>
  <c r="AA37" i="38"/>
  <c r="BL33" i="38"/>
  <c r="BK45" i="38"/>
  <c r="G45" i="38" s="1"/>
  <c r="BK46" i="38"/>
  <c r="G46" i="38" s="1"/>
  <c r="BK47" i="38"/>
  <c r="G47" i="38" s="1"/>
  <c r="BK40" i="38"/>
  <c r="G40" i="38" s="1"/>
  <c r="H40" i="38" s="1"/>
  <c r="BK30" i="38"/>
  <c r="G30" i="38" s="1"/>
  <c r="H30" i="38" s="1"/>
  <c r="BK31" i="38"/>
  <c r="G31" i="38" s="1"/>
  <c r="H31" i="38" s="1"/>
  <c r="BO31" i="38" s="1"/>
  <c r="BS31" i="38" s="1"/>
  <c r="BK32" i="38"/>
  <c r="BK33" i="38"/>
  <c r="G33" i="38" s="1"/>
  <c r="H33" i="38" s="1"/>
  <c r="BK34" i="38"/>
  <c r="G34" i="38" s="1"/>
  <c r="H34" i="38" s="1"/>
  <c r="N34" i="38" s="1"/>
  <c r="BK35" i="38"/>
  <c r="G35" i="38" s="1"/>
  <c r="H35" i="38" s="1"/>
  <c r="BK36" i="38"/>
  <c r="G36" i="38" s="1"/>
  <c r="H36" i="38" s="1"/>
  <c r="BK28" i="38"/>
  <c r="G28" i="38" s="1"/>
  <c r="H28" i="38" s="1"/>
  <c r="BO28" i="38" s="1"/>
  <c r="BS28" i="38" s="1"/>
  <c r="BW28" i="38" s="1"/>
  <c r="BK29" i="38"/>
  <c r="G29" i="38" s="1"/>
  <c r="BK23" i="38"/>
  <c r="BK24" i="38"/>
  <c r="G24" i="38" s="1"/>
  <c r="H24" i="38" s="1"/>
  <c r="BK16" i="38"/>
  <c r="G16" i="38" s="1"/>
  <c r="U16" i="38" s="1"/>
  <c r="BK17" i="38"/>
  <c r="G17" i="38" s="1"/>
  <c r="BK18" i="38"/>
  <c r="BK19" i="38"/>
  <c r="G19" i="38" s="1"/>
  <c r="F30" i="34"/>
  <c r="F32" i="34"/>
  <c r="E30" i="34"/>
  <c r="V125" i="32"/>
  <c r="Z125" i="32"/>
  <c r="AA125" i="32"/>
  <c r="V87" i="32"/>
  <c r="Z87" i="32"/>
  <c r="AA87" i="32"/>
  <c r="V77" i="32"/>
  <c r="Z77" i="32"/>
  <c r="J38" i="32"/>
  <c r="L38" i="32"/>
  <c r="M38" i="32"/>
  <c r="O38" i="32"/>
  <c r="P38" i="32"/>
  <c r="Q38" i="32"/>
  <c r="R38" i="32"/>
  <c r="AA38" i="32"/>
  <c r="BO88" i="32"/>
  <c r="BO109" i="32" s="1"/>
  <c r="R72" i="28"/>
  <c r="V72" i="28"/>
  <c r="Z72" i="28"/>
  <c r="AB72" i="28"/>
  <c r="AD72" i="28"/>
  <c r="AF72" i="28"/>
  <c r="AF73" i="28" s="1"/>
  <c r="AH72" i="28"/>
  <c r="AJ72" i="28"/>
  <c r="AL72" i="28"/>
  <c r="AN72" i="28"/>
  <c r="AP72" i="28"/>
  <c r="AR72" i="28"/>
  <c r="AT72" i="28"/>
  <c r="AV72" i="28"/>
  <c r="AV73" i="28" s="1"/>
  <c r="AX72" i="28"/>
  <c r="AZ72" i="28"/>
  <c r="BB72" i="28"/>
  <c r="BB73" i="28" s="1"/>
  <c r="BD72" i="28"/>
  <c r="BF72" i="28"/>
  <c r="BH72" i="28"/>
  <c r="R61" i="28"/>
  <c r="S61" i="28"/>
  <c r="T61" i="28"/>
  <c r="U61" i="28"/>
  <c r="Z61" i="28"/>
  <c r="AB61" i="28"/>
  <c r="AB62" i="28" s="1"/>
  <c r="AD61" i="28"/>
  <c r="AF61" i="28"/>
  <c r="AH61" i="28"/>
  <c r="AJ61" i="28"/>
  <c r="AL61" i="28"/>
  <c r="AN61" i="28"/>
  <c r="AP61" i="28"/>
  <c r="AR61" i="28"/>
  <c r="AT61" i="28"/>
  <c r="AV61" i="28"/>
  <c r="AX61" i="28"/>
  <c r="AZ61" i="28"/>
  <c r="BB61" i="28"/>
  <c r="BD61" i="28"/>
  <c r="BF61" i="28"/>
  <c r="BH61" i="28"/>
  <c r="Z43" i="28"/>
  <c r="AB43" i="28"/>
  <c r="AD43" i="28"/>
  <c r="AF43" i="28"/>
  <c r="AH43" i="28"/>
  <c r="AJ43" i="28"/>
  <c r="AL43" i="28"/>
  <c r="AN43" i="28"/>
  <c r="AP43" i="28"/>
  <c r="AR43" i="28"/>
  <c r="AR62" i="28" s="1"/>
  <c r="AT43" i="28"/>
  <c r="AV43" i="28"/>
  <c r="AX43" i="28"/>
  <c r="AZ43" i="28"/>
  <c r="BB43" i="28"/>
  <c r="BD43" i="28"/>
  <c r="BF43" i="28"/>
  <c r="BH43" i="28"/>
  <c r="Z30" i="28"/>
  <c r="AB30" i="28"/>
  <c r="AD30" i="28"/>
  <c r="AF30" i="28"/>
  <c r="AH30" i="28"/>
  <c r="AJ30" i="28"/>
  <c r="AL30" i="28"/>
  <c r="AN30" i="28"/>
  <c r="AP30" i="28"/>
  <c r="AR30" i="28"/>
  <c r="AT30" i="28"/>
  <c r="AV30" i="28"/>
  <c r="AX30" i="28"/>
  <c r="AZ30" i="28"/>
  <c r="BB30" i="28"/>
  <c r="BD30" i="28"/>
  <c r="BF30" i="28"/>
  <c r="BH30" i="28"/>
  <c r="Z25" i="28"/>
  <c r="AB25" i="28"/>
  <c r="AD25" i="28"/>
  <c r="AD31" i="28" s="1"/>
  <c r="AF25" i="28"/>
  <c r="AH25" i="28"/>
  <c r="AJ25" i="28"/>
  <c r="AL25" i="28"/>
  <c r="AL31" i="28" s="1"/>
  <c r="AN25" i="28"/>
  <c r="AP25" i="28"/>
  <c r="AR25" i="28"/>
  <c r="AT25" i="28"/>
  <c r="AT31" i="28" s="1"/>
  <c r="AV25" i="28"/>
  <c r="AX25" i="28"/>
  <c r="AZ25" i="28"/>
  <c r="BB25" i="28"/>
  <c r="BB31" i="28" s="1"/>
  <c r="BD25" i="28"/>
  <c r="BF25" i="28"/>
  <c r="BH25" i="28"/>
  <c r="R56" i="7"/>
  <c r="V56" i="7"/>
  <c r="R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K22" i="7"/>
  <c r="BK23" i="7"/>
  <c r="BK24" i="7"/>
  <c r="BK25" i="7"/>
  <c r="BK26" i="7"/>
  <c r="BK27" i="7"/>
  <c r="BK28" i="7"/>
  <c r="BK18" i="7"/>
  <c r="G89" i="32"/>
  <c r="G13" i="32"/>
  <c r="G14" i="32"/>
  <c r="G16" i="32"/>
  <c r="G17" i="32"/>
  <c r="H17" i="32" s="1"/>
  <c r="G18" i="32"/>
  <c r="G20" i="32"/>
  <c r="G21" i="32"/>
  <c r="G23" i="32"/>
  <c r="G25" i="32"/>
  <c r="G26" i="32"/>
  <c r="G27" i="32"/>
  <c r="G28" i="32"/>
  <c r="G30" i="32"/>
  <c r="G31" i="32"/>
  <c r="G35" i="32"/>
  <c r="G36" i="32"/>
  <c r="G40" i="32"/>
  <c r="G41" i="32"/>
  <c r="G47" i="32"/>
  <c r="G49" i="32"/>
  <c r="G50" i="32"/>
  <c r="G51" i="32"/>
  <c r="G53" i="32"/>
  <c r="G55" i="32"/>
  <c r="G56" i="32"/>
  <c r="G57" i="32"/>
  <c r="G58" i="32"/>
  <c r="G43" i="32"/>
  <c r="G64" i="32"/>
  <c r="G65" i="32"/>
  <c r="G66" i="32"/>
  <c r="G67" i="32"/>
  <c r="G68" i="32"/>
  <c r="G69" i="32"/>
  <c r="G70" i="32"/>
  <c r="G71" i="32"/>
  <c r="G72" i="32"/>
  <c r="G73" i="32"/>
  <c r="G74" i="32"/>
  <c r="G111" i="32"/>
  <c r="H111" i="32" s="1"/>
  <c r="G79" i="32"/>
  <c r="G81" i="32"/>
  <c r="G82" i="32"/>
  <c r="G90" i="32"/>
  <c r="G92" i="32"/>
  <c r="G94" i="32"/>
  <c r="H94" i="32" s="1"/>
  <c r="G95" i="32"/>
  <c r="H95" i="32" s="1"/>
  <c r="G100" i="32"/>
  <c r="G128" i="32"/>
  <c r="H128" i="32" s="1"/>
  <c r="G116" i="32"/>
  <c r="G121" i="32"/>
  <c r="H121" i="32" s="1"/>
  <c r="G126" i="32"/>
  <c r="G127" i="32"/>
  <c r="BG21" i="28"/>
  <c r="BE21" i="28"/>
  <c r="BC21" i="28"/>
  <c r="BA21" i="28"/>
  <c r="AY21" i="28"/>
  <c r="AW21" i="28"/>
  <c r="AU21" i="28"/>
  <c r="AS21" i="28"/>
  <c r="AQ21" i="28"/>
  <c r="AO21" i="28"/>
  <c r="AM21" i="28"/>
  <c r="AK21" i="28"/>
  <c r="AI21" i="28"/>
  <c r="AG21" i="28"/>
  <c r="AE21" i="28"/>
  <c r="AC21" i="28"/>
  <c r="AA21" i="28"/>
  <c r="BJ28" i="28"/>
  <c r="F28" i="28" s="1"/>
  <c r="BI28" i="28"/>
  <c r="BH80" i="7"/>
  <c r="BI21" i="28"/>
  <c r="F56" i="7"/>
  <c r="BI54" i="7"/>
  <c r="BI56" i="7" s="1"/>
  <c r="BG54" i="7"/>
  <c r="BG56" i="7" s="1"/>
  <c r="BE54" i="7"/>
  <c r="BE56" i="7" s="1"/>
  <c r="BC54" i="7"/>
  <c r="BA54" i="7"/>
  <c r="BA56" i="7" s="1"/>
  <c r="AY54" i="7"/>
  <c r="AY56" i="7" s="1"/>
  <c r="AW54" i="7"/>
  <c r="AW56" i="7" s="1"/>
  <c r="AW57" i="7" s="1"/>
  <c r="AU54" i="7"/>
  <c r="AU56" i="7" s="1"/>
  <c r="AS54" i="7"/>
  <c r="AQ54" i="7"/>
  <c r="AQ56" i="7" s="1"/>
  <c r="AO54" i="7"/>
  <c r="AM54" i="7"/>
  <c r="AK54" i="7"/>
  <c r="AK56" i="7" s="1"/>
  <c r="AI54" i="7"/>
  <c r="AI56" i="7" s="1"/>
  <c r="AG54" i="7"/>
  <c r="AG56" i="7" s="1"/>
  <c r="AE54" i="7"/>
  <c r="AE56" i="7" s="1"/>
  <c r="AC54" i="7"/>
  <c r="AA54" i="7"/>
  <c r="E54" i="7"/>
  <c r="S54" i="7" s="1"/>
  <c r="W54" i="7" s="1"/>
  <c r="W56" i="7" s="1"/>
  <c r="E47" i="7"/>
  <c r="G47" i="7" s="1"/>
  <c r="G48" i="7" s="1"/>
  <c r="BS48" i="7" s="1"/>
  <c r="Z44" i="7"/>
  <c r="AB44" i="7"/>
  <c r="AD44" i="7"/>
  <c r="AF44" i="7"/>
  <c r="AH44" i="7"/>
  <c r="AJ44" i="7"/>
  <c r="AL44" i="7"/>
  <c r="AN44" i="7"/>
  <c r="AP44" i="7"/>
  <c r="AR44" i="7"/>
  <c r="AT44" i="7"/>
  <c r="AV44" i="7"/>
  <c r="AX44" i="7"/>
  <c r="AZ44" i="7"/>
  <c r="BB44" i="7"/>
  <c r="BD44" i="7"/>
  <c r="BF44" i="7"/>
  <c r="BH44" i="7"/>
  <c r="BF66" i="7"/>
  <c r="BG66" i="7" s="1"/>
  <c r="AZ66" i="7"/>
  <c r="BA66" i="7" s="1"/>
  <c r="AX66" i="7"/>
  <c r="AY66" i="7" s="1"/>
  <c r="AV66" i="7"/>
  <c r="AW66" i="7" s="1"/>
  <c r="AT66" i="7"/>
  <c r="AU66" i="7" s="1"/>
  <c r="AR66" i="7"/>
  <c r="AS66" i="7" s="1"/>
  <c r="AP66" i="7"/>
  <c r="AQ66" i="7" s="1"/>
  <c r="AO66" i="7"/>
  <c r="AL66" i="7"/>
  <c r="AM66" i="7" s="1"/>
  <c r="AJ66" i="7"/>
  <c r="AK66" i="7" s="1"/>
  <c r="AH66" i="7"/>
  <c r="AI66" i="7" s="1"/>
  <c r="AF66" i="7"/>
  <c r="AD66" i="7"/>
  <c r="AE66" i="7" s="1"/>
  <c r="AB66" i="7"/>
  <c r="AC66" i="7" s="1"/>
  <c r="Z66" i="7"/>
  <c r="AX62" i="28"/>
  <c r="AD62" i="28"/>
  <c r="Z62" i="28"/>
  <c r="AL62" i="7"/>
  <c r="AL69" i="7" s="1"/>
  <c r="AD62" i="7"/>
  <c r="BI43" i="7"/>
  <c r="BG43" i="7"/>
  <c r="BE43" i="7"/>
  <c r="BC43" i="7"/>
  <c r="BA43" i="7"/>
  <c r="AY43" i="7"/>
  <c r="AW43" i="7"/>
  <c r="AU43" i="7"/>
  <c r="AS43" i="7"/>
  <c r="AQ43" i="7"/>
  <c r="AO43" i="7"/>
  <c r="AM43" i="7"/>
  <c r="AK43" i="7"/>
  <c r="AI43" i="7"/>
  <c r="AG43" i="7"/>
  <c r="AE43" i="7"/>
  <c r="AC43" i="7"/>
  <c r="AA43" i="7"/>
  <c r="S42" i="7"/>
  <c r="W42" i="7" s="1"/>
  <c r="BI42" i="7"/>
  <c r="BG42" i="7"/>
  <c r="BE42" i="7"/>
  <c r="BC42" i="7"/>
  <c r="BA42" i="7"/>
  <c r="AY42" i="7"/>
  <c r="AW42" i="7"/>
  <c r="AU42" i="7"/>
  <c r="AS42" i="7"/>
  <c r="AQ42" i="7"/>
  <c r="AO42" i="7"/>
  <c r="AM42" i="7"/>
  <c r="AK42" i="7"/>
  <c r="AI42" i="7"/>
  <c r="AG42" i="7"/>
  <c r="AE42" i="7"/>
  <c r="AC42" i="7"/>
  <c r="AA42" i="7"/>
  <c r="BI41" i="7"/>
  <c r="BG41" i="7"/>
  <c r="BE41" i="7"/>
  <c r="BC41" i="7"/>
  <c r="BA41" i="7"/>
  <c r="AY41" i="7"/>
  <c r="AW41" i="7"/>
  <c r="AU41" i="7"/>
  <c r="AS41" i="7"/>
  <c r="AQ41" i="7"/>
  <c r="AO41" i="7"/>
  <c r="AM41" i="7"/>
  <c r="AK41" i="7"/>
  <c r="AI41" i="7"/>
  <c r="AG41" i="7"/>
  <c r="AE41" i="7"/>
  <c r="AC41" i="7"/>
  <c r="AA41" i="7"/>
  <c r="AA40" i="7"/>
  <c r="BI40" i="7"/>
  <c r="BG40" i="7"/>
  <c r="BE40" i="7"/>
  <c r="AO40" i="7"/>
  <c r="E37" i="7"/>
  <c r="G37" i="7" s="1"/>
  <c r="E38" i="7"/>
  <c r="W26" i="7"/>
  <c r="W20" i="7"/>
  <c r="E60" i="25"/>
  <c r="F12" i="34"/>
  <c r="BJ11" i="34"/>
  <c r="BK33" i="37"/>
  <c r="BC45" i="28"/>
  <c r="BA45" i="28"/>
  <c r="AS45" i="28"/>
  <c r="AK45" i="28"/>
  <c r="AZ62" i="7"/>
  <c r="BC40" i="7"/>
  <c r="BA40" i="7"/>
  <c r="AY40" i="7"/>
  <c r="AW40" i="7"/>
  <c r="AU40" i="7"/>
  <c r="AS40" i="7"/>
  <c r="AK40" i="7"/>
  <c r="BK32" i="37"/>
  <c r="BL40" i="38"/>
  <c r="BL35" i="38"/>
  <c r="BL34" i="38"/>
  <c r="BL18" i="38"/>
  <c r="AE45" i="28"/>
  <c r="AQ45" i="28"/>
  <c r="AC45" i="28"/>
  <c r="AA45" i="28"/>
  <c r="AQ40" i="7"/>
  <c r="AE40" i="7"/>
  <c r="AC40" i="7"/>
  <c r="E28" i="7"/>
  <c r="G28" i="7" s="1"/>
  <c r="AY15" i="37"/>
  <c r="BK28" i="37"/>
  <c r="AW14" i="37"/>
  <c r="BK14" i="37" s="1"/>
  <c r="AW15" i="37"/>
  <c r="BK18" i="37"/>
  <c r="BK19" i="37"/>
  <c r="BK21" i="37"/>
  <c r="BK25" i="37"/>
  <c r="BK27" i="37"/>
  <c r="BK29" i="37"/>
  <c r="BK31" i="37"/>
  <c r="AY45" i="28"/>
  <c r="AW45" i="28"/>
  <c r="AU45" i="28"/>
  <c r="E40" i="37"/>
  <c r="BK16" i="37"/>
  <c r="F16" i="38"/>
  <c r="BK20" i="37"/>
  <c r="BK34" i="37"/>
  <c r="BK17" i="37"/>
  <c r="Y18" i="7"/>
  <c r="X18" i="7"/>
  <c r="W18" i="7"/>
  <c r="Y22" i="7"/>
  <c r="W22" i="7"/>
  <c r="X22" i="7"/>
  <c r="X25" i="7"/>
  <c r="Y28" i="7"/>
  <c r="W28" i="7"/>
  <c r="X28" i="7"/>
  <c r="X16" i="7"/>
  <c r="Y16" i="7"/>
  <c r="W19" i="7"/>
  <c r="X21" i="7"/>
  <c r="Y21" i="7"/>
  <c r="W21" i="7"/>
  <c r="Y23" i="7"/>
  <c r="W24" i="7"/>
  <c r="BL31" i="38"/>
  <c r="AM45" i="28"/>
  <c r="AI45" i="28"/>
  <c r="AG45" i="28"/>
  <c r="AM40" i="7"/>
  <c r="AI40" i="7"/>
  <c r="AG40" i="7"/>
  <c r="E18" i="7"/>
  <c r="G18" i="7" s="1"/>
  <c r="M18" i="7" s="1"/>
  <c r="E19" i="7"/>
  <c r="G19" i="7" s="1"/>
  <c r="E20" i="7"/>
  <c r="E21" i="7"/>
  <c r="G21" i="7" s="1"/>
  <c r="E22" i="7"/>
  <c r="E23" i="7"/>
  <c r="G23" i="7" s="1"/>
  <c r="E24" i="7"/>
  <c r="G24" i="7" s="1"/>
  <c r="E25" i="7"/>
  <c r="G25" i="7" s="1"/>
  <c r="E26" i="7"/>
  <c r="G26" i="7" s="1"/>
  <c r="K26" i="7" s="1"/>
  <c r="E27" i="7"/>
  <c r="G27" i="7" s="1"/>
  <c r="E29" i="7"/>
  <c r="AC10" i="7"/>
  <c r="AA11" i="7"/>
  <c r="AA12" i="7" s="1"/>
  <c r="AC11" i="7"/>
  <c r="AE11" i="7"/>
  <c r="AE12" i="7" s="1"/>
  <c r="Z12" i="7"/>
  <c r="AB12" i="7"/>
  <c r="AD12" i="7"/>
  <c r="AA32" i="7"/>
  <c r="AC32" i="7"/>
  <c r="AE32" i="7"/>
  <c r="AA33" i="7"/>
  <c r="AC33" i="7"/>
  <c r="AE33" i="7"/>
  <c r="Z34" i="7"/>
  <c r="AB34" i="7"/>
  <c r="AD34" i="7"/>
  <c r="AA36" i="7"/>
  <c r="AC36" i="7"/>
  <c r="AE36" i="7"/>
  <c r="AA37" i="7"/>
  <c r="AC37" i="7"/>
  <c r="AE37" i="7"/>
  <c r="AA38" i="7"/>
  <c r="AC38" i="7"/>
  <c r="AE38" i="7"/>
  <c r="AA50" i="7"/>
  <c r="AA52" i="7" s="1"/>
  <c r="AC50" i="7"/>
  <c r="AC52" i="7" s="1"/>
  <c r="AE50" i="7"/>
  <c r="AE52" i="7" s="1"/>
  <c r="Z52" i="7"/>
  <c r="AB52" i="7"/>
  <c r="AD52" i="7"/>
  <c r="Z56" i="7"/>
  <c r="AB56" i="7"/>
  <c r="AD56" i="7"/>
  <c r="Z62" i="7"/>
  <c r="Z69" i="7" s="1"/>
  <c r="AB62" i="7"/>
  <c r="AE64" i="7"/>
  <c r="AA70" i="7"/>
  <c r="AA71" i="7" s="1"/>
  <c r="AC70" i="7"/>
  <c r="AC71" i="7" s="1"/>
  <c r="AE70" i="7"/>
  <c r="AE71" i="7" s="1"/>
  <c r="Z71" i="7"/>
  <c r="AB71" i="7"/>
  <c r="AD71" i="7"/>
  <c r="AC56" i="7"/>
  <c r="AA64" i="7"/>
  <c r="AC64" i="7"/>
  <c r="E108" i="24"/>
  <c r="BU40" i="26"/>
  <c r="BU41" i="26" s="1"/>
  <c r="BU38" i="26"/>
  <c r="BU37" i="26"/>
  <c r="BU36" i="26"/>
  <c r="BU35" i="26"/>
  <c r="BU34" i="26"/>
  <c r="BV34" i="26" s="1"/>
  <c r="BU32" i="26"/>
  <c r="BU31" i="26"/>
  <c r="BU30" i="26"/>
  <c r="BU29" i="26"/>
  <c r="BU28" i="26"/>
  <c r="BU27" i="26"/>
  <c r="BU26" i="26"/>
  <c r="BU25" i="26"/>
  <c r="BU24" i="26"/>
  <c r="BU22" i="26"/>
  <c r="BU21" i="26"/>
  <c r="BU20" i="26"/>
  <c r="BU19" i="26"/>
  <c r="BU17" i="26"/>
  <c r="BU16" i="26"/>
  <c r="BU15" i="26"/>
  <c r="BU14" i="26"/>
  <c r="BU13" i="26"/>
  <c r="BU12" i="26"/>
  <c r="BU11" i="26"/>
  <c r="BU10" i="26"/>
  <c r="BR38" i="26"/>
  <c r="BR32" i="26"/>
  <c r="BV32" i="26" s="1"/>
  <c r="BR28" i="26"/>
  <c r="BR24" i="26"/>
  <c r="BR19" i="26"/>
  <c r="BV19" i="26" s="1"/>
  <c r="BR15" i="26"/>
  <c r="BR14" i="26"/>
  <c r="BR13" i="26"/>
  <c r="BR12" i="26"/>
  <c r="BV12" i="26" s="1"/>
  <c r="BR11" i="26"/>
  <c r="BR10" i="26"/>
  <c r="BV11" i="25"/>
  <c r="BV19" i="25"/>
  <c r="BV47" i="25"/>
  <c r="BV48" i="25"/>
  <c r="BV49" i="25"/>
  <c r="BV56" i="25"/>
  <c r="BV57" i="25"/>
  <c r="BV67" i="25"/>
  <c r="BV72" i="25"/>
  <c r="BV79" i="25"/>
  <c r="BV89" i="25"/>
  <c r="BV107" i="25"/>
  <c r="BV10" i="25"/>
  <c r="BV11" i="24"/>
  <c r="BV18" i="24"/>
  <c r="BV45" i="24"/>
  <c r="BV46" i="24"/>
  <c r="BV54" i="24"/>
  <c r="BV61" i="24"/>
  <c r="BV67" i="24"/>
  <c r="BV68" i="24"/>
  <c r="BV88" i="24"/>
  <c r="BV99" i="24"/>
  <c r="BV10" i="24"/>
  <c r="BV39" i="37"/>
  <c r="BV48" i="37"/>
  <c r="BV11" i="37"/>
  <c r="BW21" i="38"/>
  <c r="BW26" i="38"/>
  <c r="BW38" i="38"/>
  <c r="BW43" i="38"/>
  <c r="BW50" i="38"/>
  <c r="BV16" i="34"/>
  <c r="BV23" i="34"/>
  <c r="BV28" i="34"/>
  <c r="BV34" i="34"/>
  <c r="BV41" i="34"/>
  <c r="BV10" i="34"/>
  <c r="BV18" i="33"/>
  <c r="BV22" i="33"/>
  <c r="BV26" i="33"/>
  <c r="BV27" i="33"/>
  <c r="BV9" i="33"/>
  <c r="BW11" i="32"/>
  <c r="BW16" i="32"/>
  <c r="BW23" i="32"/>
  <c r="BW10" i="32"/>
  <c r="BV35" i="28"/>
  <c r="BV44" i="28"/>
  <c r="BV51" i="28"/>
  <c r="BV63" i="28"/>
  <c r="BV70" i="28"/>
  <c r="BV18" i="28"/>
  <c r="BV19" i="28"/>
  <c r="BV26" i="28"/>
  <c r="BV32" i="28"/>
  <c r="BV33" i="28"/>
  <c r="BV9" i="28"/>
  <c r="BZ13" i="7"/>
  <c r="BZ30" i="7"/>
  <c r="BZ35" i="7"/>
  <c r="BZ45" i="7"/>
  <c r="BZ53" i="7"/>
  <c r="BZ61" i="7"/>
  <c r="BZ9" i="7"/>
  <c r="BT41" i="26"/>
  <c r="BS41" i="26"/>
  <c r="BQ41" i="26"/>
  <c r="BO41" i="26"/>
  <c r="BN41" i="26"/>
  <c r="BT39" i="26"/>
  <c r="BS39" i="26"/>
  <c r="BQ39" i="26"/>
  <c r="BO39" i="26"/>
  <c r="BN39" i="26"/>
  <c r="BT33" i="26"/>
  <c r="BS33" i="26"/>
  <c r="BQ33" i="26"/>
  <c r="BP33" i="26"/>
  <c r="BN33" i="26"/>
  <c r="BT23" i="26"/>
  <c r="BS23" i="26"/>
  <c r="BQ23" i="26"/>
  <c r="BP23" i="26"/>
  <c r="BN23" i="26"/>
  <c r="BT18" i="26"/>
  <c r="BS18" i="26"/>
  <c r="BQ18" i="26"/>
  <c r="BP18" i="26"/>
  <c r="BN18" i="26"/>
  <c r="BT111" i="25"/>
  <c r="BS111" i="25"/>
  <c r="BQ111" i="25"/>
  <c r="BP111" i="25"/>
  <c r="BO111" i="25"/>
  <c r="BU110" i="25"/>
  <c r="BU109" i="25"/>
  <c r="BU108" i="25"/>
  <c r="BS106" i="25"/>
  <c r="BQ106" i="25"/>
  <c r="BP106" i="25"/>
  <c r="BO106" i="25"/>
  <c r="BN106" i="25"/>
  <c r="BR105" i="25"/>
  <c r="BR104" i="25"/>
  <c r="BR103" i="25"/>
  <c r="BR102" i="25"/>
  <c r="BR101" i="25"/>
  <c r="BR100" i="25"/>
  <c r="BR99" i="25"/>
  <c r="BR98" i="25"/>
  <c r="BR97" i="25"/>
  <c r="BR96" i="25"/>
  <c r="BR95" i="25"/>
  <c r="BR94" i="25"/>
  <c r="BR93" i="25"/>
  <c r="BR92" i="25"/>
  <c r="BR91" i="25"/>
  <c r="BR90" i="25"/>
  <c r="BT87" i="25"/>
  <c r="BQ87" i="25"/>
  <c r="BP87" i="25"/>
  <c r="BO87" i="25"/>
  <c r="BN87" i="25"/>
  <c r="BR86" i="25"/>
  <c r="BR85" i="25"/>
  <c r="BR84" i="25"/>
  <c r="BR83" i="25"/>
  <c r="BR82" i="25"/>
  <c r="BR81" i="25"/>
  <c r="BR80" i="25"/>
  <c r="BT78" i="25"/>
  <c r="BQ78" i="25"/>
  <c r="BP78" i="25"/>
  <c r="BO78" i="25"/>
  <c r="BN78" i="25"/>
  <c r="BR77" i="25"/>
  <c r="BR76" i="25"/>
  <c r="BR75" i="25"/>
  <c r="BR74" i="25"/>
  <c r="BR73" i="25"/>
  <c r="BT71" i="25"/>
  <c r="BS71" i="25"/>
  <c r="BQ71" i="25"/>
  <c r="BP71" i="25"/>
  <c r="BO71" i="25"/>
  <c r="BN71" i="25"/>
  <c r="BU70" i="25"/>
  <c r="BR70" i="25"/>
  <c r="BU69" i="25"/>
  <c r="BR69" i="25"/>
  <c r="BU68" i="25"/>
  <c r="BR68" i="25"/>
  <c r="BT66" i="25"/>
  <c r="BS66" i="25"/>
  <c r="BQ66" i="25"/>
  <c r="BP66" i="25"/>
  <c r="BO66" i="25"/>
  <c r="BN66" i="25"/>
  <c r="BU65" i="25"/>
  <c r="BR65" i="25"/>
  <c r="BU64" i="25"/>
  <c r="BR64" i="25"/>
  <c r="BU63" i="25"/>
  <c r="BR63" i="25"/>
  <c r="BU62" i="25"/>
  <c r="BR62" i="25"/>
  <c r="BU61" i="25"/>
  <c r="BR61" i="25"/>
  <c r="BU60" i="25"/>
  <c r="BR60" i="25"/>
  <c r="BU59" i="25"/>
  <c r="BR59" i="25"/>
  <c r="BU58" i="25"/>
  <c r="BR58" i="25"/>
  <c r="BU54" i="25"/>
  <c r="BT54" i="25"/>
  <c r="BS54" i="25"/>
  <c r="BQ54" i="25"/>
  <c r="BO54" i="25"/>
  <c r="BN54" i="25"/>
  <c r="BT52" i="25"/>
  <c r="BS52" i="25"/>
  <c r="BQ52" i="25"/>
  <c r="BO52" i="25"/>
  <c r="BN52" i="25"/>
  <c r="BU51" i="25"/>
  <c r="BU50" i="25"/>
  <c r="BT46" i="25"/>
  <c r="BS46" i="25"/>
  <c r="BQ46" i="25"/>
  <c r="BO46" i="25"/>
  <c r="BN46" i="25"/>
  <c r="BU45" i="25"/>
  <c r="BU44" i="25"/>
  <c r="BU43" i="25"/>
  <c r="BU42" i="25"/>
  <c r="BU41" i="25"/>
  <c r="BU40" i="25"/>
  <c r="BU39" i="25"/>
  <c r="BU38" i="25"/>
  <c r="BU37" i="25"/>
  <c r="BU36" i="25"/>
  <c r="BU35" i="25"/>
  <c r="BU34" i="25"/>
  <c r="BU32" i="25"/>
  <c r="BU30" i="25"/>
  <c r="BU29" i="25"/>
  <c r="BU28" i="25"/>
  <c r="BU27" i="25"/>
  <c r="BU26" i="25"/>
  <c r="BU25" i="25"/>
  <c r="BU24" i="25"/>
  <c r="BU23" i="25"/>
  <c r="BU22" i="25"/>
  <c r="BU21" i="25"/>
  <c r="BU20" i="25"/>
  <c r="BS18" i="25"/>
  <c r="BQ18" i="25"/>
  <c r="BP18" i="25"/>
  <c r="BO18" i="25"/>
  <c r="BN18" i="25"/>
  <c r="BR17" i="25"/>
  <c r="BR16" i="25"/>
  <c r="BR15" i="25"/>
  <c r="BR14" i="25"/>
  <c r="BR13" i="25"/>
  <c r="BR12" i="25"/>
  <c r="BS116" i="24"/>
  <c r="BQ116" i="24"/>
  <c r="BP116" i="24"/>
  <c r="BO116" i="24"/>
  <c r="BN116" i="24"/>
  <c r="BR115" i="24"/>
  <c r="BR114" i="24"/>
  <c r="BR113" i="24"/>
  <c r="BR112" i="24"/>
  <c r="BR111" i="24"/>
  <c r="BR110" i="24"/>
  <c r="BR109" i="24"/>
  <c r="BR108" i="24"/>
  <c r="BR107" i="24"/>
  <c r="BR106" i="24"/>
  <c r="BR105" i="24"/>
  <c r="BR104" i="24"/>
  <c r="BR103" i="24"/>
  <c r="BR102" i="24"/>
  <c r="BR101" i="24"/>
  <c r="BR100" i="24"/>
  <c r="BT97" i="24"/>
  <c r="BQ97" i="24"/>
  <c r="BP97" i="24"/>
  <c r="BO97" i="24"/>
  <c r="BN97" i="24"/>
  <c r="BR96" i="24"/>
  <c r="BR95" i="24"/>
  <c r="BR94" i="24"/>
  <c r="BR93" i="24"/>
  <c r="BR92" i="24"/>
  <c r="BR91" i="24"/>
  <c r="BR90" i="24"/>
  <c r="BR89" i="24"/>
  <c r="BT87" i="24"/>
  <c r="BQ87" i="24"/>
  <c r="BQ98" i="24" s="1"/>
  <c r="BP87" i="24"/>
  <c r="BP98" i="24" s="1"/>
  <c r="BO87" i="24"/>
  <c r="BN87" i="24"/>
  <c r="BR86" i="24"/>
  <c r="BR85" i="24"/>
  <c r="BR84" i="24"/>
  <c r="BR83" i="24"/>
  <c r="BR82" i="24"/>
  <c r="BR81" i="24"/>
  <c r="BR80" i="24"/>
  <c r="BR79" i="24"/>
  <c r="BR78" i="24"/>
  <c r="BR77" i="24"/>
  <c r="BR76" i="24"/>
  <c r="BR75" i="24"/>
  <c r="BR74" i="24"/>
  <c r="BR73" i="24"/>
  <c r="BR72" i="24"/>
  <c r="BR71" i="24"/>
  <c r="BR70" i="24"/>
  <c r="BR69" i="24"/>
  <c r="BT65" i="24"/>
  <c r="BS65" i="24"/>
  <c r="BQ65" i="24"/>
  <c r="BO65" i="24"/>
  <c r="BN65" i="24"/>
  <c r="BU64" i="24"/>
  <c r="BU63" i="24"/>
  <c r="BU62" i="24"/>
  <c r="BT60" i="24"/>
  <c r="BS60" i="24"/>
  <c r="BS66" i="24" s="1"/>
  <c r="BQ60" i="24"/>
  <c r="BO60" i="24"/>
  <c r="BN60" i="24"/>
  <c r="BU59" i="24"/>
  <c r="BU58" i="24"/>
  <c r="BU56" i="24"/>
  <c r="BU55" i="24"/>
  <c r="BT53" i="24"/>
  <c r="BS53" i="24"/>
  <c r="BQ53" i="24"/>
  <c r="BO53" i="24"/>
  <c r="BN53" i="24"/>
  <c r="BU52" i="24"/>
  <c r="BU51" i="24"/>
  <c r="BU50" i="24"/>
  <c r="BU49" i="24"/>
  <c r="BU48" i="24"/>
  <c r="BU47" i="24"/>
  <c r="BT44" i="24"/>
  <c r="BS44" i="24"/>
  <c r="BQ44" i="24"/>
  <c r="BO44" i="24"/>
  <c r="BN44" i="24"/>
  <c r="BU43" i="24"/>
  <c r="BU42" i="24"/>
  <c r="BU41" i="24"/>
  <c r="BU40" i="24"/>
  <c r="BU39" i="24"/>
  <c r="BU38" i="24"/>
  <c r="BU37" i="24"/>
  <c r="BU36" i="24"/>
  <c r="BU35" i="24"/>
  <c r="BU34" i="24"/>
  <c r="BU33" i="24"/>
  <c r="BU32" i="24"/>
  <c r="BU31" i="24"/>
  <c r="BU30" i="24"/>
  <c r="BU29" i="24"/>
  <c r="BU28" i="24"/>
  <c r="BU27" i="24"/>
  <c r="BU26" i="24"/>
  <c r="BU25" i="24"/>
  <c r="BU24" i="24"/>
  <c r="BU23" i="24"/>
  <c r="BU22" i="24"/>
  <c r="BU20" i="24"/>
  <c r="BU19" i="24"/>
  <c r="BS17" i="24"/>
  <c r="BQ17" i="24"/>
  <c r="BP17" i="24"/>
  <c r="BO17" i="24"/>
  <c r="BN17" i="24"/>
  <c r="BU16" i="24"/>
  <c r="BR16" i="24"/>
  <c r="BV16" i="24" s="1"/>
  <c r="BU15" i="24"/>
  <c r="BR15" i="24"/>
  <c r="BU14" i="24"/>
  <c r="BR14" i="24"/>
  <c r="BR13" i="24"/>
  <c r="BU12" i="24"/>
  <c r="BV12" i="24" s="1"/>
  <c r="BR12" i="24"/>
  <c r="BT51" i="37"/>
  <c r="BS51" i="37"/>
  <c r="BQ51" i="37"/>
  <c r="BO51" i="37"/>
  <c r="BN51" i="37"/>
  <c r="BU50" i="37"/>
  <c r="BU49" i="37"/>
  <c r="BU44" i="37"/>
  <c r="BU42" i="37"/>
  <c r="BU41" i="37"/>
  <c r="BU40" i="37"/>
  <c r="BU13" i="37"/>
  <c r="BU12" i="37"/>
  <c r="BU52" i="38"/>
  <c r="BT52" i="38"/>
  <c r="BR52" i="38"/>
  <c r="BP52" i="38"/>
  <c r="BV51" i="38"/>
  <c r="BV52" i="38" s="1"/>
  <c r="BV47" i="38"/>
  <c r="BV46" i="38"/>
  <c r="BV45" i="38"/>
  <c r="BV44" i="38"/>
  <c r="BV39" i="38"/>
  <c r="BV42" i="38" s="1"/>
  <c r="BV30" i="38"/>
  <c r="BV29" i="38"/>
  <c r="BV28" i="38"/>
  <c r="BV27" i="38"/>
  <c r="BU25" i="38"/>
  <c r="BT25" i="38"/>
  <c r="BR25" i="38"/>
  <c r="BQ25" i="38"/>
  <c r="BP25" i="38"/>
  <c r="BV24" i="38"/>
  <c r="BV23" i="38"/>
  <c r="BV22" i="38"/>
  <c r="BU20" i="38"/>
  <c r="BT20" i="38"/>
  <c r="BR20" i="38"/>
  <c r="BQ20" i="38"/>
  <c r="BP20" i="38"/>
  <c r="BV19" i="38"/>
  <c r="BV17" i="38"/>
  <c r="BV16" i="38"/>
  <c r="BV15" i="38"/>
  <c r="BV14" i="38"/>
  <c r="BS14" i="38"/>
  <c r="BV13" i="38"/>
  <c r="BS13" i="38"/>
  <c r="BV12" i="38"/>
  <c r="BS12" i="38"/>
  <c r="BV11" i="38"/>
  <c r="BS11" i="38"/>
  <c r="BT46" i="34"/>
  <c r="BS46" i="34"/>
  <c r="BQ46" i="34"/>
  <c r="BP46" i="34"/>
  <c r="BN46" i="34"/>
  <c r="BU45" i="34"/>
  <c r="BU46" i="34" s="1"/>
  <c r="BT44" i="34"/>
  <c r="BS44" i="34"/>
  <c r="BQ44" i="34"/>
  <c r="BO44" i="34"/>
  <c r="BU43" i="34"/>
  <c r="BU42" i="34"/>
  <c r="BT40" i="34"/>
  <c r="BS40" i="34"/>
  <c r="BQ40" i="34"/>
  <c r="BO40" i="34"/>
  <c r="BN40" i="34"/>
  <c r="BU39" i="34"/>
  <c r="BU38" i="34"/>
  <c r="BU37" i="34"/>
  <c r="BU36" i="34"/>
  <c r="BU35" i="34"/>
  <c r="BT33" i="34"/>
  <c r="BS33" i="34"/>
  <c r="BQ33" i="34"/>
  <c r="BO33" i="34"/>
  <c r="BN33" i="34"/>
  <c r="BU32" i="34"/>
  <c r="BU30" i="34"/>
  <c r="BU29" i="34"/>
  <c r="BT27" i="34"/>
  <c r="BS27" i="34"/>
  <c r="BQ27" i="34"/>
  <c r="BO27" i="34"/>
  <c r="BN27" i="34"/>
  <c r="BU26" i="34"/>
  <c r="BU25" i="34"/>
  <c r="BU24" i="34"/>
  <c r="BT22" i="34"/>
  <c r="BS22" i="34"/>
  <c r="BQ22" i="34"/>
  <c r="BO22" i="34"/>
  <c r="BN22" i="34"/>
  <c r="BU21" i="34"/>
  <c r="BU20" i="34"/>
  <c r="BU19" i="34"/>
  <c r="BU18" i="34"/>
  <c r="BU17" i="34"/>
  <c r="BT15" i="34"/>
  <c r="BS15" i="34"/>
  <c r="BQ15" i="34"/>
  <c r="BP15" i="34"/>
  <c r="BN15" i="34"/>
  <c r="BU13" i="34"/>
  <c r="BU12" i="34"/>
  <c r="BU11" i="34"/>
  <c r="BT33" i="33"/>
  <c r="BS33" i="33"/>
  <c r="BQ33" i="33"/>
  <c r="BO33" i="33"/>
  <c r="BN33" i="33"/>
  <c r="BU32" i="33"/>
  <c r="BU33" i="33" s="1"/>
  <c r="BT31" i="33"/>
  <c r="BS31" i="33"/>
  <c r="BQ31" i="33"/>
  <c r="BO31" i="33"/>
  <c r="BN31" i="33"/>
  <c r="BU30" i="33"/>
  <c r="BU29" i="33"/>
  <c r="BR29" i="33"/>
  <c r="BU28" i="33"/>
  <c r="BR28" i="33"/>
  <c r="BT25" i="33"/>
  <c r="BS25" i="33"/>
  <c r="BQ25" i="33"/>
  <c r="BP25" i="33"/>
  <c r="BN25" i="33"/>
  <c r="BU24" i="33"/>
  <c r="BU23" i="33"/>
  <c r="BR23" i="33"/>
  <c r="BT21" i="33"/>
  <c r="BS21" i="33"/>
  <c r="BQ21" i="33"/>
  <c r="BP21" i="33"/>
  <c r="BN21" i="33"/>
  <c r="BU20" i="33"/>
  <c r="BU19" i="33"/>
  <c r="BT17" i="33"/>
  <c r="BS17" i="33"/>
  <c r="BQ17" i="33"/>
  <c r="BU15" i="33"/>
  <c r="BU14" i="33"/>
  <c r="BU13" i="33"/>
  <c r="BU12" i="33"/>
  <c r="BR12" i="33"/>
  <c r="BU11" i="33"/>
  <c r="BR11" i="33"/>
  <c r="BU10" i="33"/>
  <c r="BR10" i="33"/>
  <c r="BV88" i="32"/>
  <c r="BV109" i="32" s="1"/>
  <c r="BV78" i="32"/>
  <c r="BV63" i="32"/>
  <c r="BV46" i="32"/>
  <c r="BV24" i="32"/>
  <c r="BU22" i="32"/>
  <c r="BT22" i="32"/>
  <c r="BR22" i="32"/>
  <c r="BO22" i="32"/>
  <c r="BV21" i="32"/>
  <c r="BV20" i="32"/>
  <c r="BV18" i="32"/>
  <c r="BU15" i="32"/>
  <c r="BT15" i="32"/>
  <c r="BR15" i="32"/>
  <c r="BQ15" i="32"/>
  <c r="BO15" i="32"/>
  <c r="BV14" i="32"/>
  <c r="BV13" i="32"/>
  <c r="BV12" i="32"/>
  <c r="BT72" i="28"/>
  <c r="BS72" i="28"/>
  <c r="BP72" i="28"/>
  <c r="BO72" i="28"/>
  <c r="BN72" i="28"/>
  <c r="BU71" i="28"/>
  <c r="BT69" i="28"/>
  <c r="BS69" i="28"/>
  <c r="BS73" i="28" s="1"/>
  <c r="BQ69" i="28"/>
  <c r="BN69" i="28"/>
  <c r="BU67" i="28"/>
  <c r="BU66" i="28"/>
  <c r="BU65" i="28"/>
  <c r="BU64" i="28"/>
  <c r="BV64" i="28" s="1"/>
  <c r="BR64" i="28"/>
  <c r="BT61" i="28"/>
  <c r="BS61" i="28"/>
  <c r="BQ61" i="28"/>
  <c r="BP61" i="28"/>
  <c r="BN61" i="28"/>
  <c r="BU60" i="28"/>
  <c r="BR60" i="28"/>
  <c r="BV60" i="28" s="1"/>
  <c r="BU59" i="28"/>
  <c r="BR59" i="28"/>
  <c r="BU58" i="28"/>
  <c r="BR58" i="28"/>
  <c r="BV58" i="28" s="1"/>
  <c r="BU57" i="28"/>
  <c r="BR57" i="28"/>
  <c r="BV57" i="28" s="1"/>
  <c r="BU56" i="28"/>
  <c r="BR56" i="28"/>
  <c r="BV56" i="28" s="1"/>
  <c r="BU55" i="28"/>
  <c r="BR55" i="28"/>
  <c r="BV55" i="28" s="1"/>
  <c r="BU54" i="28"/>
  <c r="BR54" i="28"/>
  <c r="BV54" i="28" s="1"/>
  <c r="BU53" i="28"/>
  <c r="BR53" i="28"/>
  <c r="BV53" i="28" s="1"/>
  <c r="BU52" i="28"/>
  <c r="BU48" i="28"/>
  <c r="BU47" i="28"/>
  <c r="BU46" i="28"/>
  <c r="BU45" i="28"/>
  <c r="BU43" i="28"/>
  <c r="BT43" i="28"/>
  <c r="BS43" i="28"/>
  <c r="BQ43" i="28"/>
  <c r="BN43" i="28"/>
  <c r="BT30" i="28"/>
  <c r="BS30" i="28"/>
  <c r="BQ30" i="28"/>
  <c r="BP30" i="28"/>
  <c r="BN30" i="28"/>
  <c r="BU29" i="28"/>
  <c r="BU30" i="28" s="1"/>
  <c r="BU28" i="28"/>
  <c r="BU27" i="28"/>
  <c r="BT25" i="28"/>
  <c r="BT31" i="28" s="1"/>
  <c r="BS25" i="28"/>
  <c r="BS31" i="28" s="1"/>
  <c r="BQ25" i="28"/>
  <c r="BP25" i="28"/>
  <c r="BN25" i="28"/>
  <c r="BN31" i="28" s="1"/>
  <c r="BU24" i="28"/>
  <c r="BU23" i="28"/>
  <c r="BU22" i="28"/>
  <c r="BU21" i="28"/>
  <c r="BR20" i="28"/>
  <c r="BV20" i="28" s="1"/>
  <c r="BU16" i="28"/>
  <c r="BT16" i="28"/>
  <c r="BS16" i="28"/>
  <c r="BQ16" i="28"/>
  <c r="BO16" i="28"/>
  <c r="BN16" i="28"/>
  <c r="BT14" i="28"/>
  <c r="BS14" i="28"/>
  <c r="BQ14" i="28"/>
  <c r="BP14" i="28"/>
  <c r="BN14" i="28"/>
  <c r="BU13" i="28"/>
  <c r="BU12" i="28"/>
  <c r="BR12" i="28"/>
  <c r="BU11" i="28"/>
  <c r="BR11" i="28"/>
  <c r="BU10" i="28"/>
  <c r="BR10" i="28"/>
  <c r="BV10" i="28" s="1"/>
  <c r="BX71" i="7"/>
  <c r="BW71" i="7"/>
  <c r="BU71" i="7"/>
  <c r="BT71" i="7"/>
  <c r="BS71" i="7"/>
  <c r="BY70" i="7"/>
  <c r="BY71" i="7" s="1"/>
  <c r="BW69" i="7"/>
  <c r="BR69" i="7"/>
  <c r="BY66" i="7"/>
  <c r="BY65" i="7"/>
  <c r="BY64" i="7"/>
  <c r="BY63" i="7"/>
  <c r="BX56" i="7"/>
  <c r="BW56" i="7"/>
  <c r="BU56" i="7"/>
  <c r="BT56" i="7"/>
  <c r="BT57" i="7" s="1"/>
  <c r="BR56" i="7"/>
  <c r="BY55" i="7"/>
  <c r="BY54" i="7"/>
  <c r="BX52" i="7"/>
  <c r="BW52" i="7"/>
  <c r="BW57" i="7" s="1"/>
  <c r="BU52" i="7"/>
  <c r="BU57" i="7" s="1"/>
  <c r="BT52" i="7"/>
  <c r="BR52" i="7"/>
  <c r="BY51" i="7"/>
  <c r="BY50" i="7"/>
  <c r="BR44" i="7"/>
  <c r="BY38" i="7"/>
  <c r="BY37" i="7"/>
  <c r="BY36" i="7"/>
  <c r="BX34" i="7"/>
  <c r="BW34" i="7"/>
  <c r="BU34" i="7"/>
  <c r="BT34" i="7"/>
  <c r="BR34" i="7"/>
  <c r="BY33" i="7"/>
  <c r="BY32" i="7"/>
  <c r="BY31" i="7"/>
  <c r="BX29" i="7"/>
  <c r="BW29" i="7"/>
  <c r="BU29" i="7"/>
  <c r="BT29" i="7"/>
  <c r="BR29" i="7"/>
  <c r="BY17" i="7"/>
  <c r="BY16" i="7"/>
  <c r="BY15" i="7"/>
  <c r="BY14" i="7"/>
  <c r="BX12" i="7"/>
  <c r="BW12" i="7"/>
  <c r="BU12" i="7"/>
  <c r="BS12" i="7"/>
  <c r="BR12" i="7"/>
  <c r="BY11" i="7"/>
  <c r="BY10" i="7"/>
  <c r="BF62" i="7"/>
  <c r="AV62" i="7"/>
  <c r="AV69" i="7" s="1"/>
  <c r="AT62" i="7"/>
  <c r="AR62" i="7"/>
  <c r="AR69" i="7" s="1"/>
  <c r="AP62" i="7"/>
  <c r="AN69" i="7"/>
  <c r="AJ62" i="7"/>
  <c r="AJ69" i="7" s="1"/>
  <c r="AH62" i="7"/>
  <c r="AF62" i="7"/>
  <c r="S22" i="32"/>
  <c r="T22" i="32"/>
  <c r="U22" i="32"/>
  <c r="V22" i="32"/>
  <c r="X21" i="32"/>
  <c r="Z20" i="32"/>
  <c r="Y20" i="32"/>
  <c r="X17" i="32"/>
  <c r="F21" i="32"/>
  <c r="W21" i="32" s="1"/>
  <c r="F20" i="32"/>
  <c r="BJ34" i="28"/>
  <c r="F34" i="28" s="1"/>
  <c r="E34" i="28"/>
  <c r="BG70" i="7"/>
  <c r="BG71" i="7" s="1"/>
  <c r="BE70" i="7"/>
  <c r="BC70" i="7"/>
  <c r="BC71" i="7" s="1"/>
  <c r="BA70" i="7"/>
  <c r="AY70" i="7"/>
  <c r="AY71" i="7" s="1"/>
  <c r="AW70" i="7"/>
  <c r="AW71" i="7" s="1"/>
  <c r="AU70" i="7"/>
  <c r="AU71" i="7" s="1"/>
  <c r="AS70" i="7"/>
  <c r="AO70" i="7"/>
  <c r="AM70" i="7"/>
  <c r="AK70" i="7"/>
  <c r="AG70" i="7"/>
  <c r="AG71" i="7" s="1"/>
  <c r="BV14" i="24"/>
  <c r="BV10" i="33"/>
  <c r="BU61" i="28"/>
  <c r="BK34" i="28"/>
  <c r="BU72" i="28"/>
  <c r="BZ11" i="7"/>
  <c r="L52" i="25"/>
  <c r="B22" i="20"/>
  <c r="B21" i="20"/>
  <c r="C22" i="20"/>
  <c r="C21" i="20"/>
  <c r="AA52" i="38"/>
  <c r="W52" i="38"/>
  <c r="S52" i="38"/>
  <c r="BK51" i="38"/>
  <c r="F47" i="38"/>
  <c r="F46" i="38"/>
  <c r="F45" i="38"/>
  <c r="BK44" i="38"/>
  <c r="BK39" i="38"/>
  <c r="BK42" i="38" s="1"/>
  <c r="F29" i="38"/>
  <c r="BK27" i="38"/>
  <c r="G27" i="38" s="1"/>
  <c r="H27" i="38" s="1"/>
  <c r="R27" i="38" s="1"/>
  <c r="BL27" i="38"/>
  <c r="AA25" i="38"/>
  <c r="S25" i="38"/>
  <c r="F23" i="38"/>
  <c r="BK22" i="38"/>
  <c r="F22" i="38"/>
  <c r="AA20" i="38"/>
  <c r="F19" i="38"/>
  <c r="BK15" i="38"/>
  <c r="AA13" i="38"/>
  <c r="V13" i="38"/>
  <c r="U13" i="38"/>
  <c r="T13" i="38"/>
  <c r="S13" i="38"/>
  <c r="BK12" i="38"/>
  <c r="F12" i="38"/>
  <c r="BK11" i="38"/>
  <c r="G11" i="38" s="1"/>
  <c r="F11" i="38"/>
  <c r="BJ50" i="37"/>
  <c r="F50" i="37" s="1"/>
  <c r="BE50" i="37"/>
  <c r="E50" i="37"/>
  <c r="BJ49" i="37"/>
  <c r="BE49" i="37"/>
  <c r="E49" i="37"/>
  <c r="BJ44" i="37"/>
  <c r="F44" i="37" s="1"/>
  <c r="S44" i="37" s="1"/>
  <c r="S47" i="37" s="1"/>
  <c r="E44" i="37"/>
  <c r="BJ42" i="37"/>
  <c r="F42" i="37" s="1"/>
  <c r="G42" i="37" s="1"/>
  <c r="BJ41" i="37"/>
  <c r="F41" i="37" s="1"/>
  <c r="E41" i="37"/>
  <c r="BJ40" i="37"/>
  <c r="E13" i="37"/>
  <c r="AY13" i="37" s="1"/>
  <c r="AY38" i="37" s="1"/>
  <c r="BJ12" i="37"/>
  <c r="BO52" i="38"/>
  <c r="W32" i="33"/>
  <c r="W33" i="33" s="1"/>
  <c r="Y32" i="33"/>
  <c r="Y33" i="33" s="1"/>
  <c r="V32" i="33"/>
  <c r="X30" i="33"/>
  <c r="Y30" i="33"/>
  <c r="V30" i="33"/>
  <c r="V29" i="33"/>
  <c r="W29" i="33"/>
  <c r="X29" i="33"/>
  <c r="Y29" i="33"/>
  <c r="W28" i="33"/>
  <c r="X28" i="33"/>
  <c r="Y28" i="33"/>
  <c r="V28" i="33"/>
  <c r="Y24" i="33"/>
  <c r="V24" i="33"/>
  <c r="Y23" i="33"/>
  <c r="V23" i="33"/>
  <c r="X20" i="32"/>
  <c r="W20" i="32"/>
  <c r="Z21" i="32"/>
  <c r="Y21" i="32"/>
  <c r="X18" i="32"/>
  <c r="Y18" i="32"/>
  <c r="Z18" i="32"/>
  <c r="C16" i="20"/>
  <c r="B17" i="20"/>
  <c r="B16" i="20"/>
  <c r="B15" i="20"/>
  <c r="R46" i="34"/>
  <c r="E45" i="34"/>
  <c r="V45" i="34" s="1"/>
  <c r="V46" i="34" s="1"/>
  <c r="S44" i="34"/>
  <c r="R44" i="34"/>
  <c r="F43" i="34"/>
  <c r="F42" i="34"/>
  <c r="E42" i="34"/>
  <c r="U40" i="34"/>
  <c r="T40" i="34"/>
  <c r="S40" i="34"/>
  <c r="R40" i="34"/>
  <c r="F40" i="34"/>
  <c r="E39" i="34"/>
  <c r="G39" i="34" s="1"/>
  <c r="E38" i="34"/>
  <c r="E37" i="34"/>
  <c r="E36" i="34"/>
  <c r="E35" i="34"/>
  <c r="R33" i="34"/>
  <c r="E32" i="34"/>
  <c r="F29" i="34"/>
  <c r="S27" i="34"/>
  <c r="R27" i="34"/>
  <c r="E25" i="34"/>
  <c r="E24" i="34"/>
  <c r="U22" i="34"/>
  <c r="R22" i="34"/>
  <c r="F22" i="34"/>
  <c r="E21" i="34"/>
  <c r="E20" i="34"/>
  <c r="E19" i="34"/>
  <c r="E18" i="34"/>
  <c r="G18" i="34" s="1"/>
  <c r="N18" i="34" s="1"/>
  <c r="E17" i="34"/>
  <c r="Z33" i="33"/>
  <c r="V33" i="33"/>
  <c r="U33" i="33"/>
  <c r="S33" i="33"/>
  <c r="R33" i="33"/>
  <c r="F33" i="33"/>
  <c r="U31" i="33"/>
  <c r="T31" i="33"/>
  <c r="S31" i="33"/>
  <c r="R31" i="33"/>
  <c r="F31" i="33"/>
  <c r="G30" i="33"/>
  <c r="I30" i="33" s="1"/>
  <c r="E29" i="33"/>
  <c r="G29" i="33" s="1"/>
  <c r="P29" i="33" s="1"/>
  <c r="E28" i="33"/>
  <c r="G28" i="33" s="1"/>
  <c r="K28" i="33" s="1"/>
  <c r="Z25" i="33"/>
  <c r="U25" i="33"/>
  <c r="R25" i="33"/>
  <c r="F25" i="33"/>
  <c r="E24" i="33"/>
  <c r="G24" i="33" s="1"/>
  <c r="L24" i="33" s="1"/>
  <c r="E23" i="33"/>
  <c r="Z21" i="33"/>
  <c r="U21" i="33"/>
  <c r="T21" i="33"/>
  <c r="S21" i="33"/>
  <c r="R21" i="33"/>
  <c r="E14" i="33"/>
  <c r="E13" i="33"/>
  <c r="G13" i="33" s="1"/>
  <c r="E12" i="33"/>
  <c r="G12" i="33" s="1"/>
  <c r="F18" i="32"/>
  <c r="W18" i="32" s="1"/>
  <c r="F14" i="32"/>
  <c r="F13" i="32"/>
  <c r="BK12" i="32"/>
  <c r="BK15" i="32" s="1"/>
  <c r="F12" i="32"/>
  <c r="G15" i="33"/>
  <c r="Q32" i="33"/>
  <c r="Q33" i="33" s="1"/>
  <c r="L32" i="33"/>
  <c r="L33" i="33" s="1"/>
  <c r="M32" i="33"/>
  <c r="M33" i="33" s="1"/>
  <c r="N32" i="33"/>
  <c r="N33" i="33" s="1"/>
  <c r="O32" i="33"/>
  <c r="O33" i="33" s="1"/>
  <c r="P32" i="33"/>
  <c r="P33" i="33" s="1"/>
  <c r="G33" i="33"/>
  <c r="H32" i="33"/>
  <c r="H33" i="33" s="1"/>
  <c r="K32" i="33"/>
  <c r="K33" i="33" s="1"/>
  <c r="J32" i="33"/>
  <c r="J33" i="33" s="1"/>
  <c r="I32" i="33"/>
  <c r="I33" i="33" s="1"/>
  <c r="BP32" i="33"/>
  <c r="BO63" i="32"/>
  <c r="BS63" i="32" s="1"/>
  <c r="BO78" i="32"/>
  <c r="BS78" i="32" s="1"/>
  <c r="BW78" i="32" s="1"/>
  <c r="BO24" i="32"/>
  <c r="BS24" i="32" s="1"/>
  <c r="BO46" i="32"/>
  <c r="BS46" i="32" s="1"/>
  <c r="C11" i="20"/>
  <c r="BJ71" i="28"/>
  <c r="BI71" i="28"/>
  <c r="BI72" i="28" s="1"/>
  <c r="BG71" i="28"/>
  <c r="BG72" i="28" s="1"/>
  <c r="BE71" i="28"/>
  <c r="BC71" i="28"/>
  <c r="BC72" i="28" s="1"/>
  <c r="BA71" i="28"/>
  <c r="AY71" i="28"/>
  <c r="AY72" i="28" s="1"/>
  <c r="AW71" i="28"/>
  <c r="AW72" i="28" s="1"/>
  <c r="AW73" i="28" s="1"/>
  <c r="AU71" i="28"/>
  <c r="AU72" i="28" s="1"/>
  <c r="AS71" i="28"/>
  <c r="AQ71" i="28"/>
  <c r="AQ72" i="28" s="1"/>
  <c r="AO71" i="28"/>
  <c r="AO72" i="28" s="1"/>
  <c r="AM71" i="28"/>
  <c r="AM72" i="28" s="1"/>
  <c r="AK71" i="28"/>
  <c r="AK72" i="28" s="1"/>
  <c r="AI71" i="28"/>
  <c r="AI72" i="28" s="1"/>
  <c r="AG71" i="28"/>
  <c r="AE71" i="28"/>
  <c r="AE72" i="28" s="1"/>
  <c r="AC71" i="28"/>
  <c r="AA71" i="28"/>
  <c r="AA72" i="28" s="1"/>
  <c r="E71" i="28"/>
  <c r="BJ67" i="28"/>
  <c r="F67" i="28" s="1"/>
  <c r="T67" i="28" s="1"/>
  <c r="BI67" i="28"/>
  <c r="BG67" i="28"/>
  <c r="BE67" i="28"/>
  <c r="BC67" i="28"/>
  <c r="BA67" i="28"/>
  <c r="AY67" i="28"/>
  <c r="AW67" i="28"/>
  <c r="AU67" i="28"/>
  <c r="AS67" i="28"/>
  <c r="AQ67" i="28"/>
  <c r="AO67" i="28"/>
  <c r="AM67" i="28"/>
  <c r="AK67" i="28"/>
  <c r="AI67" i="28"/>
  <c r="AG67" i="28"/>
  <c r="AE67" i="28"/>
  <c r="AC67" i="28"/>
  <c r="AA67" i="28"/>
  <c r="E67" i="28"/>
  <c r="Y67" i="28" s="1"/>
  <c r="BJ66" i="28"/>
  <c r="F66" i="28" s="1"/>
  <c r="T66" i="28" s="1"/>
  <c r="BI66" i="28"/>
  <c r="BG66" i="28"/>
  <c r="BE66" i="28"/>
  <c r="BC66" i="28"/>
  <c r="BA66" i="28"/>
  <c r="AY66" i="28"/>
  <c r="AW66" i="28"/>
  <c r="AU66" i="28"/>
  <c r="AS66" i="28"/>
  <c r="AQ66" i="28"/>
  <c r="AO66" i="28"/>
  <c r="AM66" i="28"/>
  <c r="AK66" i="28"/>
  <c r="AI66" i="28"/>
  <c r="AG66" i="28"/>
  <c r="AE66" i="28"/>
  <c r="AC66" i="28"/>
  <c r="AA66" i="28"/>
  <c r="E66" i="28"/>
  <c r="Y66" i="28" s="1"/>
  <c r="BJ65" i="28"/>
  <c r="BI65" i="28"/>
  <c r="BI69" i="28" s="1"/>
  <c r="BG65" i="28"/>
  <c r="BE65" i="28"/>
  <c r="BC65" i="28"/>
  <c r="BC69" i="28" s="1"/>
  <c r="BA65" i="28"/>
  <c r="AY65" i="28"/>
  <c r="AW65" i="28"/>
  <c r="AW69" i="28" s="1"/>
  <c r="AU65" i="28"/>
  <c r="AS65" i="28"/>
  <c r="AQ65" i="28"/>
  <c r="AQ69" i="28" s="1"/>
  <c r="AO65" i="28"/>
  <c r="AM65" i="28"/>
  <c r="AK65" i="28"/>
  <c r="AK69" i="28" s="1"/>
  <c r="AI65" i="28"/>
  <c r="AI69" i="28" s="1"/>
  <c r="AG65" i="28"/>
  <c r="AE65" i="28"/>
  <c r="AE69" i="28" s="1"/>
  <c r="AC65" i="28"/>
  <c r="AA65" i="28"/>
  <c r="E65" i="28"/>
  <c r="Y65" i="28" s="1"/>
  <c r="BJ60" i="28"/>
  <c r="F60" i="28" s="1"/>
  <c r="BI60" i="28"/>
  <c r="BG60" i="28"/>
  <c r="BE60" i="28"/>
  <c r="BC60" i="28"/>
  <c r="BA60" i="28"/>
  <c r="AY60" i="28"/>
  <c r="AW60" i="28"/>
  <c r="AU60" i="28"/>
  <c r="AS60" i="28"/>
  <c r="AQ60" i="28"/>
  <c r="AO60" i="28"/>
  <c r="AM60" i="28"/>
  <c r="AK60" i="28"/>
  <c r="AI60" i="28"/>
  <c r="AG60" i="28"/>
  <c r="AE60" i="28"/>
  <c r="AC60" i="28"/>
  <c r="AA60" i="28"/>
  <c r="E60" i="28"/>
  <c r="BJ59" i="28"/>
  <c r="F59" i="28" s="1"/>
  <c r="BI59" i="28"/>
  <c r="BG59" i="28"/>
  <c r="BE59" i="28"/>
  <c r="BC59" i="28"/>
  <c r="BA59" i="28"/>
  <c r="AY59" i="28"/>
  <c r="AW59" i="28"/>
  <c r="AU59" i="28"/>
  <c r="AS59" i="28"/>
  <c r="AQ59" i="28"/>
  <c r="AO59" i="28"/>
  <c r="AM59" i="28"/>
  <c r="AK59" i="28"/>
  <c r="AI59" i="28"/>
  <c r="AG59" i="28"/>
  <c r="AE59" i="28"/>
  <c r="AC59" i="28"/>
  <c r="AA59" i="28"/>
  <c r="E59" i="28"/>
  <c r="BJ58" i="28"/>
  <c r="F58" i="28" s="1"/>
  <c r="BI58" i="28"/>
  <c r="BG58" i="28"/>
  <c r="BE58" i="28"/>
  <c r="BC58" i="28"/>
  <c r="BA58" i="28"/>
  <c r="AY58" i="28"/>
  <c r="AW58" i="28"/>
  <c r="AU58" i="28"/>
  <c r="AS58" i="28"/>
  <c r="AQ58" i="28"/>
  <c r="AO58" i="28"/>
  <c r="AM58" i="28"/>
  <c r="AK58" i="28"/>
  <c r="AI58" i="28"/>
  <c r="AG58" i="28"/>
  <c r="AE58" i="28"/>
  <c r="AC58" i="28"/>
  <c r="AA58" i="28"/>
  <c r="E58" i="28"/>
  <c r="BJ57" i="28"/>
  <c r="F57" i="28" s="1"/>
  <c r="G57" i="28" s="1"/>
  <c r="O57" i="28" s="1"/>
  <c r="BI57" i="28"/>
  <c r="BG57" i="28"/>
  <c r="BE57" i="28"/>
  <c r="BC57" i="28"/>
  <c r="BA57" i="28"/>
  <c r="AY57" i="28"/>
  <c r="AW57" i="28"/>
  <c r="AU57" i="28"/>
  <c r="AS57" i="28"/>
  <c r="AQ57" i="28"/>
  <c r="AO57" i="28"/>
  <c r="AM57" i="28"/>
  <c r="AK57" i="28"/>
  <c r="AI57" i="28"/>
  <c r="AG57" i="28"/>
  <c r="AE57" i="28"/>
  <c r="AC57" i="28"/>
  <c r="AA57" i="28"/>
  <c r="E57" i="28"/>
  <c r="BJ56" i="28"/>
  <c r="F56" i="28" s="1"/>
  <c r="BI56" i="28"/>
  <c r="BG56" i="28"/>
  <c r="BE56" i="28"/>
  <c r="BC56" i="28"/>
  <c r="BA56" i="28"/>
  <c r="AY56" i="28"/>
  <c r="AW56" i="28"/>
  <c r="AU56" i="28"/>
  <c r="AS56" i="28"/>
  <c r="AQ56" i="28"/>
  <c r="AO56" i="28"/>
  <c r="AM56" i="28"/>
  <c r="AK56" i="28"/>
  <c r="AI56" i="28"/>
  <c r="AG56" i="28"/>
  <c r="AE56" i="28"/>
  <c r="AC56" i="28"/>
  <c r="AA56" i="28"/>
  <c r="E56" i="28"/>
  <c r="BJ55" i="28"/>
  <c r="F55" i="28" s="1"/>
  <c r="BI55" i="28"/>
  <c r="BG55" i="28"/>
  <c r="BE55" i="28"/>
  <c r="BC55" i="28"/>
  <c r="BA55" i="28"/>
  <c r="AY55" i="28"/>
  <c r="AW55" i="28"/>
  <c r="AU55" i="28"/>
  <c r="AS55" i="28"/>
  <c r="AQ55" i="28"/>
  <c r="AO55" i="28"/>
  <c r="AM55" i="28"/>
  <c r="AK55" i="28"/>
  <c r="AI55" i="28"/>
  <c r="AG55" i="28"/>
  <c r="AE55" i="28"/>
  <c r="AC55" i="28"/>
  <c r="AA55" i="28"/>
  <c r="E55" i="28"/>
  <c r="BJ54" i="28"/>
  <c r="F54" i="28" s="1"/>
  <c r="G54" i="28" s="1"/>
  <c r="N54" i="28" s="1"/>
  <c r="BI54" i="28"/>
  <c r="BG54" i="28"/>
  <c r="BE54" i="28"/>
  <c r="BC54" i="28"/>
  <c r="BA54" i="28"/>
  <c r="AY54" i="28"/>
  <c r="AW54" i="28"/>
  <c r="AU54" i="28"/>
  <c r="AS54" i="28"/>
  <c r="AQ54" i="28"/>
  <c r="AO54" i="28"/>
  <c r="AM54" i="28"/>
  <c r="AK54" i="28"/>
  <c r="AI54" i="28"/>
  <c r="AG54" i="28"/>
  <c r="AE54" i="28"/>
  <c r="AC54" i="28"/>
  <c r="AA54" i="28"/>
  <c r="E54" i="28"/>
  <c r="BJ53" i="28"/>
  <c r="F53" i="28" s="1"/>
  <c r="BI53" i="28"/>
  <c r="BG53" i="28"/>
  <c r="BE53" i="28"/>
  <c r="BC53" i="28"/>
  <c r="BA53" i="28"/>
  <c r="AY53" i="28"/>
  <c r="AW53" i="28"/>
  <c r="AU53" i="28"/>
  <c r="AS53" i="28"/>
  <c r="AQ53" i="28"/>
  <c r="AO53" i="28"/>
  <c r="AM53" i="28"/>
  <c r="AK53" i="28"/>
  <c r="AI53" i="28"/>
  <c r="AG53" i="28"/>
  <c r="AE53" i="28"/>
  <c r="AC53" i="28"/>
  <c r="AA53" i="28"/>
  <c r="E53" i="28"/>
  <c r="BJ52" i="28"/>
  <c r="BG52" i="28"/>
  <c r="BE52" i="28"/>
  <c r="BC52" i="28"/>
  <c r="BA52" i="28"/>
  <c r="AY52" i="28"/>
  <c r="AW52" i="28"/>
  <c r="AU52" i="28"/>
  <c r="AS52" i="28"/>
  <c r="AQ52" i="28"/>
  <c r="AO52" i="28"/>
  <c r="AM52" i="28"/>
  <c r="AK52" i="28"/>
  <c r="AI52" i="28"/>
  <c r="AG52" i="28"/>
  <c r="AE52" i="28"/>
  <c r="AC52" i="28"/>
  <c r="AA52" i="28"/>
  <c r="E52" i="28"/>
  <c r="BJ48" i="28"/>
  <c r="F48" i="28" s="1"/>
  <c r="BI48" i="28"/>
  <c r="BG48" i="28"/>
  <c r="BE48" i="28"/>
  <c r="BC48" i="28"/>
  <c r="BA48" i="28"/>
  <c r="AY48" i="28"/>
  <c r="AW48" i="28"/>
  <c r="AU48" i="28"/>
  <c r="AS48" i="28"/>
  <c r="AQ48" i="28"/>
  <c r="AO48" i="28"/>
  <c r="AM48" i="28"/>
  <c r="AK48" i="28"/>
  <c r="AI48" i="28"/>
  <c r="AG48" i="28"/>
  <c r="AE48" i="28"/>
  <c r="E48" i="28"/>
  <c r="BJ47" i="28"/>
  <c r="F47" i="28" s="1"/>
  <c r="U47" i="28" s="1"/>
  <c r="BI47" i="28"/>
  <c r="BG47" i="28"/>
  <c r="BE47" i="28"/>
  <c r="BC47" i="28"/>
  <c r="BA47" i="28"/>
  <c r="AY47" i="28"/>
  <c r="AW47" i="28"/>
  <c r="AU47" i="28"/>
  <c r="AS47" i="28"/>
  <c r="AQ47" i="28"/>
  <c r="AO47" i="28"/>
  <c r="AM47" i="28"/>
  <c r="AK47" i="28"/>
  <c r="AI47" i="28"/>
  <c r="AG47" i="28"/>
  <c r="AE47" i="28"/>
  <c r="AC47" i="28"/>
  <c r="AA47" i="28"/>
  <c r="E47" i="28"/>
  <c r="BJ46" i="28"/>
  <c r="F46" i="28" s="1"/>
  <c r="U46" i="28" s="1"/>
  <c r="BI46" i="28"/>
  <c r="BG46" i="28"/>
  <c r="BE46" i="28"/>
  <c r="BC46" i="28"/>
  <c r="BA46" i="28"/>
  <c r="AY46" i="28"/>
  <c r="AW46" i="28"/>
  <c r="AU46" i="28"/>
  <c r="AS46" i="28"/>
  <c r="AQ46" i="28"/>
  <c r="AO46" i="28"/>
  <c r="AM46" i="28"/>
  <c r="AK46" i="28"/>
  <c r="AI46" i="28"/>
  <c r="AG46" i="28"/>
  <c r="AE46" i="28"/>
  <c r="AC46" i="28"/>
  <c r="AA46" i="28"/>
  <c r="E46" i="28"/>
  <c r="BJ45" i="28"/>
  <c r="BI45" i="28"/>
  <c r="BJ42" i="28"/>
  <c r="F42" i="28" s="1"/>
  <c r="BI42" i="28"/>
  <c r="BG42" i="28"/>
  <c r="BE42" i="28"/>
  <c r="BC42" i="28"/>
  <c r="BA42" i="28"/>
  <c r="AY42" i="28"/>
  <c r="AW42" i="28"/>
  <c r="AU42" i="28"/>
  <c r="AS42" i="28"/>
  <c r="AQ42" i="28"/>
  <c r="AO42" i="28"/>
  <c r="AM42" i="28"/>
  <c r="AK42" i="28"/>
  <c r="AI42" i="28"/>
  <c r="AG42" i="28"/>
  <c r="AE42" i="28"/>
  <c r="AC42" i="28"/>
  <c r="AA42" i="28"/>
  <c r="E42" i="28"/>
  <c r="BJ41" i="28"/>
  <c r="F41" i="28" s="1"/>
  <c r="T41" i="28" s="1"/>
  <c r="BI41" i="28"/>
  <c r="E41" i="28"/>
  <c r="BJ40" i="28"/>
  <c r="F40" i="28" s="1"/>
  <c r="BI40" i="28"/>
  <c r="BG40" i="28"/>
  <c r="BE40" i="28"/>
  <c r="BC40" i="28"/>
  <c r="BA40" i="28"/>
  <c r="AY40" i="28"/>
  <c r="AW40" i="28"/>
  <c r="AU40" i="28"/>
  <c r="AS40" i="28"/>
  <c r="AQ40" i="28"/>
  <c r="AO40" i="28"/>
  <c r="AM40" i="28"/>
  <c r="AK40" i="28"/>
  <c r="AI40" i="28"/>
  <c r="AG40" i="28"/>
  <c r="AE40" i="28"/>
  <c r="AC40" i="28"/>
  <c r="AA40" i="28"/>
  <c r="E40" i="28"/>
  <c r="V40" i="28" s="1"/>
  <c r="BJ39" i="28"/>
  <c r="F39" i="28" s="1"/>
  <c r="S39" i="28" s="1"/>
  <c r="BI39" i="28"/>
  <c r="BG39" i="28"/>
  <c r="BE39" i="28"/>
  <c r="BC39" i="28"/>
  <c r="BA39" i="28"/>
  <c r="AY39" i="28"/>
  <c r="AW39" i="28"/>
  <c r="AU39" i="28"/>
  <c r="AS39" i="28"/>
  <c r="AQ39" i="28"/>
  <c r="AO39" i="28"/>
  <c r="AM39" i="28"/>
  <c r="AK39" i="28"/>
  <c r="AI39" i="28"/>
  <c r="AG39" i="28"/>
  <c r="AE39" i="28"/>
  <c r="AC39" i="28"/>
  <c r="AA39" i="28"/>
  <c r="E39" i="28"/>
  <c r="V39" i="28" s="1"/>
  <c r="BJ38" i="28"/>
  <c r="F38" i="28" s="1"/>
  <c r="BI38" i="28"/>
  <c r="BG38" i="28"/>
  <c r="BE38" i="28"/>
  <c r="BC38" i="28"/>
  <c r="BA38" i="28"/>
  <c r="AY38" i="28"/>
  <c r="AW38" i="28"/>
  <c r="AU38" i="28"/>
  <c r="AS38" i="28"/>
  <c r="AQ38" i="28"/>
  <c r="AO38" i="28"/>
  <c r="AM38" i="28"/>
  <c r="AK38" i="28"/>
  <c r="AI38" i="28"/>
  <c r="AG38" i="28"/>
  <c r="AE38" i="28"/>
  <c r="AC38" i="28"/>
  <c r="AA38" i="28"/>
  <c r="E38" i="28"/>
  <c r="BJ37" i="28"/>
  <c r="F37" i="28" s="1"/>
  <c r="U37" i="28" s="1"/>
  <c r="BI37" i="28"/>
  <c r="BG37" i="28"/>
  <c r="BE37" i="28"/>
  <c r="BC37" i="28"/>
  <c r="BA37" i="28"/>
  <c r="AY37" i="28"/>
  <c r="AW37" i="28"/>
  <c r="AU37" i="28"/>
  <c r="AS37" i="28"/>
  <c r="AQ37" i="28"/>
  <c r="AO37" i="28"/>
  <c r="AM37" i="28"/>
  <c r="AK37" i="28"/>
  <c r="AI37" i="28"/>
  <c r="AG37" i="28"/>
  <c r="AE37" i="28"/>
  <c r="AC37" i="28"/>
  <c r="AA37" i="28"/>
  <c r="E37" i="28"/>
  <c r="BJ36" i="28"/>
  <c r="BI36" i="28"/>
  <c r="E36" i="28"/>
  <c r="BJ29" i="28"/>
  <c r="F29" i="28" s="1"/>
  <c r="BI29" i="28"/>
  <c r="BG29" i="28"/>
  <c r="BE29" i="28"/>
  <c r="BC29" i="28"/>
  <c r="BA29" i="28"/>
  <c r="AY29" i="28"/>
  <c r="AW29" i="28"/>
  <c r="AU29" i="28"/>
  <c r="AS29" i="28"/>
  <c r="AQ29" i="28"/>
  <c r="AO29" i="28"/>
  <c r="AM29" i="28"/>
  <c r="AK29" i="28"/>
  <c r="AI29" i="28"/>
  <c r="AG29" i="28"/>
  <c r="AE29" i="28"/>
  <c r="AC29" i="28"/>
  <c r="AA29" i="28"/>
  <c r="E29" i="28"/>
  <c r="E28" i="28"/>
  <c r="BJ27" i="28"/>
  <c r="F27" i="28" s="1"/>
  <c r="G27" i="28" s="1"/>
  <c r="BI27" i="28"/>
  <c r="BG27" i="28"/>
  <c r="BE27" i="28"/>
  <c r="BC27" i="28"/>
  <c r="BA27" i="28"/>
  <c r="AY27" i="28"/>
  <c r="AW27" i="28"/>
  <c r="AU27" i="28"/>
  <c r="AS27" i="28"/>
  <c r="AQ27" i="28"/>
  <c r="AO27" i="28"/>
  <c r="AM27" i="28"/>
  <c r="AK27" i="28"/>
  <c r="AI27" i="28"/>
  <c r="AG27" i="28"/>
  <c r="AE27" i="28"/>
  <c r="AC27" i="28"/>
  <c r="AA27" i="28"/>
  <c r="E27" i="28"/>
  <c r="BJ24" i="28"/>
  <c r="F24" i="28" s="1"/>
  <c r="S24" i="28" s="1"/>
  <c r="BI24" i="28"/>
  <c r="BG24" i="28"/>
  <c r="BE24" i="28"/>
  <c r="BC24" i="28"/>
  <c r="BA24" i="28"/>
  <c r="AY24" i="28"/>
  <c r="AW24" i="28"/>
  <c r="AU24" i="28"/>
  <c r="AS24" i="28"/>
  <c r="AQ24" i="28"/>
  <c r="AO24" i="28"/>
  <c r="AM24" i="28"/>
  <c r="AK24" i="28"/>
  <c r="AI24" i="28"/>
  <c r="AG24" i="28"/>
  <c r="AE24" i="28"/>
  <c r="AC24" i="28"/>
  <c r="AA24" i="28"/>
  <c r="E24" i="28"/>
  <c r="BJ23" i="28"/>
  <c r="F23" i="28" s="1"/>
  <c r="BI23" i="28"/>
  <c r="BG23" i="28"/>
  <c r="BE23" i="28"/>
  <c r="BC23" i="28"/>
  <c r="BA23" i="28"/>
  <c r="AY23" i="28"/>
  <c r="AW23" i="28"/>
  <c r="AU23" i="28"/>
  <c r="AS23" i="28"/>
  <c r="AQ23" i="28"/>
  <c r="AO23" i="28"/>
  <c r="AM23" i="28"/>
  <c r="AK23" i="28"/>
  <c r="AI23" i="28"/>
  <c r="AG23" i="28"/>
  <c r="AE23" i="28"/>
  <c r="AC23" i="28"/>
  <c r="AA23" i="28"/>
  <c r="E23" i="28"/>
  <c r="BJ22" i="28"/>
  <c r="F22" i="28" s="1"/>
  <c r="BI22" i="28"/>
  <c r="BG22" i="28"/>
  <c r="BE22" i="28"/>
  <c r="BC22" i="28"/>
  <c r="BA22" i="28"/>
  <c r="AY22" i="28"/>
  <c r="AW22" i="28"/>
  <c r="AU22" i="28"/>
  <c r="AS22" i="28"/>
  <c r="AQ22" i="28"/>
  <c r="AO22" i="28"/>
  <c r="AM22" i="28"/>
  <c r="AK22" i="28"/>
  <c r="AI22" i="28"/>
  <c r="AG22" i="28"/>
  <c r="AE22" i="28"/>
  <c r="AC22" i="28"/>
  <c r="AA22" i="28"/>
  <c r="E22" i="28"/>
  <c r="BJ21" i="28"/>
  <c r="F21" i="28" s="1"/>
  <c r="G21" i="28" s="1"/>
  <c r="BH16" i="28"/>
  <c r="BF16" i="28"/>
  <c r="BD16" i="28"/>
  <c r="BB16" i="28"/>
  <c r="AZ16" i="28"/>
  <c r="AX16" i="28"/>
  <c r="AV16" i="28"/>
  <c r="AT16" i="28"/>
  <c r="AR16" i="28"/>
  <c r="AP16" i="28"/>
  <c r="AN16" i="28"/>
  <c r="AL16" i="28"/>
  <c r="AJ16" i="28"/>
  <c r="AH16" i="28"/>
  <c r="AF16" i="28"/>
  <c r="AD16" i="28"/>
  <c r="AB16" i="28"/>
  <c r="Z16" i="28"/>
  <c r="BJ15" i="28"/>
  <c r="BI15" i="28"/>
  <c r="BI16" i="28" s="1"/>
  <c r="BE16" i="28"/>
  <c r="BH14" i="28"/>
  <c r="BF14" i="28"/>
  <c r="BD14" i="28"/>
  <c r="BB14" i="28"/>
  <c r="AZ14" i="28"/>
  <c r="AZ17" i="28" s="1"/>
  <c r="AX14" i="28"/>
  <c r="AV14" i="28"/>
  <c r="AT14" i="28"/>
  <c r="AR14" i="28"/>
  <c r="AP14" i="28"/>
  <c r="AN14" i="28"/>
  <c r="AL14" i="28"/>
  <c r="AJ14" i="28"/>
  <c r="AH14" i="28"/>
  <c r="AF14" i="28"/>
  <c r="AD14" i="28"/>
  <c r="AB14" i="28"/>
  <c r="Z14" i="28"/>
  <c r="BJ13" i="28"/>
  <c r="F13" i="28" s="1"/>
  <c r="BI13" i="28"/>
  <c r="BG13" i="28"/>
  <c r="BE13" i="28"/>
  <c r="BC13" i="28"/>
  <c r="BA13" i="28"/>
  <c r="AY13" i="28"/>
  <c r="AW13" i="28"/>
  <c r="AU13" i="28"/>
  <c r="AS13" i="28"/>
  <c r="AQ13" i="28"/>
  <c r="AO13" i="28"/>
  <c r="AM13" i="28"/>
  <c r="AK13" i="28"/>
  <c r="AI13" i="28"/>
  <c r="AG13" i="28"/>
  <c r="AE13" i="28"/>
  <c r="AC13" i="28"/>
  <c r="AA13" i="28"/>
  <c r="E13" i="28"/>
  <c r="BJ12" i="28"/>
  <c r="F12" i="28" s="1"/>
  <c r="BI12" i="28"/>
  <c r="BI14" i="28" s="1"/>
  <c r="BG12" i="28"/>
  <c r="BE12" i="28"/>
  <c r="BC12" i="28"/>
  <c r="BA12" i="28"/>
  <c r="AY12" i="28"/>
  <c r="AY14" i="28" s="1"/>
  <c r="AW12" i="28"/>
  <c r="AW14" i="28" s="1"/>
  <c r="AU12" i="28"/>
  <c r="AS12" i="28"/>
  <c r="AQ12" i="28"/>
  <c r="AO12" i="28"/>
  <c r="AM12" i="28"/>
  <c r="AK12" i="28"/>
  <c r="AK14" i="28" s="1"/>
  <c r="AI12" i="28"/>
  <c r="AG12" i="28"/>
  <c r="AE12" i="28"/>
  <c r="AC12" i="28"/>
  <c r="AA12" i="28"/>
  <c r="E12" i="28"/>
  <c r="C10" i="20"/>
  <c r="AC28" i="28"/>
  <c r="AC30" i="28" s="1"/>
  <c r="BC25" i="28"/>
  <c r="AC72" i="28"/>
  <c r="AG72" i="28"/>
  <c r="AS72" i="28"/>
  <c r="BA72" i="28"/>
  <c r="BE72" i="28"/>
  <c r="AA16" i="28"/>
  <c r="AQ16" i="28"/>
  <c r="BG16" i="28"/>
  <c r="AO16" i="28"/>
  <c r="AW16" i="28"/>
  <c r="G38" i="28"/>
  <c r="M38" i="28" s="1"/>
  <c r="AE16" i="28"/>
  <c r="AM16" i="28"/>
  <c r="AU16" i="28"/>
  <c r="BC16" i="28"/>
  <c r="G53" i="28"/>
  <c r="P53" i="28" s="1"/>
  <c r="AI16" i="28"/>
  <c r="AY16" i="28"/>
  <c r="AG16" i="28"/>
  <c r="G56" i="28"/>
  <c r="AK16" i="28"/>
  <c r="AS16" i="28"/>
  <c r="BA16" i="28"/>
  <c r="G59" i="28"/>
  <c r="P59" i="28" s="1"/>
  <c r="AA14" i="28"/>
  <c r="AC16" i="28"/>
  <c r="E50" i="25"/>
  <c r="X16" i="28"/>
  <c r="W16" i="28"/>
  <c r="O56" i="28"/>
  <c r="C28" i="20"/>
  <c r="B28" i="20"/>
  <c r="C27" i="20"/>
  <c r="B27" i="20"/>
  <c r="C25" i="20"/>
  <c r="C26" i="20"/>
  <c r="Z41" i="26"/>
  <c r="U41" i="26"/>
  <c r="T41" i="26"/>
  <c r="S41" i="26"/>
  <c r="R41" i="26"/>
  <c r="BJ40" i="26"/>
  <c r="F40" i="26" s="1"/>
  <c r="F41" i="26" s="1"/>
  <c r="E40" i="26"/>
  <c r="Z39" i="26"/>
  <c r="U39" i="26"/>
  <c r="T39" i="26"/>
  <c r="S39" i="26"/>
  <c r="R39" i="26"/>
  <c r="BJ38" i="26"/>
  <c r="F38" i="26" s="1"/>
  <c r="E38" i="26"/>
  <c r="BJ37" i="26"/>
  <c r="F37" i="26" s="1"/>
  <c r="E37" i="26"/>
  <c r="BJ36" i="26"/>
  <c r="F36" i="26" s="1"/>
  <c r="G36" i="26" s="1"/>
  <c r="BJ35" i="26"/>
  <c r="F35" i="26" s="1"/>
  <c r="E35" i="26"/>
  <c r="Z33" i="26"/>
  <c r="U33" i="26"/>
  <c r="T33" i="26"/>
  <c r="S33" i="26"/>
  <c r="R33" i="26"/>
  <c r="BJ32" i="26"/>
  <c r="F32" i="26" s="1"/>
  <c r="E32" i="26"/>
  <c r="BJ31" i="26"/>
  <c r="F31" i="26" s="1"/>
  <c r="E31" i="26"/>
  <c r="BJ30" i="26"/>
  <c r="F30" i="26" s="1"/>
  <c r="G30" i="26" s="1"/>
  <c r="BK30" i="26"/>
  <c r="BJ29" i="26"/>
  <c r="F29" i="26" s="1"/>
  <c r="E29" i="26"/>
  <c r="Z27" i="26"/>
  <c r="U27" i="26"/>
  <c r="T27" i="26"/>
  <c r="S27" i="26"/>
  <c r="R27" i="26"/>
  <c r="BJ26" i="26"/>
  <c r="F26" i="26" s="1"/>
  <c r="E26" i="26"/>
  <c r="BJ25" i="26"/>
  <c r="E25" i="26"/>
  <c r="Z23" i="26"/>
  <c r="U23" i="26"/>
  <c r="T23" i="26"/>
  <c r="S23" i="26"/>
  <c r="R23" i="26"/>
  <c r="E22" i="26"/>
  <c r="BJ21" i="26"/>
  <c r="F21" i="26" s="1"/>
  <c r="E21" i="26"/>
  <c r="BJ20" i="26"/>
  <c r="E20" i="26"/>
  <c r="Z18" i="26"/>
  <c r="BJ17" i="26"/>
  <c r="F17" i="26" s="1"/>
  <c r="U17" i="26"/>
  <c r="U18" i="26" s="1"/>
  <c r="T17" i="26"/>
  <c r="S17" i="26"/>
  <c r="S18" i="26" s="1"/>
  <c r="R17" i="26"/>
  <c r="R18" i="26" s="1"/>
  <c r="BJ16" i="26"/>
  <c r="F16" i="26" s="1"/>
  <c r="Z14" i="26"/>
  <c r="U14" i="26"/>
  <c r="T14" i="26"/>
  <c r="S14" i="26"/>
  <c r="R14" i="26"/>
  <c r="BJ13" i="26"/>
  <c r="F13" i="26" s="1"/>
  <c r="E13" i="26"/>
  <c r="BJ12" i="26"/>
  <c r="E12" i="26"/>
  <c r="Z111" i="25"/>
  <c r="U111" i="25"/>
  <c r="T111" i="25"/>
  <c r="S111" i="25"/>
  <c r="R111" i="25"/>
  <c r="BJ110" i="25"/>
  <c r="F110" i="25" s="1"/>
  <c r="E110" i="25"/>
  <c r="BJ109" i="25"/>
  <c r="F109" i="25" s="1"/>
  <c r="BJ108" i="25"/>
  <c r="F108" i="25" s="1"/>
  <c r="Z106" i="25"/>
  <c r="BJ105" i="25"/>
  <c r="F105" i="25" s="1"/>
  <c r="U105" i="25" s="1"/>
  <c r="E105" i="25"/>
  <c r="G104" i="25"/>
  <c r="Q104" i="25" s="1"/>
  <c r="BJ103" i="25"/>
  <c r="F103" i="25" s="1"/>
  <c r="U103" i="25" s="1"/>
  <c r="Y103" i="25" s="1"/>
  <c r="BJ102" i="25"/>
  <c r="F102" i="25" s="1"/>
  <c r="U102" i="25" s="1"/>
  <c r="Y102" i="25" s="1"/>
  <c r="BJ101" i="25"/>
  <c r="F101" i="25" s="1"/>
  <c r="U101" i="25" s="1"/>
  <c r="Y101" i="25" s="1"/>
  <c r="BJ100" i="25"/>
  <c r="F100" i="25" s="1"/>
  <c r="U100" i="25" s="1"/>
  <c r="Y100" i="25" s="1"/>
  <c r="BK100" i="25"/>
  <c r="BJ99" i="25"/>
  <c r="F99" i="25" s="1"/>
  <c r="U99" i="25" s="1"/>
  <c r="Y99" i="25" s="1"/>
  <c r="BJ98" i="25"/>
  <c r="F98" i="25" s="1"/>
  <c r="U98" i="25" s="1"/>
  <c r="Y98" i="25" s="1"/>
  <c r="BK98" i="25"/>
  <c r="BJ97" i="25"/>
  <c r="F97" i="25" s="1"/>
  <c r="U97" i="25" s="1"/>
  <c r="Y97" i="25" s="1"/>
  <c r="BJ96" i="25"/>
  <c r="F96" i="25" s="1"/>
  <c r="U96" i="25" s="1"/>
  <c r="Y96" i="25" s="1"/>
  <c r="BK96" i="25"/>
  <c r="BJ95" i="25"/>
  <c r="F95" i="25" s="1"/>
  <c r="U95" i="25" s="1"/>
  <c r="E95" i="25"/>
  <c r="BJ94" i="25"/>
  <c r="F94" i="25" s="1"/>
  <c r="U94" i="25" s="1"/>
  <c r="Y94" i="25" s="1"/>
  <c r="BK94" i="25"/>
  <c r="BJ93" i="25"/>
  <c r="F93" i="25" s="1"/>
  <c r="U93" i="25" s="1"/>
  <c r="Y93" i="25" s="1"/>
  <c r="BJ92" i="25"/>
  <c r="F92" i="25" s="1"/>
  <c r="U92" i="25" s="1"/>
  <c r="Y92" i="25" s="1"/>
  <c r="BJ91" i="25"/>
  <c r="F91" i="25" s="1"/>
  <c r="U91" i="25" s="1"/>
  <c r="E91" i="25"/>
  <c r="BJ90" i="25"/>
  <c r="F90" i="25" s="1"/>
  <c r="U90" i="25" s="1"/>
  <c r="Z87" i="25"/>
  <c r="E86" i="25"/>
  <c r="BJ85" i="25"/>
  <c r="F85" i="25" s="1"/>
  <c r="U85" i="25" s="1"/>
  <c r="E85" i="25"/>
  <c r="BJ84" i="25"/>
  <c r="F84" i="25" s="1"/>
  <c r="U84" i="25" s="1"/>
  <c r="E84" i="25"/>
  <c r="BJ83" i="25"/>
  <c r="F83" i="25" s="1"/>
  <c r="U83" i="25" s="1"/>
  <c r="E83" i="25"/>
  <c r="BJ82" i="25"/>
  <c r="F82" i="25" s="1"/>
  <c r="U82" i="25" s="1"/>
  <c r="Y82" i="25" s="1"/>
  <c r="BJ81" i="25"/>
  <c r="F81" i="25" s="1"/>
  <c r="U81" i="25" s="1"/>
  <c r="E81" i="25"/>
  <c r="BJ80" i="25"/>
  <c r="F80" i="25" s="1"/>
  <c r="U80" i="25" s="1"/>
  <c r="Y80" i="25" s="1"/>
  <c r="Z78" i="25"/>
  <c r="BJ77" i="25"/>
  <c r="F77" i="25" s="1"/>
  <c r="U77" i="25" s="1"/>
  <c r="Y77" i="25" s="1"/>
  <c r="BJ76" i="25"/>
  <c r="F76" i="25" s="1"/>
  <c r="U76" i="25" s="1"/>
  <c r="Y76" i="25" s="1"/>
  <c r="BJ75" i="25"/>
  <c r="F75" i="25" s="1"/>
  <c r="U75" i="25" s="1"/>
  <c r="Y75" i="25" s="1"/>
  <c r="BJ74" i="25"/>
  <c r="F74" i="25" s="1"/>
  <c r="U74" i="25" s="1"/>
  <c r="Y74" i="25" s="1"/>
  <c r="BJ73" i="25"/>
  <c r="F73" i="25" s="1"/>
  <c r="R73" i="25" s="1"/>
  <c r="V73" i="25" s="1"/>
  <c r="Z71" i="25"/>
  <c r="U71" i="25"/>
  <c r="T71" i="25"/>
  <c r="S71" i="25"/>
  <c r="R71" i="25"/>
  <c r="BJ70" i="25"/>
  <c r="F70" i="25" s="1"/>
  <c r="E70" i="25"/>
  <c r="BJ69" i="25"/>
  <c r="F69" i="25" s="1"/>
  <c r="E69" i="25"/>
  <c r="BJ68" i="25"/>
  <c r="E68" i="25"/>
  <c r="BH66" i="25"/>
  <c r="BF66" i="25"/>
  <c r="BD66" i="25"/>
  <c r="BB66" i="25"/>
  <c r="AZ66" i="25"/>
  <c r="AX66" i="25"/>
  <c r="AV66" i="25"/>
  <c r="AT66" i="25"/>
  <c r="AR66" i="25"/>
  <c r="AP66" i="25"/>
  <c r="AN66" i="25"/>
  <c r="AL66" i="25"/>
  <c r="AJ66" i="25"/>
  <c r="AH66" i="25"/>
  <c r="AF66" i="25"/>
  <c r="AD66" i="25"/>
  <c r="AB66" i="25"/>
  <c r="Z66" i="25"/>
  <c r="AA66" i="25" s="1"/>
  <c r="U66" i="25"/>
  <c r="T66" i="25"/>
  <c r="S66" i="25"/>
  <c r="R66" i="25"/>
  <c r="BJ65" i="25"/>
  <c r="F65" i="25" s="1"/>
  <c r="E65" i="25"/>
  <c r="BJ64" i="25"/>
  <c r="F64" i="25" s="1"/>
  <c r="E64" i="25"/>
  <c r="BJ63" i="25"/>
  <c r="F63" i="25" s="1"/>
  <c r="E63" i="25"/>
  <c r="BJ62" i="25"/>
  <c r="F62" i="25" s="1"/>
  <c r="E62" i="25"/>
  <c r="BJ61" i="25"/>
  <c r="F61" i="25" s="1"/>
  <c r="E61" i="25"/>
  <c r="BJ60" i="25"/>
  <c r="F60" i="25" s="1"/>
  <c r="G60" i="25" s="1"/>
  <c r="BJ59" i="25"/>
  <c r="F59" i="25" s="1"/>
  <c r="E59" i="25"/>
  <c r="BJ58" i="25"/>
  <c r="E58" i="25"/>
  <c r="Z54" i="25"/>
  <c r="Y54" i="25"/>
  <c r="X54" i="25"/>
  <c r="W54" i="25"/>
  <c r="V54" i="25"/>
  <c r="U54" i="25"/>
  <c r="T54" i="25"/>
  <c r="S54" i="25"/>
  <c r="R54" i="25"/>
  <c r="F54" i="25"/>
  <c r="BJ54" i="25"/>
  <c r="G53" i="25"/>
  <c r="BH55" i="25"/>
  <c r="AZ55" i="25"/>
  <c r="AR55" i="25"/>
  <c r="AJ55" i="25"/>
  <c r="AB55" i="25"/>
  <c r="Z52" i="25"/>
  <c r="U52" i="25"/>
  <c r="R52" i="25"/>
  <c r="BJ51" i="25"/>
  <c r="F51" i="25" s="1"/>
  <c r="T51" i="25" s="1"/>
  <c r="E51" i="25"/>
  <c r="BJ50" i="25"/>
  <c r="F50" i="25" s="1"/>
  <c r="S50" i="25" s="1"/>
  <c r="Z46" i="25"/>
  <c r="U46" i="25"/>
  <c r="T46" i="25"/>
  <c r="R46" i="25"/>
  <c r="BJ45" i="25"/>
  <c r="F45" i="25" s="1"/>
  <c r="S45" i="25" s="1"/>
  <c r="E45" i="25"/>
  <c r="BJ44" i="25"/>
  <c r="F44" i="25" s="1"/>
  <c r="S44" i="25" s="1"/>
  <c r="E44" i="25"/>
  <c r="BJ43" i="25"/>
  <c r="F43" i="25" s="1"/>
  <c r="S43" i="25" s="1"/>
  <c r="E43" i="25"/>
  <c r="BJ42" i="25"/>
  <c r="F42" i="25" s="1"/>
  <c r="S42" i="25" s="1"/>
  <c r="W42" i="25" s="1"/>
  <c r="BJ41" i="25"/>
  <c r="F41" i="25" s="1"/>
  <c r="S41" i="25" s="1"/>
  <c r="E41" i="25"/>
  <c r="BJ40" i="25"/>
  <c r="F40" i="25" s="1"/>
  <c r="S40" i="25" s="1"/>
  <c r="E40" i="25"/>
  <c r="BJ39" i="25"/>
  <c r="F39" i="25" s="1"/>
  <c r="S39" i="25" s="1"/>
  <c r="E39" i="25"/>
  <c r="BJ38" i="25"/>
  <c r="F38" i="25" s="1"/>
  <c r="S38" i="25" s="1"/>
  <c r="E38" i="25"/>
  <c r="BJ37" i="25"/>
  <c r="E37" i="25"/>
  <c r="BJ36" i="25"/>
  <c r="S36" i="25" s="1"/>
  <c r="E36" i="25"/>
  <c r="BJ35" i="25"/>
  <c r="F35" i="25" s="1"/>
  <c r="S35" i="25" s="1"/>
  <c r="E35" i="25"/>
  <c r="BJ34" i="25"/>
  <c r="F34" i="25" s="1"/>
  <c r="S34" i="25" s="1"/>
  <c r="E34" i="25"/>
  <c r="BJ32" i="25"/>
  <c r="F32" i="25" s="1"/>
  <c r="BJ30" i="25"/>
  <c r="F30" i="25" s="1"/>
  <c r="BJ29" i="25"/>
  <c r="F29" i="25" s="1"/>
  <c r="S29" i="25" s="1"/>
  <c r="E29" i="25"/>
  <c r="BJ28" i="25"/>
  <c r="F28" i="25" s="1"/>
  <c r="S28" i="25" s="1"/>
  <c r="W28" i="25" s="1"/>
  <c r="BJ27" i="25"/>
  <c r="F27" i="25" s="1"/>
  <c r="BK27" i="25"/>
  <c r="BJ26" i="25"/>
  <c r="F26" i="25" s="1"/>
  <c r="S26" i="25" s="1"/>
  <c r="E26" i="25"/>
  <c r="AQ26" i="25" s="1"/>
  <c r="BJ25" i="25"/>
  <c r="F25" i="25" s="1"/>
  <c r="S25" i="25" s="1"/>
  <c r="E25" i="25"/>
  <c r="AQ25" i="25" s="1"/>
  <c r="BJ24" i="25"/>
  <c r="S24" i="25" s="1"/>
  <c r="E24" i="25"/>
  <c r="BJ23" i="25"/>
  <c r="S23" i="25" s="1"/>
  <c r="W23" i="25" s="1"/>
  <c r="E23" i="25"/>
  <c r="BJ22" i="25"/>
  <c r="F22" i="25" s="1"/>
  <c r="S22" i="25" s="1"/>
  <c r="E22" i="25"/>
  <c r="BJ21" i="25"/>
  <c r="S21" i="25" s="1"/>
  <c r="E21" i="25"/>
  <c r="BJ20" i="25"/>
  <c r="S20" i="25" s="1"/>
  <c r="W20" i="25" s="1"/>
  <c r="E20" i="25"/>
  <c r="G20" i="25" s="1"/>
  <c r="Z18" i="25"/>
  <c r="BJ17" i="25"/>
  <c r="F17" i="25" s="1"/>
  <c r="E17" i="25"/>
  <c r="BJ16" i="25"/>
  <c r="G16" i="25"/>
  <c r="L16" i="25" s="1"/>
  <c r="BJ15" i="25"/>
  <c r="BJ14" i="25"/>
  <c r="G14" i="25"/>
  <c r="H14" i="25" s="1"/>
  <c r="BJ13" i="25"/>
  <c r="BK13" i="25"/>
  <c r="G13" i="25"/>
  <c r="J13" i="25" s="1"/>
  <c r="BJ12" i="25"/>
  <c r="F12" i="25" s="1"/>
  <c r="E12" i="25"/>
  <c r="AA3" i="25"/>
  <c r="Z116" i="24"/>
  <c r="U116" i="24"/>
  <c r="T116" i="24"/>
  <c r="S116" i="24"/>
  <c r="R116" i="24"/>
  <c r="BJ115" i="24"/>
  <c r="F115" i="24" s="1"/>
  <c r="BJ114" i="24"/>
  <c r="F114" i="24" s="1"/>
  <c r="E114" i="24"/>
  <c r="BJ113" i="24"/>
  <c r="F113" i="24" s="1"/>
  <c r="G113" i="24" s="1"/>
  <c r="BJ112" i="24"/>
  <c r="F112" i="24" s="1"/>
  <c r="BJ111" i="24"/>
  <c r="F111" i="24" s="1"/>
  <c r="G111" i="24" s="1"/>
  <c r="BJ110" i="24"/>
  <c r="F110" i="24" s="1"/>
  <c r="E110" i="24"/>
  <c r="BJ109" i="24"/>
  <c r="F109" i="24" s="1"/>
  <c r="E109" i="24"/>
  <c r="BJ108" i="24"/>
  <c r="F108" i="24" s="1"/>
  <c r="G108" i="24" s="1"/>
  <c r="BJ107" i="24"/>
  <c r="F107" i="24" s="1"/>
  <c r="G107" i="24" s="1"/>
  <c r="BK107" i="24"/>
  <c r="BJ106" i="24"/>
  <c r="F106" i="24" s="1"/>
  <c r="G106" i="24" s="1"/>
  <c r="BJ105" i="24"/>
  <c r="F105" i="24" s="1"/>
  <c r="G105" i="24" s="1"/>
  <c r="BJ104" i="24"/>
  <c r="F104" i="24" s="1"/>
  <c r="G104" i="24" s="1"/>
  <c r="BJ103" i="24"/>
  <c r="F103" i="24" s="1"/>
  <c r="G103" i="24" s="1"/>
  <c r="BK103" i="24"/>
  <c r="BJ102" i="24"/>
  <c r="F102" i="24" s="1"/>
  <c r="G102" i="24" s="1"/>
  <c r="BK102" i="24"/>
  <c r="BJ101" i="24"/>
  <c r="F101" i="24" s="1"/>
  <c r="G101" i="24" s="1"/>
  <c r="BT101" i="24" s="1"/>
  <c r="BU101" i="24" s="1"/>
  <c r="BV101" i="24" s="1"/>
  <c r="BJ100" i="24"/>
  <c r="F100" i="24" s="1"/>
  <c r="G100" i="24" s="1"/>
  <c r="Z97" i="24"/>
  <c r="U97" i="24"/>
  <c r="T97" i="24"/>
  <c r="S97" i="24"/>
  <c r="R97" i="24"/>
  <c r="BJ96" i="24"/>
  <c r="F96" i="24" s="1"/>
  <c r="G96" i="24" s="1"/>
  <c r="BJ95" i="24"/>
  <c r="F95" i="24" s="1"/>
  <c r="BJ94" i="24"/>
  <c r="F94" i="24" s="1"/>
  <c r="G94" i="24" s="1"/>
  <c r="BJ93" i="24"/>
  <c r="F93" i="24" s="1"/>
  <c r="G93" i="24" s="1"/>
  <c r="BJ92" i="24"/>
  <c r="F92" i="24" s="1"/>
  <c r="G92" i="24" s="1"/>
  <c r="BK92" i="24"/>
  <c r="BJ91" i="24"/>
  <c r="F91" i="24" s="1"/>
  <c r="E91" i="24"/>
  <c r="BJ90" i="24"/>
  <c r="F90" i="24" s="1"/>
  <c r="G90" i="24" s="1"/>
  <c r="BJ89" i="24"/>
  <c r="F89" i="24" s="1"/>
  <c r="E89" i="24"/>
  <c r="Z87" i="24"/>
  <c r="Z98" i="24" s="1"/>
  <c r="U87" i="24"/>
  <c r="T87" i="24"/>
  <c r="S87" i="24"/>
  <c r="R87" i="24"/>
  <c r="BJ86" i="24"/>
  <c r="F86" i="24" s="1"/>
  <c r="E86" i="24"/>
  <c r="BJ85" i="24"/>
  <c r="F85" i="24" s="1"/>
  <c r="E85" i="24"/>
  <c r="BJ84" i="24"/>
  <c r="F84" i="24" s="1"/>
  <c r="G84" i="24" s="1"/>
  <c r="BK84" i="24"/>
  <c r="BJ83" i="24"/>
  <c r="F83" i="24" s="1"/>
  <c r="G83" i="24" s="1"/>
  <c r="BJ82" i="24"/>
  <c r="F82" i="24" s="1"/>
  <c r="G82" i="24" s="1"/>
  <c r="BK82" i="24"/>
  <c r="BJ81" i="24"/>
  <c r="F81" i="24" s="1"/>
  <c r="G81" i="24" s="1"/>
  <c r="BJ80" i="24"/>
  <c r="F80" i="24" s="1"/>
  <c r="G80" i="24" s="1"/>
  <c r="BK80" i="24"/>
  <c r="BJ79" i="24"/>
  <c r="F79" i="24" s="1"/>
  <c r="G79" i="24" s="1"/>
  <c r="BJ78" i="24"/>
  <c r="F78" i="24" s="1"/>
  <c r="G78" i="24" s="1"/>
  <c r="BJ77" i="24"/>
  <c r="F77" i="24" s="1"/>
  <c r="G77" i="24" s="1"/>
  <c r="BJ76" i="24"/>
  <c r="F76" i="24" s="1"/>
  <c r="G76" i="24" s="1"/>
  <c r="BJ75" i="24"/>
  <c r="F75" i="24" s="1"/>
  <c r="G75" i="24" s="1"/>
  <c r="BJ74" i="24"/>
  <c r="F74" i="24" s="1"/>
  <c r="G74" i="24" s="1"/>
  <c r="BK74" i="24"/>
  <c r="BJ73" i="24"/>
  <c r="F73" i="24" s="1"/>
  <c r="G73" i="24" s="1"/>
  <c r="BK73" i="24"/>
  <c r="BJ72" i="24"/>
  <c r="F72" i="24" s="1"/>
  <c r="G72" i="24" s="1"/>
  <c r="BJ71" i="24"/>
  <c r="F71" i="24" s="1"/>
  <c r="E71" i="24"/>
  <c r="BJ70" i="24"/>
  <c r="F70" i="24" s="1"/>
  <c r="G70" i="24" s="1"/>
  <c r="BS70" i="24" s="1"/>
  <c r="BU70" i="24" s="1"/>
  <c r="BV70" i="24" s="1"/>
  <c r="BJ69" i="24"/>
  <c r="BK69" i="24"/>
  <c r="Z65" i="24"/>
  <c r="U65" i="24"/>
  <c r="T65" i="24"/>
  <c r="S65" i="24"/>
  <c r="R65" i="24"/>
  <c r="BJ64" i="24"/>
  <c r="F64" i="24" s="1"/>
  <c r="G64" i="24" s="1"/>
  <c r="O64" i="24" s="1"/>
  <c r="E64" i="24"/>
  <c r="BJ63" i="24"/>
  <c r="BJ58" i="24"/>
  <c r="F58" i="24" s="1"/>
  <c r="E58" i="24"/>
  <c r="BJ55" i="24"/>
  <c r="S55" i="24" s="1"/>
  <c r="BK55" i="24"/>
  <c r="Z53" i="24"/>
  <c r="S53" i="24"/>
  <c r="R53" i="24"/>
  <c r="G52" i="24"/>
  <c r="L52" i="24" s="1"/>
  <c r="BJ51" i="24"/>
  <c r="F51" i="24" s="1"/>
  <c r="E51" i="24"/>
  <c r="BJ50" i="24"/>
  <c r="F50" i="24" s="1"/>
  <c r="E50" i="24"/>
  <c r="BJ49" i="24"/>
  <c r="F49" i="24" s="1"/>
  <c r="U49" i="24" s="1"/>
  <c r="E49" i="24"/>
  <c r="BJ48" i="24"/>
  <c r="E48" i="24"/>
  <c r="BJ47" i="24"/>
  <c r="F47" i="24" s="1"/>
  <c r="E47" i="24"/>
  <c r="Z44" i="24"/>
  <c r="U44" i="24"/>
  <c r="R44" i="24"/>
  <c r="BJ43" i="24"/>
  <c r="BJ42" i="24"/>
  <c r="BK42" i="24"/>
  <c r="BJ41" i="24"/>
  <c r="BJ40" i="24"/>
  <c r="E40" i="24"/>
  <c r="BJ39" i="24"/>
  <c r="F39" i="24" s="1"/>
  <c r="E39" i="24"/>
  <c r="BK38" i="24"/>
  <c r="BJ37" i="24"/>
  <c r="F37" i="24" s="1"/>
  <c r="S37" i="24" s="1"/>
  <c r="W37" i="24" s="1"/>
  <c r="BJ36" i="24"/>
  <c r="F36" i="24" s="1"/>
  <c r="S36" i="24" s="1"/>
  <c r="W36" i="24" s="1"/>
  <c r="BJ35" i="24"/>
  <c r="E35" i="24"/>
  <c r="BJ34" i="24"/>
  <c r="F34" i="24" s="1"/>
  <c r="S34" i="24" s="1"/>
  <c r="E34" i="24"/>
  <c r="BJ33" i="24"/>
  <c r="E33" i="24"/>
  <c r="BJ32" i="24"/>
  <c r="F32" i="24" s="1"/>
  <c r="S32" i="24" s="1"/>
  <c r="W32" i="24" s="1"/>
  <c r="BJ31" i="24"/>
  <c r="F31" i="24" s="1"/>
  <c r="S31" i="24" s="1"/>
  <c r="W31" i="24" s="1"/>
  <c r="BK31" i="24"/>
  <c r="BJ30" i="24"/>
  <c r="F30" i="24" s="1"/>
  <c r="S30" i="24" s="1"/>
  <c r="W30" i="24" s="1"/>
  <c r="BJ29" i="24"/>
  <c r="E28" i="24"/>
  <c r="BJ27" i="24"/>
  <c r="E27" i="24"/>
  <c r="BJ26" i="24"/>
  <c r="F26" i="24" s="1"/>
  <c r="S26" i="24" s="1"/>
  <c r="W26" i="24" s="1"/>
  <c r="BJ24" i="24"/>
  <c r="F24" i="24" s="1"/>
  <c r="S24" i="24" s="1"/>
  <c r="E24" i="24"/>
  <c r="BJ23" i="24"/>
  <c r="F23" i="24" s="1"/>
  <c r="S23" i="24" s="1"/>
  <c r="E23" i="24"/>
  <c r="BJ22" i="24"/>
  <c r="F22" i="24" s="1"/>
  <c r="S22" i="24" s="1"/>
  <c r="E22" i="24"/>
  <c r="BJ20" i="24"/>
  <c r="F20" i="24" s="1"/>
  <c r="G20" i="24" s="1"/>
  <c r="BJ19" i="24"/>
  <c r="E19" i="24"/>
  <c r="BH17" i="24"/>
  <c r="AB17" i="24"/>
  <c r="Z17" i="24"/>
  <c r="BJ16" i="24"/>
  <c r="F16" i="24" s="1"/>
  <c r="T16" i="24" s="1"/>
  <c r="E16" i="24"/>
  <c r="BJ15" i="24"/>
  <c r="F15" i="24" s="1"/>
  <c r="U15" i="24" s="1"/>
  <c r="E15" i="24"/>
  <c r="BJ14" i="24"/>
  <c r="F14" i="24" s="1"/>
  <c r="R14" i="24" s="1"/>
  <c r="E14" i="24"/>
  <c r="BJ13" i="24"/>
  <c r="F13" i="24" s="1"/>
  <c r="T13" i="24" s="1"/>
  <c r="BK13" i="24"/>
  <c r="BJ12" i="24"/>
  <c r="F12" i="24" s="1"/>
  <c r="E12" i="24"/>
  <c r="V50" i="7"/>
  <c r="V52" i="7" s="1"/>
  <c r="V17" i="7"/>
  <c r="V16" i="7"/>
  <c r="W16" i="7"/>
  <c r="W15" i="7"/>
  <c r="V15" i="7"/>
  <c r="W14" i="7"/>
  <c r="X14" i="7"/>
  <c r="Y14" i="7"/>
  <c r="V14" i="7"/>
  <c r="W11" i="7"/>
  <c r="X11" i="7"/>
  <c r="Y11" i="7"/>
  <c r="V11" i="7"/>
  <c r="W10" i="7"/>
  <c r="X10" i="7"/>
  <c r="X12" i="7" s="1"/>
  <c r="Y10" i="7"/>
  <c r="R12" i="7"/>
  <c r="BI37" i="7"/>
  <c r="BG37" i="7"/>
  <c r="BE37" i="7"/>
  <c r="BC37" i="7"/>
  <c r="BA37" i="7"/>
  <c r="AY37" i="7"/>
  <c r="AW37" i="7"/>
  <c r="AU37" i="7"/>
  <c r="AS37" i="7"/>
  <c r="AQ37" i="7"/>
  <c r="AO37" i="7"/>
  <c r="AM37" i="7"/>
  <c r="AK37" i="7"/>
  <c r="AI37" i="7"/>
  <c r="AG37" i="7"/>
  <c r="BH65" i="7"/>
  <c r="BI65" i="7" s="1"/>
  <c r="BH64" i="7"/>
  <c r="BI64" i="7" s="1"/>
  <c r="AY64" i="7"/>
  <c r="AS64" i="7"/>
  <c r="AP64" i="7"/>
  <c r="AI64" i="7"/>
  <c r="AG64" i="7"/>
  <c r="BA71" i="7"/>
  <c r="AK71" i="7"/>
  <c r="BI50" i="7"/>
  <c r="BG50" i="7"/>
  <c r="BG52" i="7" s="1"/>
  <c r="BE50" i="7"/>
  <c r="BE52" i="7" s="1"/>
  <c r="BC50" i="7"/>
  <c r="BC52" i="7" s="1"/>
  <c r="BA50" i="7"/>
  <c r="AY50" i="7"/>
  <c r="AW50" i="7"/>
  <c r="AW52" i="7" s="1"/>
  <c r="AU50" i="7"/>
  <c r="AS50" i="7"/>
  <c r="AQ50" i="7"/>
  <c r="AQ52" i="7" s="1"/>
  <c r="AQ57" i="7" s="1"/>
  <c r="AO50" i="7"/>
  <c r="AO52" i="7" s="1"/>
  <c r="AM50" i="7"/>
  <c r="AM52" i="7" s="1"/>
  <c r="AK50" i="7"/>
  <c r="AK52" i="7" s="1"/>
  <c r="AI50" i="7"/>
  <c r="AG50" i="7"/>
  <c r="AG52" i="7" s="1"/>
  <c r="Y71" i="7"/>
  <c r="U71" i="7"/>
  <c r="R71" i="7"/>
  <c r="R52" i="7"/>
  <c r="R57" i="7" s="1"/>
  <c r="R34" i="7"/>
  <c r="U12" i="7"/>
  <c r="T12" i="7"/>
  <c r="S12" i="7"/>
  <c r="BH71" i="7"/>
  <c r="BI62" i="7"/>
  <c r="BH56" i="7"/>
  <c r="BH52" i="7"/>
  <c r="BI38" i="7"/>
  <c r="BI36" i="7"/>
  <c r="BH34" i="7"/>
  <c r="BI33" i="7"/>
  <c r="BI32" i="7"/>
  <c r="BI31" i="7"/>
  <c r="BI17" i="7"/>
  <c r="BK17" i="7" s="1"/>
  <c r="BI16" i="7"/>
  <c r="BK16" i="7" s="1"/>
  <c r="BI15" i="7"/>
  <c r="BK14" i="7"/>
  <c r="BH12" i="7"/>
  <c r="BI11" i="7"/>
  <c r="BI10" i="7"/>
  <c r="BF71" i="7"/>
  <c r="BG62" i="7"/>
  <c r="BF56" i="7"/>
  <c r="BF52" i="7"/>
  <c r="BG38" i="7"/>
  <c r="BG36" i="7"/>
  <c r="BF34" i="7"/>
  <c r="BG33" i="7"/>
  <c r="BG32" i="7"/>
  <c r="BF12" i="7"/>
  <c r="BG11" i="7"/>
  <c r="BG10" i="7"/>
  <c r="BD71" i="7"/>
  <c r="BE71" i="7"/>
  <c r="BD56" i="7"/>
  <c r="BD57" i="7" s="1"/>
  <c r="BD52" i="7"/>
  <c r="BE38" i="7"/>
  <c r="BE36" i="7"/>
  <c r="BD34" i="7"/>
  <c r="BE33" i="7"/>
  <c r="BE32" i="7"/>
  <c r="BD12" i="7"/>
  <c r="BE11" i="7"/>
  <c r="BE10" i="7"/>
  <c r="BB71" i="7"/>
  <c r="BC62" i="7"/>
  <c r="BB56" i="7"/>
  <c r="BB52" i="7"/>
  <c r="BC38" i="7"/>
  <c r="BC36" i="7"/>
  <c r="BB34" i="7"/>
  <c r="BC33" i="7"/>
  <c r="BC32" i="7"/>
  <c r="BB12" i="7"/>
  <c r="BC11" i="7"/>
  <c r="BC10" i="7"/>
  <c r="AZ71" i="7"/>
  <c r="AZ56" i="7"/>
  <c r="AZ52" i="7"/>
  <c r="BA38" i="7"/>
  <c r="BA36" i="7"/>
  <c r="AZ34" i="7"/>
  <c r="BA33" i="7"/>
  <c r="BA32" i="7"/>
  <c r="AZ12" i="7"/>
  <c r="BA11" i="7"/>
  <c r="BA10" i="7"/>
  <c r="BA12" i="7" s="1"/>
  <c r="AX71" i="7"/>
  <c r="AX56" i="7"/>
  <c r="AX52" i="7"/>
  <c r="AY38" i="7"/>
  <c r="AY36" i="7"/>
  <c r="AX34" i="7"/>
  <c r="AY33" i="7"/>
  <c r="AY32" i="7"/>
  <c r="AX12" i="7"/>
  <c r="AY11" i="7"/>
  <c r="AY10" i="7"/>
  <c r="AV71" i="7"/>
  <c r="AV56" i="7"/>
  <c r="AV52" i="7"/>
  <c r="AW38" i="7"/>
  <c r="AW36" i="7"/>
  <c r="AV34" i="7"/>
  <c r="AW33" i="7"/>
  <c r="AW32" i="7"/>
  <c r="AV12" i="7"/>
  <c r="AW11" i="7"/>
  <c r="AW10" i="7"/>
  <c r="AW12" i="7" s="1"/>
  <c r="AT71" i="7"/>
  <c r="AU62" i="7"/>
  <c r="AT56" i="7"/>
  <c r="AT52" i="7"/>
  <c r="AU38" i="7"/>
  <c r="AU36" i="7"/>
  <c r="AU44" i="7" s="1"/>
  <c r="AT34" i="7"/>
  <c r="AU33" i="7"/>
  <c r="AU32" i="7"/>
  <c r="AT12" i="7"/>
  <c r="AU11" i="7"/>
  <c r="AU10" i="7"/>
  <c r="AU12" i="7" s="1"/>
  <c r="AS71" i="7"/>
  <c r="AR71" i="7"/>
  <c r="AR56" i="7"/>
  <c r="AR52" i="7"/>
  <c r="AS38" i="7"/>
  <c r="AS36" i="7"/>
  <c r="AR34" i="7"/>
  <c r="AS33" i="7"/>
  <c r="AS32" i="7"/>
  <c r="AR12" i="7"/>
  <c r="AS11" i="7"/>
  <c r="AS10" i="7"/>
  <c r="AS12" i="7" s="1"/>
  <c r="AP71" i="7"/>
  <c r="AQ62" i="7"/>
  <c r="AP56" i="7"/>
  <c r="AP52" i="7"/>
  <c r="AQ38" i="7"/>
  <c r="AQ36" i="7"/>
  <c r="AP34" i="7"/>
  <c r="AQ33" i="7"/>
  <c r="AQ32" i="7"/>
  <c r="AP12" i="7"/>
  <c r="AQ11" i="7"/>
  <c r="AQ10" i="7"/>
  <c r="AQ12" i="7" s="1"/>
  <c r="AN71" i="7"/>
  <c r="AO71" i="7"/>
  <c r="AN56" i="7"/>
  <c r="AN52" i="7"/>
  <c r="AO38" i="7"/>
  <c r="AO36" i="7"/>
  <c r="AN34" i="7"/>
  <c r="AO33" i="7"/>
  <c r="AO32" i="7"/>
  <c r="AN12" i="7"/>
  <c r="AO11" i="7"/>
  <c r="AO10" i="7"/>
  <c r="AL71" i="7"/>
  <c r="AM71" i="7"/>
  <c r="AL56" i="7"/>
  <c r="AL52" i="7"/>
  <c r="AM38" i="7"/>
  <c r="AM36" i="7"/>
  <c r="AL34" i="7"/>
  <c r="AM33" i="7"/>
  <c r="AM32" i="7"/>
  <c r="AL12" i="7"/>
  <c r="AM11" i="7"/>
  <c r="AM10" i="7"/>
  <c r="AJ71" i="7"/>
  <c r="AK62" i="7"/>
  <c r="AJ56" i="7"/>
  <c r="AJ52" i="7"/>
  <c r="AK38" i="7"/>
  <c r="AK36" i="7"/>
  <c r="AJ34" i="7"/>
  <c r="AK33" i="7"/>
  <c r="AK32" i="7"/>
  <c r="AJ12" i="7"/>
  <c r="AK11" i="7"/>
  <c r="AK10" i="7"/>
  <c r="AK12" i="7" s="1"/>
  <c r="AH71" i="7"/>
  <c r="AI62" i="7"/>
  <c r="AH56" i="7"/>
  <c r="AH52" i="7"/>
  <c r="AI38" i="7"/>
  <c r="AI36" i="7"/>
  <c r="AH34" i="7"/>
  <c r="AI33" i="7"/>
  <c r="AI32" i="7"/>
  <c r="AH12" i="7"/>
  <c r="AI11" i="7"/>
  <c r="AI10" i="7"/>
  <c r="AF71" i="7"/>
  <c r="AG62" i="7"/>
  <c r="AF56" i="7"/>
  <c r="AF52" i="7"/>
  <c r="AG38" i="7"/>
  <c r="AG36" i="7"/>
  <c r="AF34" i="7"/>
  <c r="AG33" i="7"/>
  <c r="AG32" i="7"/>
  <c r="AF12" i="7"/>
  <c r="AG11" i="7"/>
  <c r="AG10" i="7"/>
  <c r="BJ70" i="7"/>
  <c r="BJ36" i="7"/>
  <c r="BJ33" i="7"/>
  <c r="F33" i="7" s="1"/>
  <c r="BJ32" i="7"/>
  <c r="F32" i="7" s="1"/>
  <c r="U32" i="7" s="1"/>
  <c r="BJ31" i="7"/>
  <c r="F31" i="7" s="1"/>
  <c r="BJ17" i="7"/>
  <c r="F17" i="7" s="1"/>
  <c r="BJ16" i="7"/>
  <c r="F16" i="7" s="1"/>
  <c r="BJ15" i="7"/>
  <c r="BJ11" i="7"/>
  <c r="F11" i="7" s="1"/>
  <c r="BJ10" i="7"/>
  <c r="F10" i="7" s="1"/>
  <c r="BP53" i="25"/>
  <c r="P53" i="25"/>
  <c r="P54" i="25" s="1"/>
  <c r="H53" i="25"/>
  <c r="H54" i="25" s="1"/>
  <c r="O53" i="25"/>
  <c r="O54" i="25" s="1"/>
  <c r="K53" i="25"/>
  <c r="K54" i="25" s="1"/>
  <c r="X21" i="28"/>
  <c r="Y21" i="28"/>
  <c r="F37" i="25"/>
  <c r="S37" i="25" s="1"/>
  <c r="AB42" i="26"/>
  <c r="AJ42" i="26"/>
  <c r="AR42" i="26"/>
  <c r="AZ42" i="26"/>
  <c r="BH42" i="26"/>
  <c r="AP42" i="26"/>
  <c r="BF42" i="26"/>
  <c r="AF42" i="26"/>
  <c r="AN42" i="26"/>
  <c r="AV42" i="26"/>
  <c r="BD42" i="26"/>
  <c r="AD42" i="26"/>
  <c r="AL42" i="26"/>
  <c r="AT42" i="26"/>
  <c r="BB42" i="26"/>
  <c r="R15" i="25"/>
  <c r="BK15" i="25"/>
  <c r="J16" i="25"/>
  <c r="G31" i="24"/>
  <c r="O31" i="24" s="1"/>
  <c r="G89" i="24"/>
  <c r="H89" i="24" s="1"/>
  <c r="BK94" i="24"/>
  <c r="BK105" i="24"/>
  <c r="G26" i="24"/>
  <c r="O26" i="24" s="1"/>
  <c r="G30" i="24"/>
  <c r="L30" i="24" s="1"/>
  <c r="G34" i="24"/>
  <c r="BP34" i="24" s="1"/>
  <c r="BR34" i="24" s="1"/>
  <c r="BV34" i="24" s="1"/>
  <c r="G55" i="24"/>
  <c r="O55" i="24" s="1"/>
  <c r="BK70" i="24"/>
  <c r="BK78" i="24"/>
  <c r="BK81" i="24"/>
  <c r="G95" i="24"/>
  <c r="Q95" i="24" s="1"/>
  <c r="BK95" i="24"/>
  <c r="BK104" i="24"/>
  <c r="BK106" i="24"/>
  <c r="G112" i="24"/>
  <c r="O112" i="24" s="1"/>
  <c r="V44" i="7"/>
  <c r="BI71" i="7"/>
  <c r="I13" i="25"/>
  <c r="K13" i="25"/>
  <c r="BK15" i="7"/>
  <c r="AY52" i="7"/>
  <c r="AY57" i="7" s="1"/>
  <c r="AS52" i="7"/>
  <c r="BI52" i="7"/>
  <c r="AS56" i="7"/>
  <c r="AM56" i="7"/>
  <c r="AM57" i="7" s="1"/>
  <c r="AU52" i="7"/>
  <c r="AI52" i="7"/>
  <c r="AO56" i="7"/>
  <c r="AQ71" i="7"/>
  <c r="BA52" i="7"/>
  <c r="BC56" i="7"/>
  <c r="AM64" i="7"/>
  <c r="AO64" i="7"/>
  <c r="AQ64" i="7"/>
  <c r="BA64" i="7"/>
  <c r="AK64" i="7"/>
  <c r="AU64" i="7"/>
  <c r="AW64" i="7"/>
  <c r="BC64" i="7"/>
  <c r="BE64" i="7"/>
  <c r="BK14" i="25"/>
  <c r="BT14" i="25"/>
  <c r="J14" i="25"/>
  <c r="BK32" i="25"/>
  <c r="BK26" i="24"/>
  <c r="P26" i="24"/>
  <c r="Q26" i="24"/>
  <c r="Q30" i="24"/>
  <c r="BK30" i="25"/>
  <c r="BK101" i="24"/>
  <c r="BK104" i="25"/>
  <c r="BK16" i="26"/>
  <c r="BK36" i="26"/>
  <c r="BK72" i="24"/>
  <c r="BK76" i="24"/>
  <c r="BK90" i="24"/>
  <c r="BK53" i="25"/>
  <c r="BK54" i="25" s="1"/>
  <c r="BK73" i="25"/>
  <c r="BK80" i="25"/>
  <c r="BK90" i="25"/>
  <c r="BK74" i="25"/>
  <c r="BJ52" i="7"/>
  <c r="BJ56" i="7"/>
  <c r="F18" i="25"/>
  <c r="G15" i="25"/>
  <c r="L15" i="25" s="1"/>
  <c r="N55" i="24"/>
  <c r="BT112" i="24"/>
  <c r="BU112" i="24" s="1"/>
  <c r="BP59" i="24"/>
  <c r="BR59" i="24" s="1"/>
  <c r="BV59" i="24" s="1"/>
  <c r="H59" i="24"/>
  <c r="Q59" i="24"/>
  <c r="O59" i="24"/>
  <c r="M59" i="24"/>
  <c r="K59" i="24"/>
  <c r="I59" i="24"/>
  <c r="P59" i="24"/>
  <c r="N59" i="24"/>
  <c r="L59" i="24"/>
  <c r="J59" i="24"/>
  <c r="BP38" i="24"/>
  <c r="I38" i="24"/>
  <c r="Q38" i="24"/>
  <c r="O38" i="24"/>
  <c r="M38" i="24"/>
  <c r="K38" i="24"/>
  <c r="H38" i="24"/>
  <c r="P38" i="24"/>
  <c r="N38" i="24"/>
  <c r="L38" i="24"/>
  <c r="J38" i="24"/>
  <c r="BR38" i="24"/>
  <c r="F52" i="7"/>
  <c r="E70" i="7"/>
  <c r="E66" i="7"/>
  <c r="E64" i="7"/>
  <c r="BG64" i="7" s="1"/>
  <c r="E63" i="7"/>
  <c r="AK63" i="7" s="1"/>
  <c r="E62" i="7"/>
  <c r="E50" i="7"/>
  <c r="S50" i="7" s="1"/>
  <c r="E36" i="7"/>
  <c r="E33" i="7"/>
  <c r="G33" i="7" s="1"/>
  <c r="E32" i="7"/>
  <c r="G32" i="7" s="1"/>
  <c r="E17" i="7"/>
  <c r="E16" i="7"/>
  <c r="E15" i="7"/>
  <c r="E14" i="7"/>
  <c r="G14" i="7" s="1"/>
  <c r="G11" i="7"/>
  <c r="N11" i="7" s="1"/>
  <c r="G10" i="7"/>
  <c r="AM63" i="7"/>
  <c r="T50" i="7"/>
  <c r="X50" i="7" s="1"/>
  <c r="X52" i="7" s="1"/>
  <c r="BS51" i="7"/>
  <c r="BV51" i="7" s="1"/>
  <c r="BZ51" i="7" s="1"/>
  <c r="BS55" i="7"/>
  <c r="BV55" i="7" s="1"/>
  <c r="V71" i="7"/>
  <c r="F12" i="7"/>
  <c r="Y25" i="7"/>
  <c r="T21" i="37"/>
  <c r="X21" i="37" s="1"/>
  <c r="S21" i="37"/>
  <c r="W21" i="37" s="1"/>
  <c r="P34" i="37"/>
  <c r="U21" i="37"/>
  <c r="Y21" i="37" s="1"/>
  <c r="F13" i="34"/>
  <c r="G12" i="34"/>
  <c r="P19" i="7"/>
  <c r="Q19" i="7"/>
  <c r="M19" i="7"/>
  <c r="J19" i="7"/>
  <c r="BS19" i="7"/>
  <c r="BV19" i="7" s="1"/>
  <c r="N19" i="7"/>
  <c r="O19" i="7"/>
  <c r="K19" i="7"/>
  <c r="I19" i="7"/>
  <c r="I25" i="7"/>
  <c r="O25" i="7"/>
  <c r="N25" i="7"/>
  <c r="BS25" i="7"/>
  <c r="BV25" i="7" s="1"/>
  <c r="P25" i="7"/>
  <c r="Q25" i="7"/>
  <c r="K25" i="7"/>
  <c r="M25" i="7"/>
  <c r="J25" i="7"/>
  <c r="BS18" i="7"/>
  <c r="BV18" i="7" s="1"/>
  <c r="AG66" i="7"/>
  <c r="S33" i="7"/>
  <c r="Y24" i="7"/>
  <c r="AO62" i="7"/>
  <c r="AW62" i="7"/>
  <c r="P28" i="7"/>
  <c r="BS28" i="7"/>
  <c r="BV28" i="7" s="1"/>
  <c r="Q28" i="7"/>
  <c r="K28" i="7"/>
  <c r="Y19" i="7"/>
  <c r="X23" i="7"/>
  <c r="U50" i="7"/>
  <c r="AO12" i="7"/>
  <c r="T32" i="7"/>
  <c r="X24" i="7"/>
  <c r="S41" i="7"/>
  <c r="W41" i="7" s="1"/>
  <c r="X47" i="7"/>
  <c r="V12" i="7"/>
  <c r="Q26" i="7"/>
  <c r="Y47" i="7"/>
  <c r="AA62" i="7"/>
  <c r="S37" i="7"/>
  <c r="T40" i="7"/>
  <c r="X40" i="7" s="1"/>
  <c r="U40" i="7"/>
  <c r="Y40" i="7" s="1"/>
  <c r="T42" i="7"/>
  <c r="X42" i="7" s="1"/>
  <c r="U42" i="7"/>
  <c r="Y42" i="7" s="1"/>
  <c r="G42" i="7"/>
  <c r="I42" i="7" s="1"/>
  <c r="U43" i="7"/>
  <c r="Y43" i="7" s="1"/>
  <c r="G43" i="7"/>
  <c r="X27" i="7"/>
  <c r="W27" i="7"/>
  <c r="G50" i="7"/>
  <c r="K50" i="7" s="1"/>
  <c r="K52" i="7" s="1"/>
  <c r="Y32" i="7"/>
  <c r="AC44" i="7"/>
  <c r="Y20" i="7"/>
  <c r="T33" i="7"/>
  <c r="BJ12" i="7"/>
  <c r="X19" i="7"/>
  <c r="U52" i="7"/>
  <c r="Y50" i="7"/>
  <c r="Y52" i="7" s="1"/>
  <c r="F45" i="34"/>
  <c r="F46" i="34" s="1"/>
  <c r="G25" i="34"/>
  <c r="F27" i="34"/>
  <c r="T27" i="34"/>
  <c r="F21" i="33"/>
  <c r="Q129" i="32"/>
  <c r="V128" i="32"/>
  <c r="V131" i="32" s="1"/>
  <c r="G45" i="32"/>
  <c r="BK43" i="37"/>
  <c r="BK42" i="37"/>
  <c r="H16" i="37"/>
  <c r="P28" i="37"/>
  <c r="H27" i="37"/>
  <c r="BK24" i="37"/>
  <c r="BK26" i="37"/>
  <c r="H29" i="37"/>
  <c r="BK36" i="37"/>
  <c r="BK22" i="37"/>
  <c r="BL39" i="38"/>
  <c r="T29" i="38"/>
  <c r="V29" i="38"/>
  <c r="U29" i="38"/>
  <c r="BL51" i="38"/>
  <c r="BO40" i="38"/>
  <c r="BS40" i="38" s="1"/>
  <c r="BW40" i="38" s="1"/>
  <c r="BL32" i="38"/>
  <c r="BL24" i="38"/>
  <c r="BL28" i="38"/>
  <c r="BL48" i="38"/>
  <c r="BL44" i="38"/>
  <c r="U40" i="38"/>
  <c r="T40" i="38"/>
  <c r="U35" i="38"/>
  <c r="Y35" i="38" s="1"/>
  <c r="V35" i="38"/>
  <c r="Z35" i="38" s="1"/>
  <c r="BL30" i="38"/>
  <c r="U17" i="38"/>
  <c r="Y17" i="38" s="1"/>
  <c r="V40" i="38"/>
  <c r="V16" i="38"/>
  <c r="BL15" i="38"/>
  <c r="G38" i="32"/>
  <c r="J129" i="32"/>
  <c r="I129" i="32"/>
  <c r="G109" i="32"/>
  <c r="G87" i="32"/>
  <c r="G131" i="32"/>
  <c r="G125" i="32"/>
  <c r="BQ121" i="32"/>
  <c r="BS121" i="32" s="1"/>
  <c r="BW121" i="32" s="1"/>
  <c r="G77" i="32"/>
  <c r="H126" i="32"/>
  <c r="J121" i="32"/>
  <c r="I121" i="32"/>
  <c r="K100" i="24" l="1"/>
  <c r="M100" i="24"/>
  <c r="M14" i="7"/>
  <c r="P14" i="7"/>
  <c r="U17" i="37"/>
  <c r="Y17" i="37" s="1"/>
  <c r="BN17" i="37"/>
  <c r="BR17" i="37" s="1"/>
  <c r="BV17" i="37" s="1"/>
  <c r="Q18" i="7"/>
  <c r="I18" i="7"/>
  <c r="H112" i="24"/>
  <c r="N30" i="24"/>
  <c r="M13" i="25"/>
  <c r="O13" i="25"/>
  <c r="Q16" i="25"/>
  <c r="BT16" i="25"/>
  <c r="BU16" i="25" s="1"/>
  <c r="BV16" i="25" s="1"/>
  <c r="G60" i="28"/>
  <c r="J60" i="28" s="1"/>
  <c r="AU69" i="28"/>
  <c r="BG69" i="28"/>
  <c r="BS56" i="34"/>
  <c r="P17" i="37"/>
  <c r="BN29" i="37"/>
  <c r="BR29" i="37" s="1"/>
  <c r="BV29" i="37" s="1"/>
  <c r="L112" i="24"/>
  <c r="O30" i="24"/>
  <c r="P13" i="25"/>
  <c r="L13" i="25"/>
  <c r="K16" i="25"/>
  <c r="M16" i="25"/>
  <c r="AI14" i="28"/>
  <c r="BG14" i="28"/>
  <c r="AA69" i="28"/>
  <c r="AM69" i="28"/>
  <c r="AY69" i="28"/>
  <c r="F65" i="28"/>
  <c r="BJ69" i="28"/>
  <c r="F12" i="37"/>
  <c r="AT69" i="7"/>
  <c r="AA34" i="7"/>
  <c r="AM34" i="7"/>
  <c r="Q28" i="38"/>
  <c r="I17" i="37"/>
  <c r="I29" i="37"/>
  <c r="N18" i="7"/>
  <c r="N112" i="24"/>
  <c r="H13" i="25"/>
  <c r="N13" i="25"/>
  <c r="G22" i="24"/>
  <c r="I22" i="24" s="1"/>
  <c r="N16" i="25"/>
  <c r="O16" i="25"/>
  <c r="G28" i="24"/>
  <c r="Z42" i="26"/>
  <c r="AC69" i="28"/>
  <c r="AO69" i="28"/>
  <c r="AO73" i="28" s="1"/>
  <c r="BA69" i="28"/>
  <c r="V25" i="33"/>
  <c r="BV59" i="28"/>
  <c r="S17" i="37"/>
  <c r="W17" i="37" s="1"/>
  <c r="K18" i="7"/>
  <c r="O18" i="7"/>
  <c r="P18" i="7"/>
  <c r="K112" i="24"/>
  <c r="M31" i="24"/>
  <c r="Q13" i="25"/>
  <c r="BT13" i="25"/>
  <c r="BU13" i="25" s="1"/>
  <c r="BV13" i="25" s="1"/>
  <c r="P16" i="25"/>
  <c r="H16" i="25"/>
  <c r="BC44" i="7"/>
  <c r="G115" i="24"/>
  <c r="BT56" i="34"/>
  <c r="T17" i="37"/>
  <c r="X17" i="37" s="1"/>
  <c r="J18" i="7"/>
  <c r="M112" i="24"/>
  <c r="K31" i="24"/>
  <c r="I16" i="25"/>
  <c r="AG34" i="7"/>
  <c r="AU34" i="7"/>
  <c r="AW34" i="7"/>
  <c r="AG69" i="28"/>
  <c r="AS69" i="28"/>
  <c r="BE69" i="28"/>
  <c r="BN73" i="28"/>
  <c r="BQ56" i="34"/>
  <c r="BU65" i="24"/>
  <c r="BV112" i="24"/>
  <c r="W26" i="25"/>
  <c r="W22" i="25"/>
  <c r="O25" i="24"/>
  <c r="BP25" i="24"/>
  <c r="BR25" i="24" s="1"/>
  <c r="H25" i="24"/>
  <c r="I25" i="24"/>
  <c r="L25" i="24"/>
  <c r="N25" i="24"/>
  <c r="K27" i="7"/>
  <c r="N27" i="7"/>
  <c r="P27" i="7"/>
  <c r="M27" i="7"/>
  <c r="BO27" i="28"/>
  <c r="BR27" i="28" s="1"/>
  <c r="BV27" i="28" s="1"/>
  <c r="I27" i="28"/>
  <c r="I27" i="38"/>
  <c r="U32" i="37"/>
  <c r="Y32" i="37" s="1"/>
  <c r="T128" i="32"/>
  <c r="T131" i="32" s="1"/>
  <c r="G36" i="24"/>
  <c r="BC12" i="7"/>
  <c r="W12" i="7"/>
  <c r="G51" i="24"/>
  <c r="Q51" i="24" s="1"/>
  <c r="BY34" i="7"/>
  <c r="BY56" i="7"/>
  <c r="T20" i="37"/>
  <c r="X20" i="37" s="1"/>
  <c r="W37" i="25"/>
  <c r="G37" i="28"/>
  <c r="G42" i="28"/>
  <c r="L42" i="28" s="1"/>
  <c r="BI61" i="28"/>
  <c r="G58" i="28"/>
  <c r="AK73" i="28"/>
  <c r="V31" i="33"/>
  <c r="BN17" i="28"/>
  <c r="AT62" i="28"/>
  <c r="BK31" i="7"/>
  <c r="S20" i="37"/>
  <c r="W20" i="37" s="1"/>
  <c r="BK10" i="7"/>
  <c r="AQ14" i="28"/>
  <c r="AQ17" i="28" s="1"/>
  <c r="AQ25" i="28"/>
  <c r="AM25" i="28"/>
  <c r="BV22" i="32"/>
  <c r="BT34" i="33"/>
  <c r="BT53" i="38"/>
  <c r="BV25" i="24"/>
  <c r="AZ73" i="28"/>
  <c r="AN73" i="28"/>
  <c r="AB73" i="28"/>
  <c r="S32" i="37"/>
  <c r="W32" i="37" s="1"/>
  <c r="BO34" i="38"/>
  <c r="BS34" i="38" s="1"/>
  <c r="BW34" i="38" s="1"/>
  <c r="U20" i="37"/>
  <c r="Y20" i="37" s="1"/>
  <c r="I14" i="37"/>
  <c r="V14" i="24"/>
  <c r="W22" i="24"/>
  <c r="W34" i="24"/>
  <c r="AJ17" i="28"/>
  <c r="BH17" i="28"/>
  <c r="BE25" i="28"/>
  <c r="G34" i="28"/>
  <c r="BT73" i="28"/>
  <c r="BQ66" i="24"/>
  <c r="AZ69" i="7"/>
  <c r="BJ15" i="34"/>
  <c r="BJ56" i="34" s="1"/>
  <c r="AA44" i="7"/>
  <c r="S25" i="24"/>
  <c r="W25" i="24" s="1"/>
  <c r="T32" i="37"/>
  <c r="X32" i="37" s="1"/>
  <c r="U128" i="32"/>
  <c r="I52" i="24"/>
  <c r="U98" i="24"/>
  <c r="H62" i="24"/>
  <c r="P62" i="24"/>
  <c r="F18" i="26"/>
  <c r="H30" i="33"/>
  <c r="BP30" i="33"/>
  <c r="BR30" i="33" s="1"/>
  <c r="BR31" i="33" s="1"/>
  <c r="T30" i="37"/>
  <c r="X30" i="37" s="1"/>
  <c r="H30" i="37"/>
  <c r="H18" i="37"/>
  <c r="U12" i="37"/>
  <c r="Y12" i="37" s="1"/>
  <c r="S12" i="37"/>
  <c r="W12" i="37" s="1"/>
  <c r="Q83" i="24"/>
  <c r="K83" i="24"/>
  <c r="P83" i="24"/>
  <c r="BS83" i="24"/>
  <c r="BU83" i="24" s="1"/>
  <c r="BV83" i="24" s="1"/>
  <c r="N83" i="24"/>
  <c r="M83" i="24"/>
  <c r="I83" i="24"/>
  <c r="L83" i="24"/>
  <c r="O83" i="24"/>
  <c r="P106" i="24"/>
  <c r="Q106" i="24"/>
  <c r="N106" i="24"/>
  <c r="O77" i="24"/>
  <c r="L77" i="24"/>
  <c r="Q77" i="24"/>
  <c r="M77" i="24"/>
  <c r="J77" i="24"/>
  <c r="N77" i="24"/>
  <c r="K77" i="24"/>
  <c r="P77" i="24"/>
  <c r="BS77" i="24"/>
  <c r="BU77" i="24" s="1"/>
  <c r="BV77" i="24" s="1"/>
  <c r="H77" i="24"/>
  <c r="I77" i="24"/>
  <c r="J32" i="7"/>
  <c r="I32" i="7"/>
  <c r="O28" i="24"/>
  <c r="K28" i="24"/>
  <c r="P28" i="24"/>
  <c r="Q28" i="24"/>
  <c r="J28" i="24"/>
  <c r="O92" i="24"/>
  <c r="K92" i="24"/>
  <c r="H92" i="24"/>
  <c r="P92" i="24"/>
  <c r="BS92" i="24"/>
  <c r="BU92" i="24" s="1"/>
  <c r="N92" i="24"/>
  <c r="O37" i="7"/>
  <c r="K37" i="7"/>
  <c r="K44" i="7" s="1"/>
  <c r="N37" i="7"/>
  <c r="M37" i="7"/>
  <c r="BS37" i="7"/>
  <c r="BV37" i="7" s="1"/>
  <c r="BZ37" i="7" s="1"/>
  <c r="N58" i="28"/>
  <c r="H58" i="28"/>
  <c r="J58" i="28"/>
  <c r="L58" i="28"/>
  <c r="O58" i="28"/>
  <c r="Q58" i="28"/>
  <c r="K58" i="28"/>
  <c r="I58" i="28"/>
  <c r="M58" i="28"/>
  <c r="P58" i="28"/>
  <c r="BP34" i="28"/>
  <c r="L34" i="28"/>
  <c r="M34" i="28"/>
  <c r="N34" i="28"/>
  <c r="O34" i="28"/>
  <c r="I34" i="28"/>
  <c r="P34" i="28"/>
  <c r="Q34" i="28"/>
  <c r="K34" i="28"/>
  <c r="L20" i="25"/>
  <c r="K20" i="25"/>
  <c r="P20" i="25"/>
  <c r="H20" i="25"/>
  <c r="Q20" i="25"/>
  <c r="O20" i="25"/>
  <c r="M20" i="25"/>
  <c r="J20" i="25"/>
  <c r="BP20" i="25"/>
  <c r="BR20" i="25" s="1"/>
  <c r="BV20" i="25" s="1"/>
  <c r="I20" i="25"/>
  <c r="N20" i="25"/>
  <c r="Y64" i="7"/>
  <c r="I62" i="24"/>
  <c r="R42" i="26"/>
  <c r="G29" i="28"/>
  <c r="G48" i="28"/>
  <c r="AK61" i="28"/>
  <c r="G55" i="28"/>
  <c r="N55" i="28" s="1"/>
  <c r="BV10" i="26"/>
  <c r="AD69" i="7"/>
  <c r="AE34" i="7"/>
  <c r="AQ34" i="7"/>
  <c r="BC34" i="7"/>
  <c r="U25" i="37"/>
  <c r="Y25" i="37" s="1"/>
  <c r="X32" i="7"/>
  <c r="BL42" i="38"/>
  <c r="S25" i="37"/>
  <c r="W25" i="37" s="1"/>
  <c r="X37" i="7"/>
  <c r="AO69" i="7"/>
  <c r="K62" i="24"/>
  <c r="L70" i="24"/>
  <c r="L100" i="24"/>
  <c r="I100" i="24"/>
  <c r="AO57" i="7"/>
  <c r="G31" i="7"/>
  <c r="BK11" i="7"/>
  <c r="AI44" i="7"/>
  <c r="X16" i="24"/>
  <c r="W24" i="24"/>
  <c r="T98" i="24"/>
  <c r="G110" i="24"/>
  <c r="W21" i="25"/>
  <c r="W24" i="25"/>
  <c r="BK15" i="28"/>
  <c r="BK16" i="28" s="1"/>
  <c r="AI25" i="28"/>
  <c r="BG25" i="28"/>
  <c r="G23" i="33"/>
  <c r="Q23" i="33" s="1"/>
  <c r="AE23" i="33"/>
  <c r="BV24" i="26"/>
  <c r="AC57" i="7"/>
  <c r="BK40" i="7"/>
  <c r="BK45" i="28"/>
  <c r="AW44" i="7"/>
  <c r="AE44" i="7"/>
  <c r="AQ44" i="7"/>
  <c r="AO44" i="7"/>
  <c r="I26" i="7"/>
  <c r="BP62" i="24"/>
  <c r="BR62" i="24" s="1"/>
  <c r="BV62" i="24" s="1"/>
  <c r="S42" i="26"/>
  <c r="G32" i="24"/>
  <c r="T25" i="37"/>
  <c r="X25" i="37" s="1"/>
  <c r="H19" i="37"/>
  <c r="J26" i="7"/>
  <c r="F11" i="34"/>
  <c r="F15" i="34" s="1"/>
  <c r="J62" i="24"/>
  <c r="M62" i="24"/>
  <c r="K70" i="24"/>
  <c r="N100" i="24"/>
  <c r="BT100" i="24"/>
  <c r="BU100" i="24" s="1"/>
  <c r="BV100" i="24" s="1"/>
  <c r="AY34" i="7"/>
  <c r="G101" i="25"/>
  <c r="L101" i="25" s="1"/>
  <c r="AB17" i="28"/>
  <c r="AC61" i="28"/>
  <c r="BA61" i="28"/>
  <c r="P30" i="33"/>
  <c r="U17" i="28"/>
  <c r="Z73" i="28"/>
  <c r="P26" i="7"/>
  <c r="O26" i="7"/>
  <c r="G16" i="7"/>
  <c r="Q16" i="7" s="1"/>
  <c r="L62" i="24"/>
  <c r="O62" i="24"/>
  <c r="I70" i="24"/>
  <c r="P100" i="24"/>
  <c r="H34" i="24"/>
  <c r="BK32" i="7"/>
  <c r="BA62" i="7"/>
  <c r="AA25" i="28"/>
  <c r="AY25" i="28"/>
  <c r="AE62" i="7"/>
  <c r="AC34" i="7"/>
  <c r="I55" i="24"/>
  <c r="O100" i="24"/>
  <c r="G17" i="7"/>
  <c r="N62" i="24"/>
  <c r="H52" i="24"/>
  <c r="O34" i="24"/>
  <c r="AG14" i="28"/>
  <c r="AS14" i="28"/>
  <c r="AS17" i="28" s="1"/>
  <c r="BE14" i="28"/>
  <c r="AR17" i="28"/>
  <c r="AC25" i="28"/>
  <c r="AO25" i="28"/>
  <c r="BA25" i="28"/>
  <c r="G23" i="28"/>
  <c r="AS61" i="28"/>
  <c r="AU73" i="28"/>
  <c r="W22" i="32"/>
  <c r="BQ31" i="28"/>
  <c r="BV15" i="24"/>
  <c r="BH62" i="28"/>
  <c r="BD73" i="28"/>
  <c r="AR73" i="28"/>
  <c r="BR132" i="32"/>
  <c r="AH73" i="28"/>
  <c r="BG73" i="28"/>
  <c r="AS73" i="28"/>
  <c r="AL73" i="28"/>
  <c r="BK66" i="28"/>
  <c r="G66" i="28" s="1"/>
  <c r="J66" i="28" s="1"/>
  <c r="BK67" i="28"/>
  <c r="G67" i="28" s="1"/>
  <c r="P55" i="24"/>
  <c r="K55" i="24"/>
  <c r="BP55" i="24"/>
  <c r="BR55" i="24" s="1"/>
  <c r="L55" i="24"/>
  <c r="M55" i="24"/>
  <c r="L30" i="33"/>
  <c r="AT73" i="28"/>
  <c r="BK68" i="28"/>
  <c r="N30" i="33"/>
  <c r="Q30" i="33"/>
  <c r="F57" i="7"/>
  <c r="BS93" i="24"/>
  <c r="BU93" i="24" s="1"/>
  <c r="L93" i="24"/>
  <c r="H93" i="24"/>
  <c r="K93" i="24"/>
  <c r="H102" i="24"/>
  <c r="Q102" i="24"/>
  <c r="I102" i="24"/>
  <c r="J102" i="24"/>
  <c r="BT110" i="24"/>
  <c r="BU110" i="24" s="1"/>
  <c r="BV110" i="24" s="1"/>
  <c r="I110" i="24"/>
  <c r="J110" i="24"/>
  <c r="H110" i="24"/>
  <c r="K110" i="24"/>
  <c r="BT115" i="24"/>
  <c r="BU115" i="24" s="1"/>
  <c r="I115" i="24"/>
  <c r="H115" i="24"/>
  <c r="P115" i="24"/>
  <c r="Q115" i="24"/>
  <c r="N115" i="24"/>
  <c r="K115" i="24"/>
  <c r="O115" i="24"/>
  <c r="L115" i="24"/>
  <c r="M115" i="24"/>
  <c r="J115" i="24"/>
  <c r="P31" i="7"/>
  <c r="L31" i="7"/>
  <c r="BS31" i="7"/>
  <c r="BV31" i="7" s="1"/>
  <c r="BZ31" i="7" s="1"/>
  <c r="K31" i="7"/>
  <c r="I31" i="7"/>
  <c r="M33" i="7"/>
  <c r="I33" i="7"/>
  <c r="O33" i="7"/>
  <c r="J33" i="7"/>
  <c r="K33" i="7"/>
  <c r="Q33" i="7"/>
  <c r="N33" i="7"/>
  <c r="Q30" i="38"/>
  <c r="S22" i="37"/>
  <c r="W22" i="37" s="1"/>
  <c r="S28" i="37"/>
  <c r="W28" i="37" s="1"/>
  <c r="BN16" i="37"/>
  <c r="BR16" i="37" s="1"/>
  <c r="BV16" i="37" s="1"/>
  <c r="O32" i="7"/>
  <c r="W47" i="7"/>
  <c r="F34" i="7"/>
  <c r="BW31" i="38"/>
  <c r="AG63" i="7"/>
  <c r="AG69" i="7" s="1"/>
  <c r="N64" i="24"/>
  <c r="J89" i="24"/>
  <c r="Q14" i="25"/>
  <c r="AS62" i="7"/>
  <c r="BJ64" i="7"/>
  <c r="F64" i="7" s="1"/>
  <c r="W34" i="25"/>
  <c r="AF69" i="7"/>
  <c r="BR17" i="24"/>
  <c r="BU44" i="24"/>
  <c r="BO66" i="24"/>
  <c r="BV14" i="26"/>
  <c r="AD73" i="28"/>
  <c r="F34" i="33"/>
  <c r="Y33" i="7"/>
  <c r="BS47" i="7"/>
  <c r="BV47" i="7" s="1"/>
  <c r="BZ47" i="7" s="1"/>
  <c r="I11" i="7"/>
  <c r="BK71" i="28"/>
  <c r="BK72" i="28" s="1"/>
  <c r="Q64" i="24"/>
  <c r="P89" i="24"/>
  <c r="BJ106" i="25"/>
  <c r="M14" i="25"/>
  <c r="G37" i="24"/>
  <c r="H104" i="25"/>
  <c r="BJ18" i="25"/>
  <c r="AG25" i="28"/>
  <c r="AS25" i="28"/>
  <c r="AY73" i="28"/>
  <c r="M29" i="33"/>
  <c r="AH69" i="7"/>
  <c r="BU69" i="28"/>
  <c r="BU73" i="28" s="1"/>
  <c r="BW11" i="38"/>
  <c r="U86" i="25"/>
  <c r="Y86" i="25" s="1"/>
  <c r="BD69" i="7"/>
  <c r="BD72" i="7" s="1"/>
  <c r="T45" i="34"/>
  <c r="U28" i="37"/>
  <c r="Y28" i="37" s="1"/>
  <c r="I28" i="37"/>
  <c r="I22" i="37"/>
  <c r="T28" i="37"/>
  <c r="X28" i="37" s="1"/>
  <c r="T16" i="37"/>
  <c r="X16" i="37" s="1"/>
  <c r="M32" i="7"/>
  <c r="BK70" i="7"/>
  <c r="BK71" i="7" s="1"/>
  <c r="I89" i="24"/>
  <c r="U42" i="26"/>
  <c r="K14" i="25"/>
  <c r="BC57" i="7"/>
  <c r="AG57" i="7"/>
  <c r="P104" i="25"/>
  <c r="AN57" i="7"/>
  <c r="AN72" i="7" s="1"/>
  <c r="AY44" i="7"/>
  <c r="BE12" i="7"/>
  <c r="BE44" i="7"/>
  <c r="BI29" i="7"/>
  <c r="G91" i="24"/>
  <c r="F116" i="24"/>
  <c r="W29" i="25"/>
  <c r="L67" i="28"/>
  <c r="F14" i="28"/>
  <c r="H29" i="33"/>
  <c r="BF69" i="7"/>
  <c r="BU132" i="32"/>
  <c r="BS52" i="37"/>
  <c r="BU53" i="24"/>
  <c r="BR97" i="24"/>
  <c r="AB57" i="7"/>
  <c r="I47" i="7"/>
  <c r="T86" i="25"/>
  <c r="X86" i="25" s="1"/>
  <c r="H28" i="37"/>
  <c r="P16" i="37"/>
  <c r="S16" i="37"/>
  <c r="W16" i="37" s="1"/>
  <c r="P32" i="7"/>
  <c r="O89" i="24"/>
  <c r="BV92" i="24"/>
  <c r="O14" i="25"/>
  <c r="P14" i="25"/>
  <c r="G13" i="24"/>
  <c r="O104" i="25"/>
  <c r="AM62" i="7"/>
  <c r="Y12" i="7"/>
  <c r="F17" i="24"/>
  <c r="G22" i="26"/>
  <c r="N53" i="28"/>
  <c r="AC14" i="28"/>
  <c r="AO14" i="28"/>
  <c r="AO17" i="28" s="1"/>
  <c r="BA14" i="28"/>
  <c r="BA17" i="28" s="1"/>
  <c r="AK25" i="28"/>
  <c r="AW25" i="28"/>
  <c r="BI25" i="28"/>
  <c r="AM61" i="28"/>
  <c r="AE73" i="28"/>
  <c r="AQ73" i="28"/>
  <c r="BC73" i="28"/>
  <c r="BP31" i="28"/>
  <c r="BH73" i="28"/>
  <c r="AJ73" i="28"/>
  <c r="BS88" i="32"/>
  <c r="BW88" i="32" s="1"/>
  <c r="U16" i="37"/>
  <c r="Y16" i="37" s="1"/>
  <c r="Q89" i="24"/>
  <c r="N14" i="25"/>
  <c r="L14" i="25"/>
  <c r="I14" i="25"/>
  <c r="AG44" i="7"/>
  <c r="AZ57" i="7"/>
  <c r="BI12" i="7"/>
  <c r="G76" i="25"/>
  <c r="Y81" i="25"/>
  <c r="Y95" i="25"/>
  <c r="H53" i="28"/>
  <c r="Y25" i="33"/>
  <c r="BU60" i="24"/>
  <c r="BO98" i="24"/>
  <c r="BV28" i="26"/>
  <c r="S17" i="33"/>
  <c r="S34" i="33" s="1"/>
  <c r="P31" i="37"/>
  <c r="U19" i="37"/>
  <c r="Y19" i="37" s="1"/>
  <c r="I27" i="37"/>
  <c r="T23" i="37"/>
  <c r="X23" i="37" s="1"/>
  <c r="BN34" i="37"/>
  <c r="BR34" i="37" s="1"/>
  <c r="BV34" i="37" s="1"/>
  <c r="H31" i="37"/>
  <c r="S23" i="37"/>
  <c r="W23" i="37" s="1"/>
  <c r="BN19" i="37"/>
  <c r="BR19" i="37" s="1"/>
  <c r="BV19" i="37" s="1"/>
  <c r="U27" i="37"/>
  <c r="Y27" i="37" s="1"/>
  <c r="BU47" i="37"/>
  <c r="BV12" i="33"/>
  <c r="BU21" i="33"/>
  <c r="BT132" i="32"/>
  <c r="U111" i="32"/>
  <c r="Y111" i="32" s="1"/>
  <c r="T111" i="32"/>
  <c r="X111" i="32" s="1"/>
  <c r="F43" i="37"/>
  <c r="BJ47" i="37"/>
  <c r="BV23" i="33"/>
  <c r="BV28" i="33"/>
  <c r="Y17" i="33"/>
  <c r="O90" i="24"/>
  <c r="N90" i="24"/>
  <c r="M90" i="24"/>
  <c r="BS90" i="24"/>
  <c r="BU90" i="24" s="1"/>
  <c r="BV90" i="24" s="1"/>
  <c r="H28" i="24"/>
  <c r="BP28" i="24"/>
  <c r="BR28" i="24" s="1"/>
  <c r="BV28" i="24" s="1"/>
  <c r="G109" i="24"/>
  <c r="Q109" i="24" s="1"/>
  <c r="M28" i="24"/>
  <c r="I28" i="24"/>
  <c r="N104" i="25"/>
  <c r="M104" i="25"/>
  <c r="BJ87" i="25"/>
  <c r="BJ78" i="25"/>
  <c r="Y85" i="25"/>
  <c r="L104" i="25"/>
  <c r="K104" i="25"/>
  <c r="BT104" i="25"/>
  <c r="BU104" i="25" s="1"/>
  <c r="BV104" i="25" s="1"/>
  <c r="G98" i="25"/>
  <c r="J104" i="25"/>
  <c r="I104" i="25"/>
  <c r="BQ52" i="37"/>
  <c r="BW13" i="38"/>
  <c r="S45" i="34"/>
  <c r="L27" i="28"/>
  <c r="P66" i="28"/>
  <c r="BT17" i="28"/>
  <c r="I42" i="28"/>
  <c r="K27" i="28"/>
  <c r="K57" i="28"/>
  <c r="T44" i="37"/>
  <c r="BJ51" i="37"/>
  <c r="BK15" i="37"/>
  <c r="I22" i="26"/>
  <c r="M22" i="26"/>
  <c r="Q22" i="26"/>
  <c r="P22" i="26"/>
  <c r="N22" i="26"/>
  <c r="BN22" i="37"/>
  <c r="BR22" i="37" s="1"/>
  <c r="BV22" i="37" s="1"/>
  <c r="P18" i="37"/>
  <c r="H22" i="37"/>
  <c r="U22" i="37"/>
  <c r="Y22" i="37" s="1"/>
  <c r="BN31" i="37"/>
  <c r="BR31" i="37" s="1"/>
  <c r="BV31" i="37" s="1"/>
  <c r="S31" i="37"/>
  <c r="W31" i="37" s="1"/>
  <c r="T18" i="37"/>
  <c r="X18" i="37" s="1"/>
  <c r="BN18" i="37"/>
  <c r="BR18" i="37" s="1"/>
  <c r="BV18" i="37" s="1"/>
  <c r="S19" i="37"/>
  <c r="W19" i="37" s="1"/>
  <c r="P19" i="37"/>
  <c r="P27" i="37"/>
  <c r="U30" i="37"/>
  <c r="Y30" i="37" s="1"/>
  <c r="I30" i="37"/>
  <c r="H14" i="37"/>
  <c r="U23" i="37"/>
  <c r="Y23" i="37" s="1"/>
  <c r="H34" i="37"/>
  <c r="T22" i="37"/>
  <c r="X22" i="37" s="1"/>
  <c r="S18" i="37"/>
  <c r="W18" i="37" s="1"/>
  <c r="P30" i="37"/>
  <c r="P14" i="37"/>
  <c r="T31" i="37"/>
  <c r="X31" i="37" s="1"/>
  <c r="U18" i="37"/>
  <c r="Y18" i="37" s="1"/>
  <c r="T19" i="37"/>
  <c r="X19" i="37" s="1"/>
  <c r="S27" i="37"/>
  <c r="W27" i="37" s="1"/>
  <c r="S30" i="37"/>
  <c r="W30" i="37" s="1"/>
  <c r="AW13" i="37"/>
  <c r="AW38" i="37" s="1"/>
  <c r="BU44" i="34"/>
  <c r="BU56" i="34" s="1"/>
  <c r="K25" i="34"/>
  <c r="J25" i="34"/>
  <c r="L25" i="34"/>
  <c r="N25" i="34"/>
  <c r="H39" i="34"/>
  <c r="Q39" i="34"/>
  <c r="BU40" i="34"/>
  <c r="I25" i="34"/>
  <c r="P25" i="34"/>
  <c r="BU25" i="33"/>
  <c r="M28" i="33"/>
  <c r="BV30" i="33"/>
  <c r="I29" i="33"/>
  <c r="L29" i="33"/>
  <c r="N29" i="33"/>
  <c r="U34" i="33"/>
  <c r="Y21" i="33"/>
  <c r="V17" i="33"/>
  <c r="W24" i="33"/>
  <c r="K30" i="33"/>
  <c r="J30" i="33"/>
  <c r="Q28" i="33"/>
  <c r="X31" i="33"/>
  <c r="BV11" i="33"/>
  <c r="BU17" i="33"/>
  <c r="BS34" i="33"/>
  <c r="BQ34" i="33"/>
  <c r="X17" i="33"/>
  <c r="H15" i="33"/>
  <c r="L15" i="33"/>
  <c r="H13" i="33"/>
  <c r="L13" i="33"/>
  <c r="Q24" i="33"/>
  <c r="H24" i="33"/>
  <c r="J24" i="33"/>
  <c r="K24" i="33"/>
  <c r="Y31" i="33"/>
  <c r="BV12" i="28"/>
  <c r="O60" i="28"/>
  <c r="Y37" i="28"/>
  <c r="H21" i="7"/>
  <c r="L21" i="7"/>
  <c r="P21" i="7"/>
  <c r="S52" i="7"/>
  <c r="W50" i="7"/>
  <c r="W52" i="7" s="1"/>
  <c r="O24" i="7"/>
  <c r="L24" i="7"/>
  <c r="H24" i="7"/>
  <c r="L23" i="7"/>
  <c r="H23" i="7"/>
  <c r="L28" i="7"/>
  <c r="H28" i="7"/>
  <c r="AK69" i="7"/>
  <c r="BG69" i="7"/>
  <c r="BA57" i="7"/>
  <c r="BE69" i="7"/>
  <c r="BK38" i="7"/>
  <c r="H14" i="7"/>
  <c r="L14" i="7"/>
  <c r="H17" i="7"/>
  <c r="L17" i="7"/>
  <c r="AC62" i="7"/>
  <c r="AB69" i="7"/>
  <c r="AB72" i="7" s="1"/>
  <c r="H25" i="7"/>
  <c r="L25" i="7"/>
  <c r="L18" i="7"/>
  <c r="H18" i="7"/>
  <c r="AY62" i="7"/>
  <c r="AX69" i="7"/>
  <c r="T34" i="7"/>
  <c r="BH66" i="7"/>
  <c r="BI66" i="7" s="1"/>
  <c r="BI69" i="7" s="1"/>
  <c r="AP69" i="7"/>
  <c r="Z57" i="7"/>
  <c r="Z72" i="7" s="1"/>
  <c r="H47" i="7"/>
  <c r="H48" i="7" s="1"/>
  <c r="BB69" i="7"/>
  <c r="J27" i="7"/>
  <c r="L27" i="7"/>
  <c r="H27" i="7"/>
  <c r="H10" i="7"/>
  <c r="K10" i="7"/>
  <c r="L16" i="7"/>
  <c r="H26" i="7"/>
  <c r="L26" i="7"/>
  <c r="L19" i="7"/>
  <c r="H19" i="7"/>
  <c r="AS57" i="7"/>
  <c r="BG57" i="7"/>
  <c r="P60" i="25"/>
  <c r="M60" i="25"/>
  <c r="K60" i="25"/>
  <c r="Q60" i="25"/>
  <c r="J60" i="25"/>
  <c r="O60" i="25"/>
  <c r="H60" i="25"/>
  <c r="N60" i="25"/>
  <c r="L60" i="25"/>
  <c r="I60" i="25"/>
  <c r="Y83" i="25"/>
  <c r="G93" i="25"/>
  <c r="W43" i="25"/>
  <c r="W45" i="25"/>
  <c r="G85" i="25"/>
  <c r="G103" i="25"/>
  <c r="Y105" i="25"/>
  <c r="Y84" i="25"/>
  <c r="Y91" i="25"/>
  <c r="G96" i="25"/>
  <c r="F111" i="25"/>
  <c r="W86" i="25"/>
  <c r="W50" i="25"/>
  <c r="S52" i="25"/>
  <c r="S55" i="25" s="1"/>
  <c r="Y90" i="25"/>
  <c r="U106" i="25"/>
  <c r="X51" i="25"/>
  <c r="T52" i="25"/>
  <c r="T55" i="25" s="1"/>
  <c r="BG26" i="25"/>
  <c r="AY26" i="25"/>
  <c r="V26" i="25"/>
  <c r="BI26" i="25"/>
  <c r="BA26" i="25"/>
  <c r="Y26" i="25"/>
  <c r="BC26" i="25"/>
  <c r="AU26" i="25"/>
  <c r="X26" i="25"/>
  <c r="BE26" i="25"/>
  <c r="AW26" i="25"/>
  <c r="AS26" i="25"/>
  <c r="AM26" i="25"/>
  <c r="AE26" i="25"/>
  <c r="AO26" i="25"/>
  <c r="AG26" i="25"/>
  <c r="AI26" i="25"/>
  <c r="AA26" i="25"/>
  <c r="AK26" i="25"/>
  <c r="AC26" i="25"/>
  <c r="BI43" i="25"/>
  <c r="BA43" i="25"/>
  <c r="V43" i="25"/>
  <c r="BC43" i="25"/>
  <c r="Y43" i="25"/>
  <c r="BE43" i="25"/>
  <c r="AW43" i="25"/>
  <c r="X43" i="25"/>
  <c r="BG43" i="25"/>
  <c r="AY43" i="25"/>
  <c r="AO43" i="25"/>
  <c r="AG43" i="25"/>
  <c r="AS43" i="25"/>
  <c r="AQ43" i="25"/>
  <c r="AI43" i="25"/>
  <c r="AA43" i="25"/>
  <c r="AU43" i="25"/>
  <c r="AK43" i="25"/>
  <c r="AC43" i="25"/>
  <c r="AM43" i="25"/>
  <c r="AE43" i="25"/>
  <c r="BE45" i="25"/>
  <c r="AW45" i="25"/>
  <c r="V45" i="25"/>
  <c r="BG45" i="25"/>
  <c r="AY45" i="25"/>
  <c r="Y45" i="25"/>
  <c r="BI45" i="25"/>
  <c r="BA45" i="25"/>
  <c r="AS45" i="25"/>
  <c r="X45" i="25"/>
  <c r="BC45" i="25"/>
  <c r="AU45" i="25"/>
  <c r="AK45" i="25"/>
  <c r="AC45" i="25"/>
  <c r="AM45" i="25"/>
  <c r="AE45" i="25"/>
  <c r="AO45" i="25"/>
  <c r="AG45" i="25"/>
  <c r="AQ45" i="25"/>
  <c r="AI45" i="25"/>
  <c r="AA45" i="25"/>
  <c r="AE66" i="25"/>
  <c r="AD88" i="25"/>
  <c r="AM66" i="25"/>
  <c r="AL88" i="25"/>
  <c r="AU66" i="25"/>
  <c r="AT88" i="25"/>
  <c r="BC66" i="25"/>
  <c r="BB88" i="25"/>
  <c r="X68" i="25"/>
  <c r="BC68" i="25"/>
  <c r="Y68" i="25"/>
  <c r="BE68" i="25"/>
  <c r="V68" i="25"/>
  <c r="BG68" i="25"/>
  <c r="AY68" i="25"/>
  <c r="W68" i="25"/>
  <c r="BI68" i="25"/>
  <c r="BA68" i="25"/>
  <c r="AS68" i="25"/>
  <c r="AQ68" i="25"/>
  <c r="AI68" i="25"/>
  <c r="AU68" i="25"/>
  <c r="AK68" i="25"/>
  <c r="AC68" i="25"/>
  <c r="AW68" i="25"/>
  <c r="AM68" i="25"/>
  <c r="AE68" i="25"/>
  <c r="AO68" i="25"/>
  <c r="AG68" i="25"/>
  <c r="AA68" i="25"/>
  <c r="G70" i="25"/>
  <c r="W70" i="25"/>
  <c r="BG70" i="25"/>
  <c r="AY70" i="25"/>
  <c r="V70" i="25"/>
  <c r="BI70" i="25"/>
  <c r="BA70" i="25"/>
  <c r="Y70" i="25"/>
  <c r="BC70" i="25"/>
  <c r="AU70" i="25"/>
  <c r="X70" i="25"/>
  <c r="BE70" i="25"/>
  <c r="AW70" i="25"/>
  <c r="AM70" i="25"/>
  <c r="AE70" i="25"/>
  <c r="AO70" i="25"/>
  <c r="AG70" i="25"/>
  <c r="AA70" i="25"/>
  <c r="AQ70" i="25"/>
  <c r="AI70" i="25"/>
  <c r="AS70" i="25"/>
  <c r="AK70" i="25"/>
  <c r="AC70" i="25"/>
  <c r="G84" i="25"/>
  <c r="BG84" i="25"/>
  <c r="AY84" i="25"/>
  <c r="BI84" i="25"/>
  <c r="BA84" i="25"/>
  <c r="BC84" i="25"/>
  <c r="AU84" i="25"/>
  <c r="BE84" i="25"/>
  <c r="AW84" i="25"/>
  <c r="AM84" i="25"/>
  <c r="AE84" i="25"/>
  <c r="AO84" i="25"/>
  <c r="AG84" i="25"/>
  <c r="AA84" i="25"/>
  <c r="AQ84" i="25"/>
  <c r="AI84" i="25"/>
  <c r="AS84" i="25"/>
  <c r="AK84" i="25"/>
  <c r="AC84" i="25"/>
  <c r="BE97" i="25"/>
  <c r="BG97" i="25"/>
  <c r="AY97" i="25"/>
  <c r="BI97" i="25"/>
  <c r="BA97" i="25"/>
  <c r="BC97" i="25"/>
  <c r="AU97" i="25"/>
  <c r="AS97" i="25"/>
  <c r="AK97" i="25"/>
  <c r="AC97" i="25"/>
  <c r="AM97" i="25"/>
  <c r="AE97" i="25"/>
  <c r="AO97" i="25"/>
  <c r="AG97" i="25"/>
  <c r="AA97" i="25"/>
  <c r="AW97" i="25"/>
  <c r="AQ97" i="25"/>
  <c r="AI97" i="25"/>
  <c r="W36" i="25"/>
  <c r="W38" i="25"/>
  <c r="W40" i="25"/>
  <c r="F52" i="25"/>
  <c r="F55" i="25" s="1"/>
  <c r="G73" i="25"/>
  <c r="G75" i="25"/>
  <c r="G77" i="25"/>
  <c r="O77" i="25" s="1"/>
  <c r="G80" i="25"/>
  <c r="G82" i="25"/>
  <c r="G90" i="25"/>
  <c r="G92" i="25"/>
  <c r="G94" i="25"/>
  <c r="G97" i="25"/>
  <c r="G102" i="25"/>
  <c r="BO55" i="25"/>
  <c r="U73" i="25"/>
  <c r="Y73" i="25" s="1"/>
  <c r="R77" i="25"/>
  <c r="V77" i="25" s="1"/>
  <c r="R76" i="25"/>
  <c r="V76" i="25" s="1"/>
  <c r="R75" i="25"/>
  <c r="V75" i="25" s="1"/>
  <c r="R74" i="25"/>
  <c r="V74" i="25" s="1"/>
  <c r="R105" i="25"/>
  <c r="V105" i="25" s="1"/>
  <c r="R103" i="25"/>
  <c r="V103" i="25" s="1"/>
  <c r="R102" i="25"/>
  <c r="V102" i="25" s="1"/>
  <c r="R101" i="25"/>
  <c r="V101" i="25" s="1"/>
  <c r="R100" i="25"/>
  <c r="V100" i="25" s="1"/>
  <c r="R99" i="25"/>
  <c r="V99" i="25" s="1"/>
  <c r="R98" i="25"/>
  <c r="V98" i="25" s="1"/>
  <c r="R97" i="25"/>
  <c r="V97" i="25" s="1"/>
  <c r="R96" i="25"/>
  <c r="V96" i="25" s="1"/>
  <c r="R95" i="25"/>
  <c r="V95" i="25" s="1"/>
  <c r="R94" i="25"/>
  <c r="V94" i="25" s="1"/>
  <c r="R93" i="25"/>
  <c r="V93" i="25" s="1"/>
  <c r="R92" i="25"/>
  <c r="V92" i="25" s="1"/>
  <c r="R91" i="25"/>
  <c r="V91" i="25" s="1"/>
  <c r="R90" i="25"/>
  <c r="R86" i="25"/>
  <c r="V86" i="25" s="1"/>
  <c r="R85" i="25"/>
  <c r="V85" i="25" s="1"/>
  <c r="R84" i="25"/>
  <c r="V84" i="25" s="1"/>
  <c r="R83" i="25"/>
  <c r="V83" i="25" s="1"/>
  <c r="R82" i="25"/>
  <c r="V82" i="25" s="1"/>
  <c r="R81" i="25"/>
  <c r="V81" i="25" s="1"/>
  <c r="R80" i="25"/>
  <c r="V80" i="25" s="1"/>
  <c r="BP54" i="25"/>
  <c r="BR53" i="25"/>
  <c r="G17" i="25"/>
  <c r="BG17" i="25"/>
  <c r="AY17" i="25"/>
  <c r="BI17" i="25"/>
  <c r="BA17" i="25"/>
  <c r="BC17" i="25"/>
  <c r="AU17" i="25"/>
  <c r="BE17" i="25"/>
  <c r="AW17" i="25"/>
  <c r="AS17" i="25"/>
  <c r="AM17" i="25"/>
  <c r="AE17" i="25"/>
  <c r="AO17" i="25"/>
  <c r="AG17" i="25"/>
  <c r="AQ17" i="25"/>
  <c r="AI17" i="25"/>
  <c r="AA17" i="25"/>
  <c r="AK17" i="25"/>
  <c r="AC17" i="25"/>
  <c r="X20" i="25"/>
  <c r="BC20" i="25"/>
  <c r="Y20" i="25"/>
  <c r="BE20" i="25"/>
  <c r="AW20" i="25"/>
  <c r="V20" i="25"/>
  <c r="BG20" i="25"/>
  <c r="AY20" i="25"/>
  <c r="BI20" i="25"/>
  <c r="BA20" i="25"/>
  <c r="AS20" i="25"/>
  <c r="AU20" i="25"/>
  <c r="AQ20" i="25"/>
  <c r="AI20" i="25"/>
  <c r="AA20" i="25"/>
  <c r="AK20" i="25"/>
  <c r="AC20" i="25"/>
  <c r="AM20" i="25"/>
  <c r="AE20" i="25"/>
  <c r="AO20" i="25"/>
  <c r="AG20" i="25"/>
  <c r="BG22" i="25"/>
  <c r="AY22" i="25"/>
  <c r="V22" i="25"/>
  <c r="BI22" i="25"/>
  <c r="BA22" i="25"/>
  <c r="Y22" i="25"/>
  <c r="BC22" i="25"/>
  <c r="AU22" i="25"/>
  <c r="X22" i="25"/>
  <c r="BE22" i="25"/>
  <c r="AW22" i="25"/>
  <c r="AM22" i="25"/>
  <c r="AE22" i="25"/>
  <c r="AO22" i="25"/>
  <c r="AG22" i="25"/>
  <c r="AS22" i="25"/>
  <c r="AQ22" i="25"/>
  <c r="AI22" i="25"/>
  <c r="AA22" i="25"/>
  <c r="AK22" i="25"/>
  <c r="AC22" i="25"/>
  <c r="G24" i="25"/>
  <c r="BC24" i="25"/>
  <c r="V24" i="25"/>
  <c r="BE24" i="25"/>
  <c r="AW24" i="25"/>
  <c r="Y24" i="25"/>
  <c r="BG24" i="25"/>
  <c r="AY24" i="25"/>
  <c r="X24" i="25"/>
  <c r="BI24" i="25"/>
  <c r="BA24" i="25"/>
  <c r="AS24" i="25"/>
  <c r="AQ24" i="25"/>
  <c r="AI24" i="25"/>
  <c r="AA24" i="25"/>
  <c r="AK24" i="25"/>
  <c r="AC24" i="25"/>
  <c r="AU24" i="25"/>
  <c r="AM24" i="25"/>
  <c r="AE24" i="25"/>
  <c r="AO24" i="25"/>
  <c r="AG24" i="25"/>
  <c r="BE29" i="25"/>
  <c r="AW29" i="25"/>
  <c r="V29" i="25"/>
  <c r="BG29" i="25"/>
  <c r="AY29" i="25"/>
  <c r="Y29" i="25"/>
  <c r="BI29" i="25"/>
  <c r="BA29" i="25"/>
  <c r="AS29" i="25"/>
  <c r="X29" i="25"/>
  <c r="BC29" i="25"/>
  <c r="AU29" i="25"/>
  <c r="AK29" i="25"/>
  <c r="AC29" i="25"/>
  <c r="AM29" i="25"/>
  <c r="AE29" i="25"/>
  <c r="AO29" i="25"/>
  <c r="AG29" i="25"/>
  <c r="AQ29" i="25"/>
  <c r="AI29" i="25"/>
  <c r="AA29" i="25"/>
  <c r="BG34" i="25"/>
  <c r="AY34" i="25"/>
  <c r="V34" i="25"/>
  <c r="BI34" i="25"/>
  <c r="BA34" i="25"/>
  <c r="Y34" i="25"/>
  <c r="BC34" i="25"/>
  <c r="AU34" i="25"/>
  <c r="X34" i="25"/>
  <c r="BE34" i="25"/>
  <c r="AW34" i="25"/>
  <c r="AM34" i="25"/>
  <c r="AE34" i="25"/>
  <c r="AO34" i="25"/>
  <c r="AG34" i="25"/>
  <c r="AS34" i="25"/>
  <c r="AQ34" i="25"/>
  <c r="AI34" i="25"/>
  <c r="AA34" i="25"/>
  <c r="AK34" i="25"/>
  <c r="AC34" i="25"/>
  <c r="G36" i="25"/>
  <c r="BC36" i="25"/>
  <c r="V36" i="25"/>
  <c r="BE36" i="25"/>
  <c r="AW36" i="25"/>
  <c r="Y36" i="25"/>
  <c r="BG36" i="25"/>
  <c r="AY36" i="25"/>
  <c r="X36" i="25"/>
  <c r="BI36" i="25"/>
  <c r="BA36" i="25"/>
  <c r="AS36" i="25"/>
  <c r="AQ36" i="25"/>
  <c r="AI36" i="25"/>
  <c r="AA36" i="25"/>
  <c r="AK36" i="25"/>
  <c r="AC36" i="25"/>
  <c r="AU36" i="25"/>
  <c r="AM36" i="25"/>
  <c r="AE36" i="25"/>
  <c r="AO36" i="25"/>
  <c r="AG36" i="25"/>
  <c r="BG38" i="25"/>
  <c r="AY38" i="25"/>
  <c r="V38" i="25"/>
  <c r="BI38" i="25"/>
  <c r="BA38" i="25"/>
  <c r="Y38" i="25"/>
  <c r="BC38" i="25"/>
  <c r="AU38" i="25"/>
  <c r="X38" i="25"/>
  <c r="BE38" i="25"/>
  <c r="AW38" i="25"/>
  <c r="AS38" i="25"/>
  <c r="AM38" i="25"/>
  <c r="AE38" i="25"/>
  <c r="AO38" i="25"/>
  <c r="AG38" i="25"/>
  <c r="AQ38" i="25"/>
  <c r="AI38" i="25"/>
  <c r="AA38" i="25"/>
  <c r="AK38" i="25"/>
  <c r="AC38" i="25"/>
  <c r="BC40" i="25"/>
  <c r="V40" i="25"/>
  <c r="BE40" i="25"/>
  <c r="AW40" i="25"/>
  <c r="Y40" i="25"/>
  <c r="BG40" i="25"/>
  <c r="AY40" i="25"/>
  <c r="X40" i="25"/>
  <c r="BI40" i="25"/>
  <c r="BA40" i="25"/>
  <c r="AS40" i="25"/>
  <c r="AU40" i="25"/>
  <c r="AQ40" i="25"/>
  <c r="AI40" i="25"/>
  <c r="AA40" i="25"/>
  <c r="AK40" i="25"/>
  <c r="AC40" i="25"/>
  <c r="AM40" i="25"/>
  <c r="AE40" i="25"/>
  <c r="AO40" i="25"/>
  <c r="AG40" i="25"/>
  <c r="G59" i="25"/>
  <c r="W59" i="25"/>
  <c r="BI59" i="25"/>
  <c r="BA59" i="25"/>
  <c r="V59" i="25"/>
  <c r="BC59" i="25"/>
  <c r="Y59" i="25"/>
  <c r="BE59" i="25"/>
  <c r="AW59" i="25"/>
  <c r="X59" i="25"/>
  <c r="BG59" i="25"/>
  <c r="AY59" i="25"/>
  <c r="AS59" i="25"/>
  <c r="AO59" i="25"/>
  <c r="AG59" i="25"/>
  <c r="AA59" i="25"/>
  <c r="AQ59" i="25"/>
  <c r="AI59" i="25"/>
  <c r="AU59" i="25"/>
  <c r="AK59" i="25"/>
  <c r="AC59" i="25"/>
  <c r="AM59" i="25"/>
  <c r="AE59" i="25"/>
  <c r="G61" i="25"/>
  <c r="W61" i="25"/>
  <c r="BE61" i="25"/>
  <c r="V61" i="25"/>
  <c r="BG61" i="25"/>
  <c r="AY61" i="25"/>
  <c r="Y61" i="25"/>
  <c r="BI61" i="25"/>
  <c r="BA61" i="25"/>
  <c r="AS61" i="25"/>
  <c r="X61" i="25"/>
  <c r="BC61" i="25"/>
  <c r="AU61" i="25"/>
  <c r="AK61" i="25"/>
  <c r="AC61" i="25"/>
  <c r="AM61" i="25"/>
  <c r="AE61" i="25"/>
  <c r="AW61" i="25"/>
  <c r="AO61" i="25"/>
  <c r="AG61" i="25"/>
  <c r="AA61" i="25"/>
  <c r="AQ61" i="25"/>
  <c r="AI61" i="25"/>
  <c r="G63" i="25"/>
  <c r="W63" i="25"/>
  <c r="BI63" i="25"/>
  <c r="BA63" i="25"/>
  <c r="V63" i="25"/>
  <c r="BC63" i="25"/>
  <c r="Y63" i="25"/>
  <c r="BE63" i="25"/>
  <c r="AW63" i="25"/>
  <c r="X63" i="25"/>
  <c r="BG63" i="25"/>
  <c r="AY63" i="25"/>
  <c r="AU63" i="25"/>
  <c r="AO63" i="25"/>
  <c r="AG63" i="25"/>
  <c r="AA63" i="25"/>
  <c r="AQ63" i="25"/>
  <c r="AI63" i="25"/>
  <c r="AS63" i="25"/>
  <c r="AK63" i="25"/>
  <c r="AC63" i="25"/>
  <c r="AM63" i="25"/>
  <c r="AE63" i="25"/>
  <c r="G65" i="25"/>
  <c r="M65" i="25" s="1"/>
  <c r="W65" i="25"/>
  <c r="BE65" i="25"/>
  <c r="V65" i="25"/>
  <c r="BG65" i="25"/>
  <c r="AY65" i="25"/>
  <c r="Y65" i="25"/>
  <c r="BI65" i="25"/>
  <c r="BA65" i="25"/>
  <c r="AS65" i="25"/>
  <c r="X65" i="25"/>
  <c r="BC65" i="25"/>
  <c r="AU65" i="25"/>
  <c r="AW65" i="25"/>
  <c r="AK65" i="25"/>
  <c r="AC65" i="25"/>
  <c r="AM65" i="25"/>
  <c r="AE65" i="25"/>
  <c r="AO65" i="25"/>
  <c r="AG65" i="25"/>
  <c r="AA65" i="25"/>
  <c r="AQ65" i="25"/>
  <c r="AI65" i="25"/>
  <c r="AC66" i="25"/>
  <c r="AB88" i="25"/>
  <c r="AB112" i="25" s="1"/>
  <c r="AB113" i="25" s="1"/>
  <c r="AK66" i="25"/>
  <c r="AJ88" i="25"/>
  <c r="AJ112" i="25" s="1"/>
  <c r="AJ113" i="25" s="1"/>
  <c r="AS66" i="25"/>
  <c r="AR88" i="25"/>
  <c r="AR112" i="25" s="1"/>
  <c r="AR113" i="25" s="1"/>
  <c r="BA66" i="25"/>
  <c r="AZ88" i="25"/>
  <c r="AZ112" i="25" s="1"/>
  <c r="AZ113" i="25" s="1"/>
  <c r="BI66" i="25"/>
  <c r="BH88" i="25"/>
  <c r="BH112" i="25" s="1"/>
  <c r="BH113" i="25" s="1"/>
  <c r="BI85" i="25"/>
  <c r="BA85" i="25"/>
  <c r="BC85" i="25"/>
  <c r="BE85" i="25"/>
  <c r="AW85" i="25"/>
  <c r="BG85" i="25"/>
  <c r="AY85" i="25"/>
  <c r="AO85" i="25"/>
  <c r="AG85" i="25"/>
  <c r="AQ85" i="25"/>
  <c r="AI85" i="25"/>
  <c r="AU85" i="25"/>
  <c r="AS85" i="25"/>
  <c r="AK85" i="25"/>
  <c r="AC85" i="25"/>
  <c r="AA85" i="25"/>
  <c r="AM85" i="25"/>
  <c r="AE85" i="25"/>
  <c r="G95" i="25"/>
  <c r="BI95" i="25"/>
  <c r="BA95" i="25"/>
  <c r="BC95" i="25"/>
  <c r="BE95" i="25"/>
  <c r="AW95" i="25"/>
  <c r="BG95" i="25"/>
  <c r="AY95" i="25"/>
  <c r="AO95" i="25"/>
  <c r="AG95" i="25"/>
  <c r="AA95" i="25"/>
  <c r="AQ95" i="25"/>
  <c r="AI95" i="25"/>
  <c r="AU95" i="25"/>
  <c r="AS95" i="25"/>
  <c r="AK95" i="25"/>
  <c r="AC95" i="25"/>
  <c r="AM95" i="25"/>
  <c r="AE95" i="25"/>
  <c r="G110" i="25"/>
  <c r="W110" i="25"/>
  <c r="BE110" i="25"/>
  <c r="V110" i="25"/>
  <c r="BG110" i="25"/>
  <c r="AY110" i="25"/>
  <c r="Y110" i="25"/>
  <c r="BI110" i="25"/>
  <c r="BA110" i="25"/>
  <c r="X110" i="25"/>
  <c r="BC110" i="25"/>
  <c r="AU110" i="25"/>
  <c r="AS110" i="25"/>
  <c r="AK110" i="25"/>
  <c r="AC110" i="25"/>
  <c r="AW110" i="25"/>
  <c r="AM110" i="25"/>
  <c r="AE110" i="25"/>
  <c r="AO110" i="25"/>
  <c r="AG110" i="25"/>
  <c r="AA110" i="25"/>
  <c r="AQ110" i="25"/>
  <c r="AI110" i="25"/>
  <c r="G50" i="25"/>
  <c r="X50" i="25"/>
  <c r="BE50" i="25"/>
  <c r="AW50" i="25"/>
  <c r="Y50" i="25"/>
  <c r="BG50" i="25"/>
  <c r="AY50" i="25"/>
  <c r="V50" i="25"/>
  <c r="BI50" i="25"/>
  <c r="BA50" i="25"/>
  <c r="AS50" i="25"/>
  <c r="BC50" i="25"/>
  <c r="AU50" i="25"/>
  <c r="AK50" i="25"/>
  <c r="AC50" i="25"/>
  <c r="AM50" i="25"/>
  <c r="AE50" i="25"/>
  <c r="AO50" i="25"/>
  <c r="AG50" i="25"/>
  <c r="AQ50" i="25"/>
  <c r="AI50" i="25"/>
  <c r="AA50" i="25"/>
  <c r="BI103" i="25"/>
  <c r="BA103" i="25"/>
  <c r="BC103" i="25"/>
  <c r="BE103" i="25"/>
  <c r="AW103" i="25"/>
  <c r="BG103" i="25"/>
  <c r="AY103" i="25"/>
  <c r="AO103" i="25"/>
  <c r="AG103" i="25"/>
  <c r="AQ103" i="25"/>
  <c r="AI103" i="25"/>
  <c r="AS103" i="25"/>
  <c r="AK103" i="25"/>
  <c r="AC103" i="25"/>
  <c r="AA103" i="25"/>
  <c r="AU103" i="25"/>
  <c r="AM103" i="25"/>
  <c r="AE103" i="25"/>
  <c r="W108" i="25"/>
  <c r="BI108" i="25"/>
  <c r="V108" i="25"/>
  <c r="BC108" i="25"/>
  <c r="Y108" i="25"/>
  <c r="X108" i="25"/>
  <c r="AQ108" i="25"/>
  <c r="AS108" i="25"/>
  <c r="W25" i="25"/>
  <c r="W44" i="25"/>
  <c r="G100" i="25"/>
  <c r="F106" i="25"/>
  <c r="BT55" i="25"/>
  <c r="T73" i="25"/>
  <c r="X73" i="25" s="1"/>
  <c r="S77" i="25"/>
  <c r="W77" i="25" s="1"/>
  <c r="S76" i="25"/>
  <c r="W76" i="25" s="1"/>
  <c r="S75" i="25"/>
  <c r="W75" i="25" s="1"/>
  <c r="S74" i="25"/>
  <c r="W74" i="25" s="1"/>
  <c r="S105" i="25"/>
  <c r="W105" i="25" s="1"/>
  <c r="S103" i="25"/>
  <c r="W103" i="25" s="1"/>
  <c r="S102" i="25"/>
  <c r="W102" i="25" s="1"/>
  <c r="S101" i="25"/>
  <c r="W101" i="25" s="1"/>
  <c r="S100" i="25"/>
  <c r="W100" i="25" s="1"/>
  <c r="S99" i="25"/>
  <c r="W99" i="25" s="1"/>
  <c r="S98" i="25"/>
  <c r="W98" i="25" s="1"/>
  <c r="S97" i="25"/>
  <c r="W97" i="25" s="1"/>
  <c r="S96" i="25"/>
  <c r="W96" i="25" s="1"/>
  <c r="S95" i="25"/>
  <c r="W95" i="25" s="1"/>
  <c r="S94" i="25"/>
  <c r="W94" i="25" s="1"/>
  <c r="S93" i="25"/>
  <c r="W93" i="25" s="1"/>
  <c r="S92" i="25"/>
  <c r="W92" i="25" s="1"/>
  <c r="S91" i="25"/>
  <c r="W91" i="25" s="1"/>
  <c r="S90" i="25"/>
  <c r="S85" i="25"/>
  <c r="W85" i="25" s="1"/>
  <c r="S84" i="25"/>
  <c r="W84" i="25" s="1"/>
  <c r="S83" i="25"/>
  <c r="W83" i="25" s="1"/>
  <c r="S82" i="25"/>
  <c r="W82" i="25" s="1"/>
  <c r="S81" i="25"/>
  <c r="W81" i="25" s="1"/>
  <c r="S80" i="25"/>
  <c r="W80" i="25" s="1"/>
  <c r="BC44" i="25"/>
  <c r="V44" i="25"/>
  <c r="BE44" i="25"/>
  <c r="AW44" i="25"/>
  <c r="Y44" i="25"/>
  <c r="BG44" i="25"/>
  <c r="AY44" i="25"/>
  <c r="X44" i="25"/>
  <c r="BI44" i="25"/>
  <c r="BA44" i="25"/>
  <c r="AS44" i="25"/>
  <c r="AQ44" i="25"/>
  <c r="AI44" i="25"/>
  <c r="AA44" i="25"/>
  <c r="AU44" i="25"/>
  <c r="AK44" i="25"/>
  <c r="AC44" i="25"/>
  <c r="AM44" i="25"/>
  <c r="AE44" i="25"/>
  <c r="AO44" i="25"/>
  <c r="AG44" i="25"/>
  <c r="G51" i="25"/>
  <c r="W51" i="25"/>
  <c r="W52" i="25" s="1"/>
  <c r="W55" i="25" s="1"/>
  <c r="BG51" i="25"/>
  <c r="AY51" i="25"/>
  <c r="V51" i="25"/>
  <c r="BI51" i="25"/>
  <c r="BA51" i="25"/>
  <c r="Y51" i="25"/>
  <c r="BC51" i="25"/>
  <c r="AU51" i="25"/>
  <c r="BE51" i="25"/>
  <c r="AW51" i="25"/>
  <c r="AM51" i="25"/>
  <c r="AS51" i="25"/>
  <c r="AO51" i="25"/>
  <c r="AG51" i="25"/>
  <c r="AQ51" i="25"/>
  <c r="AI51" i="25"/>
  <c r="AA51" i="25"/>
  <c r="AK51" i="25"/>
  <c r="AC51" i="25"/>
  <c r="AE51" i="25"/>
  <c r="BJ66" i="25"/>
  <c r="F58" i="25"/>
  <c r="AI66" i="25"/>
  <c r="AH88" i="25"/>
  <c r="AQ66" i="25"/>
  <c r="AP88" i="25"/>
  <c r="AY66" i="25"/>
  <c r="AX88" i="25"/>
  <c r="BG66" i="25"/>
  <c r="BF88" i="25"/>
  <c r="G69" i="25"/>
  <c r="W69" i="25"/>
  <c r="BE69" i="25"/>
  <c r="V69" i="25"/>
  <c r="BG69" i="25"/>
  <c r="AY69" i="25"/>
  <c r="Y69" i="25"/>
  <c r="BI69" i="25"/>
  <c r="BA69" i="25"/>
  <c r="AS69" i="25"/>
  <c r="X69" i="25"/>
  <c r="BC69" i="25"/>
  <c r="AU69" i="25"/>
  <c r="AK69" i="25"/>
  <c r="AC69" i="25"/>
  <c r="AW69" i="25"/>
  <c r="AM69" i="25"/>
  <c r="AE69" i="25"/>
  <c r="AO69" i="25"/>
  <c r="AG69" i="25"/>
  <c r="AA69" i="25"/>
  <c r="AQ69" i="25"/>
  <c r="AI69" i="25"/>
  <c r="Q76" i="25"/>
  <c r="H76" i="25"/>
  <c r="BI81" i="25"/>
  <c r="BA81" i="25"/>
  <c r="BC81" i="25"/>
  <c r="BE81" i="25"/>
  <c r="AW81" i="25"/>
  <c r="BG81" i="25"/>
  <c r="AY81" i="25"/>
  <c r="AU81" i="25"/>
  <c r="AO81" i="25"/>
  <c r="AG81" i="25"/>
  <c r="AQ81" i="25"/>
  <c r="AI81" i="25"/>
  <c r="AS81" i="25"/>
  <c r="AK81" i="25"/>
  <c r="AC81" i="25"/>
  <c r="AM81" i="25"/>
  <c r="AE81" i="25"/>
  <c r="AA81" i="25"/>
  <c r="G83" i="25"/>
  <c r="BE83" i="25"/>
  <c r="BG83" i="25"/>
  <c r="AY83" i="25"/>
  <c r="BI83" i="25"/>
  <c r="BA83" i="25"/>
  <c r="BC83" i="25"/>
  <c r="AU83" i="25"/>
  <c r="AS83" i="25"/>
  <c r="AK83" i="25"/>
  <c r="AC83" i="25"/>
  <c r="AM83" i="25"/>
  <c r="AE83" i="25"/>
  <c r="AO83" i="25"/>
  <c r="AG83" i="25"/>
  <c r="AA83" i="25"/>
  <c r="AW83" i="25"/>
  <c r="AQ83" i="25"/>
  <c r="AI83" i="25"/>
  <c r="G91" i="25"/>
  <c r="BI91" i="25"/>
  <c r="BA91" i="25"/>
  <c r="BC91" i="25"/>
  <c r="BE91" i="25"/>
  <c r="AW91" i="25"/>
  <c r="BG91" i="25"/>
  <c r="AY91" i="25"/>
  <c r="AO91" i="25"/>
  <c r="AG91" i="25"/>
  <c r="AA91" i="25"/>
  <c r="AQ91" i="25"/>
  <c r="AI91" i="25"/>
  <c r="AU91" i="25"/>
  <c r="AS91" i="25"/>
  <c r="AK91" i="25"/>
  <c r="AC91" i="25"/>
  <c r="AM91" i="25"/>
  <c r="AE91" i="25"/>
  <c r="W109" i="25"/>
  <c r="V109" i="25"/>
  <c r="BE109" i="25"/>
  <c r="Y109" i="25"/>
  <c r="BG109" i="25"/>
  <c r="X109" i="25"/>
  <c r="BI109" i="25"/>
  <c r="AI109" i="25"/>
  <c r="AK109" i="25"/>
  <c r="AC109" i="25"/>
  <c r="AW109" i="25"/>
  <c r="AM109" i="25"/>
  <c r="AE109" i="25"/>
  <c r="AO109" i="25"/>
  <c r="AG109" i="25"/>
  <c r="AA109" i="25"/>
  <c r="W35" i="25"/>
  <c r="W39" i="25"/>
  <c r="W41" i="25"/>
  <c r="G74" i="25"/>
  <c r="F78" i="25"/>
  <c r="T78" i="25" s="1"/>
  <c r="F87" i="25"/>
  <c r="BU52" i="25"/>
  <c r="BU55" i="25" s="1"/>
  <c r="S73" i="25"/>
  <c r="W73" i="25" s="1"/>
  <c r="T77" i="25"/>
  <c r="X77" i="25" s="1"/>
  <c r="T76" i="25"/>
  <c r="X76" i="25" s="1"/>
  <c r="T75" i="25"/>
  <c r="X75" i="25" s="1"/>
  <c r="T74" i="25"/>
  <c r="X74" i="25" s="1"/>
  <c r="T105" i="25"/>
  <c r="X105" i="25" s="1"/>
  <c r="T103" i="25"/>
  <c r="X103" i="25" s="1"/>
  <c r="T102" i="25"/>
  <c r="X102" i="25" s="1"/>
  <c r="T101" i="25"/>
  <c r="X101" i="25" s="1"/>
  <c r="T100" i="25"/>
  <c r="X100" i="25" s="1"/>
  <c r="T99" i="25"/>
  <c r="X99" i="25" s="1"/>
  <c r="T98" i="25"/>
  <c r="X98" i="25" s="1"/>
  <c r="T97" i="25"/>
  <c r="X97" i="25" s="1"/>
  <c r="T96" i="25"/>
  <c r="X96" i="25" s="1"/>
  <c r="T95" i="25"/>
  <c r="X95" i="25" s="1"/>
  <c r="T94" i="25"/>
  <c r="X94" i="25" s="1"/>
  <c r="T93" i="25"/>
  <c r="X93" i="25" s="1"/>
  <c r="T92" i="25"/>
  <c r="X92" i="25" s="1"/>
  <c r="T91" i="25"/>
  <c r="X91" i="25" s="1"/>
  <c r="T90" i="25"/>
  <c r="T85" i="25"/>
  <c r="X85" i="25" s="1"/>
  <c r="T84" i="25"/>
  <c r="X84" i="25" s="1"/>
  <c r="T83" i="25"/>
  <c r="X83" i="25" s="1"/>
  <c r="T82" i="25"/>
  <c r="X82" i="25" s="1"/>
  <c r="T81" i="25"/>
  <c r="X81" i="25" s="1"/>
  <c r="T80" i="25"/>
  <c r="X80" i="25" s="1"/>
  <c r="V12" i="25"/>
  <c r="BG12" i="25"/>
  <c r="AY12" i="25"/>
  <c r="Y12" i="25"/>
  <c r="BI12" i="25"/>
  <c r="BI18" i="25" s="1"/>
  <c r="BA12" i="25"/>
  <c r="X12" i="25"/>
  <c r="BC12" i="25"/>
  <c r="BC18" i="25" s="1"/>
  <c r="AU12" i="25"/>
  <c r="W12" i="25"/>
  <c r="BE12" i="25"/>
  <c r="AW12" i="25"/>
  <c r="AM12" i="25"/>
  <c r="AM18" i="25" s="1"/>
  <c r="AE12" i="25"/>
  <c r="AE18" i="25" s="1"/>
  <c r="AO12" i="25"/>
  <c r="AG12" i="25"/>
  <c r="AA12" i="25"/>
  <c r="AQ12" i="25"/>
  <c r="AI12" i="25"/>
  <c r="AS12" i="25"/>
  <c r="AK12" i="25"/>
  <c r="AC12" i="25"/>
  <c r="G21" i="25"/>
  <c r="L21" i="25" s="1"/>
  <c r="BE21" i="25"/>
  <c r="AW21" i="25"/>
  <c r="V21" i="25"/>
  <c r="BG21" i="25"/>
  <c r="AY21" i="25"/>
  <c r="Y21" i="25"/>
  <c r="BI21" i="25"/>
  <c r="BA21" i="25"/>
  <c r="AS21" i="25"/>
  <c r="X21" i="25"/>
  <c r="BC21" i="25"/>
  <c r="AU21" i="25"/>
  <c r="AK21" i="25"/>
  <c r="AC21" i="25"/>
  <c r="AM21" i="25"/>
  <c r="AE21" i="25"/>
  <c r="AO21" i="25"/>
  <c r="AG21" i="25"/>
  <c r="AQ21" i="25"/>
  <c r="AI21" i="25"/>
  <c r="AA21" i="25"/>
  <c r="G23" i="25"/>
  <c r="BI23" i="25"/>
  <c r="BA23" i="25"/>
  <c r="V23" i="25"/>
  <c r="BC23" i="25"/>
  <c r="Y23" i="25"/>
  <c r="BE23" i="25"/>
  <c r="AW23" i="25"/>
  <c r="X23" i="25"/>
  <c r="BG23" i="25"/>
  <c r="AY23" i="25"/>
  <c r="AO23" i="25"/>
  <c r="AG23" i="25"/>
  <c r="AS23" i="25"/>
  <c r="AQ23" i="25"/>
  <c r="AI23" i="25"/>
  <c r="AA23" i="25"/>
  <c r="AK23" i="25"/>
  <c r="AC23" i="25"/>
  <c r="AU23" i="25"/>
  <c r="AM23" i="25"/>
  <c r="AE23" i="25"/>
  <c r="BE25" i="25"/>
  <c r="AW25" i="25"/>
  <c r="V25" i="25"/>
  <c r="BG25" i="25"/>
  <c r="AY25" i="25"/>
  <c r="Y25" i="25"/>
  <c r="BI25" i="25"/>
  <c r="BA25" i="25"/>
  <c r="AS25" i="25"/>
  <c r="X25" i="25"/>
  <c r="BC25" i="25"/>
  <c r="AU25" i="25"/>
  <c r="AK25" i="25"/>
  <c r="AC25" i="25"/>
  <c r="AM25" i="25"/>
  <c r="AE25" i="25"/>
  <c r="AO25" i="25"/>
  <c r="AG25" i="25"/>
  <c r="AI25" i="25"/>
  <c r="AA25" i="25"/>
  <c r="BC28" i="25"/>
  <c r="V28" i="25"/>
  <c r="BE28" i="25"/>
  <c r="AW28" i="25"/>
  <c r="Y28" i="25"/>
  <c r="BG28" i="25"/>
  <c r="AY28" i="25"/>
  <c r="X28" i="25"/>
  <c r="BI28" i="25"/>
  <c r="BA28" i="25"/>
  <c r="AS28" i="25"/>
  <c r="AU28" i="25"/>
  <c r="AI28" i="25"/>
  <c r="AA28" i="25"/>
  <c r="AK28" i="25"/>
  <c r="AC28" i="25"/>
  <c r="AM28" i="25"/>
  <c r="AE28" i="25"/>
  <c r="AO28" i="25"/>
  <c r="AG28" i="25"/>
  <c r="BI35" i="25"/>
  <c r="BA35" i="25"/>
  <c r="V35" i="25"/>
  <c r="BC35" i="25"/>
  <c r="Y35" i="25"/>
  <c r="BE35" i="25"/>
  <c r="AW35" i="25"/>
  <c r="X35" i="25"/>
  <c r="BG35" i="25"/>
  <c r="AY35" i="25"/>
  <c r="AO35" i="25"/>
  <c r="AG35" i="25"/>
  <c r="AS35" i="25"/>
  <c r="AQ35" i="25"/>
  <c r="AI35" i="25"/>
  <c r="AA35" i="25"/>
  <c r="AK35" i="25"/>
  <c r="AC35" i="25"/>
  <c r="AU35" i="25"/>
  <c r="AM35" i="25"/>
  <c r="AE35" i="25"/>
  <c r="BE37" i="25"/>
  <c r="AW37" i="25"/>
  <c r="V37" i="25"/>
  <c r="BG37" i="25"/>
  <c r="AY37" i="25"/>
  <c r="Y37" i="25"/>
  <c r="BI37" i="25"/>
  <c r="BA37" i="25"/>
  <c r="AS37" i="25"/>
  <c r="X37" i="25"/>
  <c r="BC37" i="25"/>
  <c r="AU37" i="25"/>
  <c r="AK37" i="25"/>
  <c r="AC37" i="25"/>
  <c r="AM37" i="25"/>
  <c r="AE37" i="25"/>
  <c r="AO37" i="25"/>
  <c r="AG37" i="25"/>
  <c r="AQ37" i="25"/>
  <c r="AI37" i="25"/>
  <c r="AA37" i="25"/>
  <c r="BI39" i="25"/>
  <c r="BA39" i="25"/>
  <c r="V39" i="25"/>
  <c r="BC39" i="25"/>
  <c r="Y39" i="25"/>
  <c r="BE39" i="25"/>
  <c r="AW39" i="25"/>
  <c r="X39" i="25"/>
  <c r="BG39" i="25"/>
  <c r="AY39" i="25"/>
  <c r="AO39" i="25"/>
  <c r="AG39" i="25"/>
  <c r="AU39" i="25"/>
  <c r="AQ39" i="25"/>
  <c r="AI39" i="25"/>
  <c r="AA39" i="25"/>
  <c r="AK39" i="25"/>
  <c r="AC39" i="25"/>
  <c r="AS39" i="25"/>
  <c r="AM39" i="25"/>
  <c r="AE39" i="25"/>
  <c r="G41" i="25"/>
  <c r="BP41" i="25" s="1"/>
  <c r="BR41" i="25" s="1"/>
  <c r="BV41" i="25" s="1"/>
  <c r="BE41" i="25"/>
  <c r="AW41" i="25"/>
  <c r="V41" i="25"/>
  <c r="BG41" i="25"/>
  <c r="AY41" i="25"/>
  <c r="Y41" i="25"/>
  <c r="BI41" i="25"/>
  <c r="BA41" i="25"/>
  <c r="AS41" i="25"/>
  <c r="X41" i="25"/>
  <c r="BC41" i="25"/>
  <c r="AU41" i="25"/>
  <c r="AK41" i="25"/>
  <c r="AC41" i="25"/>
  <c r="AM41" i="25"/>
  <c r="AE41" i="25"/>
  <c r="AO41" i="25"/>
  <c r="AG41" i="25"/>
  <c r="AQ41" i="25"/>
  <c r="AI41" i="25"/>
  <c r="AA41" i="25"/>
  <c r="L53" i="25"/>
  <c r="L54" i="25" s="1"/>
  <c r="L55" i="25" s="1"/>
  <c r="Q53" i="25"/>
  <c r="Q54" i="25" s="1"/>
  <c r="X58" i="25"/>
  <c r="BG58" i="25"/>
  <c r="AY58" i="25"/>
  <c r="Y58" i="25"/>
  <c r="BI58" i="25"/>
  <c r="BA58" i="25"/>
  <c r="V58" i="25"/>
  <c r="BC58" i="25"/>
  <c r="AU58" i="25"/>
  <c r="W58" i="25"/>
  <c r="BE58" i="25"/>
  <c r="AW58" i="25"/>
  <c r="AM58" i="25"/>
  <c r="AE58" i="25"/>
  <c r="AS58" i="25"/>
  <c r="AO58" i="25"/>
  <c r="AG58" i="25"/>
  <c r="AA58" i="25"/>
  <c r="AQ58" i="25"/>
  <c r="AI58" i="25"/>
  <c r="AK58" i="25"/>
  <c r="AC58" i="25"/>
  <c r="G62" i="25"/>
  <c r="W62" i="25"/>
  <c r="BG62" i="25"/>
  <c r="AY62" i="25"/>
  <c r="V62" i="25"/>
  <c r="BI62" i="25"/>
  <c r="BA62" i="25"/>
  <c r="Y62" i="25"/>
  <c r="BC62" i="25"/>
  <c r="AU62" i="25"/>
  <c r="X62" i="25"/>
  <c r="BE62" i="25"/>
  <c r="AW62" i="25"/>
  <c r="AM62" i="25"/>
  <c r="AO62" i="25"/>
  <c r="AG62" i="25"/>
  <c r="AA62" i="25"/>
  <c r="AQ62" i="25"/>
  <c r="AI62" i="25"/>
  <c r="AE62" i="25"/>
  <c r="AS62" i="25"/>
  <c r="AK62" i="25"/>
  <c r="AC62" i="25"/>
  <c r="G64" i="25"/>
  <c r="W64" i="25"/>
  <c r="BC64" i="25"/>
  <c r="V64" i="25"/>
  <c r="BE64" i="25"/>
  <c r="Y64" i="25"/>
  <c r="BG64" i="25"/>
  <c r="AY64" i="25"/>
  <c r="X64" i="25"/>
  <c r="BI64" i="25"/>
  <c r="BA64" i="25"/>
  <c r="AS64" i="25"/>
  <c r="AQ64" i="25"/>
  <c r="AI64" i="25"/>
  <c r="AW64" i="25"/>
  <c r="AK64" i="25"/>
  <c r="AC64" i="25"/>
  <c r="AM64" i="25"/>
  <c r="AE64" i="25"/>
  <c r="AU64" i="25"/>
  <c r="AO64" i="25"/>
  <c r="AG64" i="25"/>
  <c r="AA64" i="25"/>
  <c r="AG66" i="25"/>
  <c r="AF88" i="25"/>
  <c r="AO66" i="25"/>
  <c r="AN88" i="25"/>
  <c r="AW66" i="25"/>
  <c r="AV88" i="25"/>
  <c r="BE66" i="25"/>
  <c r="BD88" i="25"/>
  <c r="BJ71" i="25"/>
  <c r="F68" i="25"/>
  <c r="F71" i="25" s="1"/>
  <c r="G86" i="25"/>
  <c r="BC86" i="25"/>
  <c r="BE86" i="25"/>
  <c r="BG86" i="25"/>
  <c r="AY86" i="25"/>
  <c r="BI86" i="25"/>
  <c r="BA86" i="25"/>
  <c r="AQ86" i="25"/>
  <c r="AI86" i="25"/>
  <c r="AU86" i="25"/>
  <c r="AS86" i="25"/>
  <c r="AK86" i="25"/>
  <c r="AC86" i="25"/>
  <c r="AW86" i="25"/>
  <c r="AM86" i="25"/>
  <c r="AE86" i="25"/>
  <c r="AO86" i="25"/>
  <c r="AG86" i="25"/>
  <c r="AA86" i="25"/>
  <c r="G105" i="25"/>
  <c r="O105" i="25" s="1"/>
  <c r="BE105" i="25"/>
  <c r="BG105" i="25"/>
  <c r="AY105" i="25"/>
  <c r="BI105" i="25"/>
  <c r="BA105" i="25"/>
  <c r="BC105" i="25"/>
  <c r="AU105" i="25"/>
  <c r="AW105" i="25"/>
  <c r="AS105" i="25"/>
  <c r="AK105" i="25"/>
  <c r="AC105" i="25"/>
  <c r="AM105" i="25"/>
  <c r="AE105" i="25"/>
  <c r="AO105" i="25"/>
  <c r="AG105" i="25"/>
  <c r="AA105" i="25"/>
  <c r="AQ105" i="25"/>
  <c r="AI105" i="25"/>
  <c r="W60" i="25"/>
  <c r="BC60" i="25"/>
  <c r="V60" i="25"/>
  <c r="BE60" i="25"/>
  <c r="Y60" i="25"/>
  <c r="BG60" i="25"/>
  <c r="AY60" i="25"/>
  <c r="X60" i="25"/>
  <c r="BI60" i="25"/>
  <c r="BA60" i="25"/>
  <c r="AS60" i="25"/>
  <c r="AQ60" i="25"/>
  <c r="AI60" i="25"/>
  <c r="AU60" i="25"/>
  <c r="AK60" i="25"/>
  <c r="AC60" i="25"/>
  <c r="AM60" i="25"/>
  <c r="AE60" i="25"/>
  <c r="AW60" i="25"/>
  <c r="AO60" i="25"/>
  <c r="AG60" i="25"/>
  <c r="AA60" i="25"/>
  <c r="G99" i="25"/>
  <c r="W17" i="26"/>
  <c r="W18" i="26" s="1"/>
  <c r="F39" i="26"/>
  <c r="V17" i="26"/>
  <c r="BU18" i="26"/>
  <c r="BU33" i="26"/>
  <c r="F33" i="26"/>
  <c r="M36" i="26"/>
  <c r="P36" i="26"/>
  <c r="BP36" i="26"/>
  <c r="BR36" i="26" s="1"/>
  <c r="BV36" i="26" s="1"/>
  <c r="V12" i="26"/>
  <c r="BE12" i="26"/>
  <c r="AW12" i="26"/>
  <c r="AO12" i="26"/>
  <c r="AG12" i="26"/>
  <c r="W12" i="26"/>
  <c r="BC12" i="26"/>
  <c r="AY12" i="26"/>
  <c r="AU12" i="26"/>
  <c r="AM12" i="26"/>
  <c r="AE12" i="26"/>
  <c r="X12" i="26"/>
  <c r="BI12" i="26"/>
  <c r="BA12" i="26"/>
  <c r="AS12" i="26"/>
  <c r="AK12" i="26"/>
  <c r="AC12" i="26"/>
  <c r="Y12" i="26"/>
  <c r="BG12" i="26"/>
  <c r="AQ12" i="26"/>
  <c r="AI12" i="26"/>
  <c r="AA12" i="26"/>
  <c r="V20" i="26"/>
  <c r="BG20" i="26"/>
  <c r="AQ20" i="26"/>
  <c r="AI20" i="26"/>
  <c r="W20" i="26"/>
  <c r="BE20" i="26"/>
  <c r="AW20" i="26"/>
  <c r="AO20" i="26"/>
  <c r="AG20" i="26"/>
  <c r="X20" i="26"/>
  <c r="BC20" i="26"/>
  <c r="AU20" i="26"/>
  <c r="AM20" i="26"/>
  <c r="AE20" i="26"/>
  <c r="Y20" i="26"/>
  <c r="BI20" i="26"/>
  <c r="BA20" i="26"/>
  <c r="AY20" i="26"/>
  <c r="AS20" i="26"/>
  <c r="AK20" i="26"/>
  <c r="AC20" i="26"/>
  <c r="AA20" i="26"/>
  <c r="K22" i="26"/>
  <c r="H22" i="26"/>
  <c r="V25" i="26"/>
  <c r="BG25" i="26"/>
  <c r="AQ25" i="26"/>
  <c r="AI25" i="26"/>
  <c r="W25" i="26"/>
  <c r="BE25" i="26"/>
  <c r="AW25" i="26"/>
  <c r="AO25" i="26"/>
  <c r="AG25" i="26"/>
  <c r="X25" i="26"/>
  <c r="BC25" i="26"/>
  <c r="AU25" i="26"/>
  <c r="AM25" i="26"/>
  <c r="AE25" i="26"/>
  <c r="AA25" i="26"/>
  <c r="Y25" i="26"/>
  <c r="BI25" i="26"/>
  <c r="BA25" i="26"/>
  <c r="AY25" i="26"/>
  <c r="AS25" i="26"/>
  <c r="AK25" i="26"/>
  <c r="AC25" i="26"/>
  <c r="G26" i="26"/>
  <c r="V26" i="26"/>
  <c r="BE26" i="26"/>
  <c r="AW26" i="26"/>
  <c r="AO26" i="26"/>
  <c r="AG26" i="26"/>
  <c r="W26" i="26"/>
  <c r="BC26" i="26"/>
  <c r="AU26" i="26"/>
  <c r="AM26" i="26"/>
  <c r="AE26" i="26"/>
  <c r="X26" i="26"/>
  <c r="BI26" i="26"/>
  <c r="BA26" i="26"/>
  <c r="AS26" i="26"/>
  <c r="AK26" i="26"/>
  <c r="AC26" i="26"/>
  <c r="Y26" i="26"/>
  <c r="BG26" i="26"/>
  <c r="AY26" i="26"/>
  <c r="AQ26" i="26"/>
  <c r="AI26" i="26"/>
  <c r="AA26" i="26"/>
  <c r="G29" i="26"/>
  <c r="BO29" i="26" s="1"/>
  <c r="V29" i="26"/>
  <c r="BI29" i="26"/>
  <c r="BA29" i="26"/>
  <c r="AS29" i="26"/>
  <c r="AK29" i="26"/>
  <c r="AC29" i="26"/>
  <c r="AA29" i="26"/>
  <c r="W29" i="26"/>
  <c r="BG29" i="26"/>
  <c r="AY29" i="26"/>
  <c r="AQ29" i="26"/>
  <c r="AI29" i="26"/>
  <c r="X29" i="26"/>
  <c r="BE29" i="26"/>
  <c r="AW29" i="26"/>
  <c r="AO29" i="26"/>
  <c r="AG29" i="26"/>
  <c r="Y29" i="26"/>
  <c r="BC29" i="26"/>
  <c r="AU29" i="26"/>
  <c r="AM29" i="26"/>
  <c r="AE29" i="26"/>
  <c r="K30" i="26"/>
  <c r="H30" i="26"/>
  <c r="G13" i="26"/>
  <c r="Y13" i="26"/>
  <c r="BI13" i="26"/>
  <c r="BA13" i="26"/>
  <c r="AY13" i="26"/>
  <c r="AS13" i="26"/>
  <c r="AK13" i="26"/>
  <c r="AC13" i="26"/>
  <c r="AA13" i="26"/>
  <c r="X13" i="26"/>
  <c r="BG13" i="26"/>
  <c r="AQ13" i="26"/>
  <c r="AI13" i="26"/>
  <c r="W13" i="26"/>
  <c r="BE13" i="26"/>
  <c r="AW13" i="26"/>
  <c r="AO13" i="26"/>
  <c r="AG13" i="26"/>
  <c r="V13" i="26"/>
  <c r="V14" i="26" s="1"/>
  <c r="BC13" i="26"/>
  <c r="AU13" i="26"/>
  <c r="AM13" i="26"/>
  <c r="AE13" i="26"/>
  <c r="G17" i="26"/>
  <c r="BO17" i="26" s="1"/>
  <c r="BC17" i="26"/>
  <c r="BC18" i="26" s="1"/>
  <c r="AU17" i="26"/>
  <c r="AU18" i="26" s="1"/>
  <c r="AM17" i="26"/>
  <c r="AM18" i="26" s="1"/>
  <c r="AE17" i="26"/>
  <c r="AE18" i="26" s="1"/>
  <c r="BI17" i="26"/>
  <c r="BI18" i="26" s="1"/>
  <c r="BA17" i="26"/>
  <c r="BA18" i="26" s="1"/>
  <c r="AY17" i="26"/>
  <c r="AY18" i="26" s="1"/>
  <c r="AS17" i="26"/>
  <c r="AS18" i="26" s="1"/>
  <c r="AK17" i="26"/>
  <c r="AK18" i="26" s="1"/>
  <c r="AC17" i="26"/>
  <c r="AC18" i="26" s="1"/>
  <c r="BG17" i="26"/>
  <c r="BG18" i="26" s="1"/>
  <c r="AQ17" i="26"/>
  <c r="AQ18" i="26" s="1"/>
  <c r="AI17" i="26"/>
  <c r="AI18" i="26" s="1"/>
  <c r="AA17" i="26"/>
  <c r="BE17" i="26"/>
  <c r="BE18" i="26" s="1"/>
  <c r="AW17" i="26"/>
  <c r="AW18" i="26" s="1"/>
  <c r="AO17" i="26"/>
  <c r="AO18" i="26" s="1"/>
  <c r="AG17" i="26"/>
  <c r="AG18" i="26" s="1"/>
  <c r="BJ27" i="26"/>
  <c r="F25" i="26"/>
  <c r="F27" i="26" s="1"/>
  <c r="G31" i="26"/>
  <c r="BO31" i="26" s="1"/>
  <c r="BR31" i="26" s="1"/>
  <c r="BV31" i="26" s="1"/>
  <c r="V31" i="26"/>
  <c r="BE31" i="26"/>
  <c r="AW31" i="26"/>
  <c r="AO31" i="26"/>
  <c r="AG31" i="26"/>
  <c r="W31" i="26"/>
  <c r="BC31" i="26"/>
  <c r="AU31" i="26"/>
  <c r="AM31" i="26"/>
  <c r="AE31" i="26"/>
  <c r="X31" i="26"/>
  <c r="BI31" i="26"/>
  <c r="BA31" i="26"/>
  <c r="AS31" i="26"/>
  <c r="AK31" i="26"/>
  <c r="AC31" i="26"/>
  <c r="AA31" i="26"/>
  <c r="Y31" i="26"/>
  <c r="BG31" i="26"/>
  <c r="AY31" i="26"/>
  <c r="AQ31" i="26"/>
  <c r="AI31" i="26"/>
  <c r="G37" i="26"/>
  <c r="V37" i="26"/>
  <c r="BC37" i="26"/>
  <c r="AU37" i="26"/>
  <c r="AM37" i="26"/>
  <c r="AE37" i="26"/>
  <c r="W37" i="26"/>
  <c r="BI37" i="26"/>
  <c r="BA37" i="26"/>
  <c r="AS37" i="26"/>
  <c r="AK37" i="26"/>
  <c r="AC37" i="26"/>
  <c r="X37" i="26"/>
  <c r="BG37" i="26"/>
  <c r="AY37" i="26"/>
  <c r="AQ37" i="26"/>
  <c r="AI37" i="26"/>
  <c r="AA37" i="26"/>
  <c r="Y37" i="26"/>
  <c r="BE37" i="26"/>
  <c r="AW37" i="26"/>
  <c r="AO37" i="26"/>
  <c r="AG37" i="26"/>
  <c r="G16" i="26"/>
  <c r="Y17" i="26"/>
  <c r="Y18" i="26" s="1"/>
  <c r="BJ41" i="26"/>
  <c r="BJ14" i="26"/>
  <c r="F12" i="26"/>
  <c r="F14" i="26" s="1"/>
  <c r="T18" i="26"/>
  <c r="T42" i="26" s="1"/>
  <c r="X17" i="26"/>
  <c r="G21" i="26"/>
  <c r="P21" i="26" s="1"/>
  <c r="V21" i="26"/>
  <c r="BE21" i="26"/>
  <c r="AW21" i="26"/>
  <c r="AO21" i="26"/>
  <c r="AG21" i="26"/>
  <c r="W21" i="26"/>
  <c r="BC21" i="26"/>
  <c r="AU21" i="26"/>
  <c r="AM21" i="26"/>
  <c r="AE21" i="26"/>
  <c r="AA21" i="26"/>
  <c r="X21" i="26"/>
  <c r="BI21" i="26"/>
  <c r="BA21" i="26"/>
  <c r="AY21" i="26"/>
  <c r="AS21" i="26"/>
  <c r="AK21" i="26"/>
  <c r="AC21" i="26"/>
  <c r="Y21" i="26"/>
  <c r="BG21" i="26"/>
  <c r="AQ21" i="26"/>
  <c r="AI21" i="26"/>
  <c r="V35" i="26"/>
  <c r="BG35" i="26"/>
  <c r="AY35" i="26"/>
  <c r="AQ35" i="26"/>
  <c r="AI35" i="26"/>
  <c r="AA35" i="26"/>
  <c r="W35" i="26"/>
  <c r="BE35" i="26"/>
  <c r="AW35" i="26"/>
  <c r="AO35" i="26"/>
  <c r="AG35" i="26"/>
  <c r="X35" i="26"/>
  <c r="BC35" i="26"/>
  <c r="AU35" i="26"/>
  <c r="AM35" i="26"/>
  <c r="AE35" i="26"/>
  <c r="Y35" i="26"/>
  <c r="BI35" i="26"/>
  <c r="BA35" i="26"/>
  <c r="AS35" i="26"/>
  <c r="AK35" i="26"/>
  <c r="AC35" i="26"/>
  <c r="V40" i="26"/>
  <c r="V41" i="26" s="1"/>
  <c r="BG40" i="26"/>
  <c r="BG41" i="26" s="1"/>
  <c r="AY40" i="26"/>
  <c r="AY41" i="26" s="1"/>
  <c r="AQ40" i="26"/>
  <c r="AQ41" i="26" s="1"/>
  <c r="AI40" i="26"/>
  <c r="AI41" i="26" s="1"/>
  <c r="AA40" i="26"/>
  <c r="AA41" i="26" s="1"/>
  <c r="W40" i="26"/>
  <c r="W41" i="26" s="1"/>
  <c r="BE40" i="26"/>
  <c r="BE41" i="26" s="1"/>
  <c r="AW40" i="26"/>
  <c r="AW41" i="26" s="1"/>
  <c r="AO40" i="26"/>
  <c r="AO41" i="26" s="1"/>
  <c r="AG40" i="26"/>
  <c r="AG41" i="26" s="1"/>
  <c r="X40" i="26"/>
  <c r="X41" i="26" s="1"/>
  <c r="BC40" i="26"/>
  <c r="BC41" i="26" s="1"/>
  <c r="AU40" i="26"/>
  <c r="AU41" i="26" s="1"/>
  <c r="AM40" i="26"/>
  <c r="AM41" i="26" s="1"/>
  <c r="AE40" i="26"/>
  <c r="AE41" i="26" s="1"/>
  <c r="Y40" i="26"/>
  <c r="Y41" i="26" s="1"/>
  <c r="BI40" i="26"/>
  <c r="BI41" i="26" s="1"/>
  <c r="BA40" i="26"/>
  <c r="BA41" i="26" s="1"/>
  <c r="AS40" i="26"/>
  <c r="AS41" i="26" s="1"/>
  <c r="AK40" i="26"/>
  <c r="AK41" i="26" s="1"/>
  <c r="AC40" i="26"/>
  <c r="AC41" i="26" s="1"/>
  <c r="BJ23" i="26"/>
  <c r="F20" i="26"/>
  <c r="F23" i="26" s="1"/>
  <c r="V22" i="26"/>
  <c r="BC22" i="26"/>
  <c r="AU22" i="26"/>
  <c r="AM22" i="26"/>
  <c r="AE22" i="26"/>
  <c r="AA22" i="26"/>
  <c r="W22" i="26"/>
  <c r="BI22" i="26"/>
  <c r="BA22" i="26"/>
  <c r="AY22" i="26"/>
  <c r="AS22" i="26"/>
  <c r="AK22" i="26"/>
  <c r="AC22" i="26"/>
  <c r="X22" i="26"/>
  <c r="BG22" i="26"/>
  <c r="AQ22" i="26"/>
  <c r="AI22" i="26"/>
  <c r="Y22" i="26"/>
  <c r="BE22" i="26"/>
  <c r="AW22" i="26"/>
  <c r="AO22" i="26"/>
  <c r="AG22" i="26"/>
  <c r="G32" i="26"/>
  <c r="I32" i="26" s="1"/>
  <c r="V32" i="26"/>
  <c r="BC32" i="26"/>
  <c r="AU32" i="26"/>
  <c r="AM32" i="26"/>
  <c r="AE32" i="26"/>
  <c r="W32" i="26"/>
  <c r="BI32" i="26"/>
  <c r="BA32" i="26"/>
  <c r="AS32" i="26"/>
  <c r="AK32" i="26"/>
  <c r="AC32" i="26"/>
  <c r="AA32" i="26"/>
  <c r="X32" i="26"/>
  <c r="BG32" i="26"/>
  <c r="AY32" i="26"/>
  <c r="AQ32" i="26"/>
  <c r="AI32" i="26"/>
  <c r="Y32" i="26"/>
  <c r="BE32" i="26"/>
  <c r="AW32" i="26"/>
  <c r="AO32" i="26"/>
  <c r="AG32" i="26"/>
  <c r="G38" i="26"/>
  <c r="O38" i="26" s="1"/>
  <c r="V38" i="26"/>
  <c r="BI38" i="26"/>
  <c r="BA38" i="26"/>
  <c r="AS38" i="26"/>
  <c r="AK38" i="26"/>
  <c r="AC38" i="26"/>
  <c r="W38" i="26"/>
  <c r="BG38" i="26"/>
  <c r="AY38" i="26"/>
  <c r="AQ38" i="26"/>
  <c r="AI38" i="26"/>
  <c r="AA38" i="26"/>
  <c r="X38" i="26"/>
  <c r="BE38" i="26"/>
  <c r="AW38" i="26"/>
  <c r="AO38" i="26"/>
  <c r="AG38" i="26"/>
  <c r="Y38" i="26"/>
  <c r="BC38" i="26"/>
  <c r="AU38" i="26"/>
  <c r="AM38" i="26"/>
  <c r="AE38" i="26"/>
  <c r="BJ18" i="26"/>
  <c r="G35" i="26"/>
  <c r="Q35" i="26" s="1"/>
  <c r="G40" i="26"/>
  <c r="Q72" i="24"/>
  <c r="M72" i="24"/>
  <c r="L72" i="24"/>
  <c r="O72" i="24"/>
  <c r="N72" i="24"/>
  <c r="I72" i="24"/>
  <c r="P72" i="24"/>
  <c r="BS72" i="24"/>
  <c r="BU72" i="24" s="1"/>
  <c r="BV72" i="24" s="1"/>
  <c r="K72" i="24"/>
  <c r="M108" i="24"/>
  <c r="J108" i="24"/>
  <c r="N108" i="24"/>
  <c r="I108" i="24"/>
  <c r="H108" i="24"/>
  <c r="BT108" i="24"/>
  <c r="BU108" i="24" s="1"/>
  <c r="BV108" i="24" s="1"/>
  <c r="K108" i="24"/>
  <c r="BT104" i="24"/>
  <c r="BU104" i="24" s="1"/>
  <c r="BV104" i="24" s="1"/>
  <c r="P104" i="24"/>
  <c r="J104" i="24"/>
  <c r="H104" i="24"/>
  <c r="N104" i="24"/>
  <c r="Q104" i="24"/>
  <c r="I104" i="24"/>
  <c r="BS75" i="24"/>
  <c r="BU75" i="24" s="1"/>
  <c r="BV75" i="24" s="1"/>
  <c r="J75" i="24"/>
  <c r="P75" i="24"/>
  <c r="Q75" i="24"/>
  <c r="I81" i="24"/>
  <c r="K81" i="24"/>
  <c r="L81" i="24"/>
  <c r="BS81" i="24"/>
  <c r="BU81" i="24" s="1"/>
  <c r="BV81" i="24" s="1"/>
  <c r="M81" i="24"/>
  <c r="N81" i="24"/>
  <c r="O81" i="24"/>
  <c r="P81" i="24"/>
  <c r="Q81" i="24"/>
  <c r="H81" i="24"/>
  <c r="J81" i="24"/>
  <c r="S13" i="24"/>
  <c r="W13" i="24" s="1"/>
  <c r="Y15" i="24"/>
  <c r="W23" i="24"/>
  <c r="S14" i="24"/>
  <c r="W14" i="24" s="1"/>
  <c r="R15" i="24"/>
  <c r="V15" i="24" s="1"/>
  <c r="W55" i="24"/>
  <c r="O73" i="24"/>
  <c r="P73" i="24"/>
  <c r="Q73" i="24"/>
  <c r="H73" i="24"/>
  <c r="J73" i="24"/>
  <c r="M73" i="24"/>
  <c r="I73" i="24"/>
  <c r="K73" i="24"/>
  <c r="L73" i="24"/>
  <c r="BS73" i="24"/>
  <c r="BU73" i="24" s="1"/>
  <c r="BV73" i="24" s="1"/>
  <c r="N73" i="24"/>
  <c r="Q78" i="24"/>
  <c r="O78" i="24"/>
  <c r="M78" i="24"/>
  <c r="BS78" i="24"/>
  <c r="BU78" i="24" s="1"/>
  <c r="BV78" i="24" s="1"/>
  <c r="N78" i="24"/>
  <c r="P78" i="24"/>
  <c r="Q107" i="24"/>
  <c r="P107" i="24"/>
  <c r="M107" i="24"/>
  <c r="N107" i="24"/>
  <c r="O107" i="24"/>
  <c r="BT107" i="24"/>
  <c r="BU107" i="24" s="1"/>
  <c r="BV107" i="24" s="1"/>
  <c r="M109" i="24"/>
  <c r="X13" i="24"/>
  <c r="Q20" i="24"/>
  <c r="J20" i="24"/>
  <c r="Q80" i="24"/>
  <c r="BS80" i="24"/>
  <c r="BU80" i="24" s="1"/>
  <c r="BV80" i="24" s="1"/>
  <c r="K80" i="24"/>
  <c r="P80" i="24"/>
  <c r="M80" i="24"/>
  <c r="L80" i="24"/>
  <c r="O80" i="24"/>
  <c r="N80" i="24"/>
  <c r="I80" i="24"/>
  <c r="O96" i="24"/>
  <c r="I96" i="24"/>
  <c r="BS96" i="24"/>
  <c r="BU96" i="24" s="1"/>
  <c r="BV96" i="24" s="1"/>
  <c r="BT111" i="24"/>
  <c r="BU111" i="24" s="1"/>
  <c r="BV111" i="24" s="1"/>
  <c r="H111" i="24"/>
  <c r="L111" i="24"/>
  <c r="I111" i="24"/>
  <c r="K111" i="24"/>
  <c r="Q111" i="24"/>
  <c r="J111" i="24"/>
  <c r="Y49" i="24"/>
  <c r="U53" i="24"/>
  <c r="I74" i="24"/>
  <c r="Q74" i="24"/>
  <c r="J74" i="24"/>
  <c r="O74" i="24"/>
  <c r="P74" i="24"/>
  <c r="H74" i="24"/>
  <c r="BS84" i="24"/>
  <c r="BU84" i="24" s="1"/>
  <c r="BV84" i="24" s="1"/>
  <c r="M84" i="24"/>
  <c r="N84" i="24"/>
  <c r="I84" i="24"/>
  <c r="K84" i="24"/>
  <c r="O84" i="24"/>
  <c r="P84" i="24"/>
  <c r="Q84" i="24"/>
  <c r="H84" i="24"/>
  <c r="J84" i="24"/>
  <c r="L84" i="24"/>
  <c r="O103" i="24"/>
  <c r="M103" i="24"/>
  <c r="H103" i="24"/>
  <c r="L103" i="24"/>
  <c r="BT103" i="24"/>
  <c r="BU103" i="24" s="1"/>
  <c r="BV103" i="24" s="1"/>
  <c r="N103" i="24"/>
  <c r="K103" i="24"/>
  <c r="Q76" i="24"/>
  <c r="BS76" i="24"/>
  <c r="BU76" i="24" s="1"/>
  <c r="BV76" i="24" s="1"/>
  <c r="K76" i="24"/>
  <c r="P76" i="24"/>
  <c r="M76" i="24"/>
  <c r="L76" i="24"/>
  <c r="I76" i="24"/>
  <c r="O76" i="24"/>
  <c r="N76" i="24"/>
  <c r="O91" i="24"/>
  <c r="H91" i="24"/>
  <c r="BS91" i="24"/>
  <c r="BU91" i="24" s="1"/>
  <c r="BV91" i="24" s="1"/>
  <c r="J91" i="24"/>
  <c r="K91" i="24"/>
  <c r="I91" i="24"/>
  <c r="O94" i="24"/>
  <c r="J94" i="24"/>
  <c r="M94" i="24"/>
  <c r="O105" i="24"/>
  <c r="P105" i="24"/>
  <c r="Q105" i="24"/>
  <c r="I105" i="24"/>
  <c r="J105" i="24"/>
  <c r="N105" i="24"/>
  <c r="H105" i="24"/>
  <c r="K105" i="24"/>
  <c r="L105" i="24"/>
  <c r="BT105" i="24"/>
  <c r="BU105" i="24" s="1"/>
  <c r="BV105" i="24" s="1"/>
  <c r="M105" i="24"/>
  <c r="Q113" i="24"/>
  <c r="I113" i="24"/>
  <c r="J113" i="24"/>
  <c r="O113" i="24"/>
  <c r="H113" i="24"/>
  <c r="K113" i="24"/>
  <c r="L113" i="24"/>
  <c r="BT113" i="24"/>
  <c r="BU113" i="24" s="1"/>
  <c r="BV113" i="24" s="1"/>
  <c r="M113" i="24"/>
  <c r="N113" i="24"/>
  <c r="P113" i="24"/>
  <c r="G12" i="24"/>
  <c r="K12" i="24" s="1"/>
  <c r="W12" i="24"/>
  <c r="BI12" i="24"/>
  <c r="BE12" i="24"/>
  <c r="BA12" i="24"/>
  <c r="AW12" i="24"/>
  <c r="AS12" i="24"/>
  <c r="AO12" i="24"/>
  <c r="AK12" i="24"/>
  <c r="X12" i="24"/>
  <c r="Y12" i="24"/>
  <c r="BG12" i="24"/>
  <c r="BC12" i="24"/>
  <c r="AY12" i="24"/>
  <c r="AU12" i="24"/>
  <c r="AQ12" i="24"/>
  <c r="AM12" i="24"/>
  <c r="AI12" i="24"/>
  <c r="V12" i="24"/>
  <c r="AG12" i="24"/>
  <c r="AC12" i="24"/>
  <c r="AE12" i="24"/>
  <c r="AA12" i="24"/>
  <c r="X49" i="24"/>
  <c r="W49" i="24"/>
  <c r="BG49" i="24"/>
  <c r="BC49" i="24"/>
  <c r="AY49" i="24"/>
  <c r="AU49" i="24"/>
  <c r="AQ49" i="24"/>
  <c r="AM49" i="24"/>
  <c r="AI49" i="24"/>
  <c r="V49" i="24"/>
  <c r="BI49" i="24"/>
  <c r="BE49" i="24"/>
  <c r="BA49" i="24"/>
  <c r="AW49" i="24"/>
  <c r="AS49" i="24"/>
  <c r="AO49" i="24"/>
  <c r="AK49" i="24"/>
  <c r="AG49" i="24"/>
  <c r="AC49" i="24"/>
  <c r="AE49" i="24"/>
  <c r="AA49" i="24"/>
  <c r="F63" i="24"/>
  <c r="F65" i="24" s="1"/>
  <c r="BJ65" i="24"/>
  <c r="H21" i="24"/>
  <c r="BP21" i="24"/>
  <c r="BR21" i="24" s="1"/>
  <c r="U16" i="24"/>
  <c r="Y16" i="24" s="1"/>
  <c r="T44" i="24"/>
  <c r="F43" i="24"/>
  <c r="BG15" i="24"/>
  <c r="BC15" i="24"/>
  <c r="AY15" i="24"/>
  <c r="AU15" i="24"/>
  <c r="AQ15" i="24"/>
  <c r="AM15" i="24"/>
  <c r="AI15" i="24"/>
  <c r="BI15" i="24"/>
  <c r="BE15" i="24"/>
  <c r="BA15" i="24"/>
  <c r="AW15" i="24"/>
  <c r="AS15" i="24"/>
  <c r="AO15" i="24"/>
  <c r="AK15" i="24"/>
  <c r="AG15" i="24"/>
  <c r="AC15" i="24"/>
  <c r="AA15" i="24"/>
  <c r="AE15" i="24"/>
  <c r="BJ44" i="24"/>
  <c r="F19" i="24"/>
  <c r="G24" i="24"/>
  <c r="M24" i="24" s="1"/>
  <c r="X24" i="24"/>
  <c r="BI24" i="24"/>
  <c r="BG24" i="24"/>
  <c r="BC24" i="24"/>
  <c r="AY24" i="24"/>
  <c r="AU24" i="24"/>
  <c r="AQ24" i="24"/>
  <c r="AM24" i="24"/>
  <c r="AI24" i="24"/>
  <c r="V24" i="24"/>
  <c r="Y24" i="24"/>
  <c r="BE24" i="24"/>
  <c r="BA24" i="24"/>
  <c r="AW24" i="24"/>
  <c r="AS24" i="24"/>
  <c r="AO24" i="24"/>
  <c r="AK24" i="24"/>
  <c r="AG24" i="24"/>
  <c r="AC24" i="24"/>
  <c r="AA24" i="24"/>
  <c r="AE24" i="24"/>
  <c r="X27" i="24"/>
  <c r="BE27" i="24"/>
  <c r="BA27" i="24"/>
  <c r="AW27" i="24"/>
  <c r="AS27" i="24"/>
  <c r="AO27" i="24"/>
  <c r="AK27" i="24"/>
  <c r="AG27" i="24"/>
  <c r="V27" i="24"/>
  <c r="BI27" i="24"/>
  <c r="BG27" i="24"/>
  <c r="BC27" i="24"/>
  <c r="AY27" i="24"/>
  <c r="AU27" i="24"/>
  <c r="AQ27" i="24"/>
  <c r="AM27" i="24"/>
  <c r="AI27" i="24"/>
  <c r="AE27" i="24"/>
  <c r="Y27" i="24"/>
  <c r="AC27" i="24"/>
  <c r="AA27" i="24"/>
  <c r="X29" i="24"/>
  <c r="BG29" i="24"/>
  <c r="BC29" i="24"/>
  <c r="AY29" i="24"/>
  <c r="AU29" i="24"/>
  <c r="AQ29" i="24"/>
  <c r="AM29" i="24"/>
  <c r="AI29" i="24"/>
  <c r="V29" i="24"/>
  <c r="BE29" i="24"/>
  <c r="BA29" i="24"/>
  <c r="AW29" i="24"/>
  <c r="AS29" i="24"/>
  <c r="AO29" i="24"/>
  <c r="AK29" i="24"/>
  <c r="AG29" i="24"/>
  <c r="Y29" i="24"/>
  <c r="AE29" i="24"/>
  <c r="AC29" i="24"/>
  <c r="AA29" i="24"/>
  <c r="BK29" i="24" s="1"/>
  <c r="F33" i="24"/>
  <c r="G33" i="24" s="1"/>
  <c r="Q33" i="24" s="1"/>
  <c r="X35" i="24"/>
  <c r="BE35" i="24"/>
  <c r="BA35" i="24"/>
  <c r="AW35" i="24"/>
  <c r="AS35" i="24"/>
  <c r="AO35" i="24"/>
  <c r="AK35" i="24"/>
  <c r="V35" i="24"/>
  <c r="BI35" i="24"/>
  <c r="BG35" i="24"/>
  <c r="BC35" i="24"/>
  <c r="AY35" i="24"/>
  <c r="AU35" i="24"/>
  <c r="AQ35" i="24"/>
  <c r="AM35" i="24"/>
  <c r="AI35" i="24"/>
  <c r="AE35" i="24"/>
  <c r="Y35" i="24"/>
  <c r="AG35" i="24"/>
  <c r="AC35" i="24"/>
  <c r="AA35" i="24"/>
  <c r="X40" i="24"/>
  <c r="BI40" i="24"/>
  <c r="BG40" i="24"/>
  <c r="BC40" i="24"/>
  <c r="AY40" i="24"/>
  <c r="AU40" i="24"/>
  <c r="AQ40" i="24"/>
  <c r="AM40" i="24"/>
  <c r="AI40" i="24"/>
  <c r="V40" i="24"/>
  <c r="Y40" i="24"/>
  <c r="BE40" i="24"/>
  <c r="BA40" i="24"/>
  <c r="AW40" i="24"/>
  <c r="AS40" i="24"/>
  <c r="AO40" i="24"/>
  <c r="AK40" i="24"/>
  <c r="AG40" i="24"/>
  <c r="AE40" i="24"/>
  <c r="AC40" i="24"/>
  <c r="AA40" i="24"/>
  <c r="F42" i="24"/>
  <c r="G42" i="24" s="1"/>
  <c r="BJ53" i="24"/>
  <c r="F48" i="24"/>
  <c r="F53" i="24" s="1"/>
  <c r="X71" i="24"/>
  <c r="BG71" i="24"/>
  <c r="BC71" i="24"/>
  <c r="AY71" i="24"/>
  <c r="AU71" i="24"/>
  <c r="AQ71" i="24"/>
  <c r="AM71" i="24"/>
  <c r="AI71" i="24"/>
  <c r="W71" i="24"/>
  <c r="V71" i="24"/>
  <c r="BE71" i="24"/>
  <c r="BA71" i="24"/>
  <c r="AW71" i="24"/>
  <c r="AS71" i="24"/>
  <c r="AO71" i="24"/>
  <c r="AK71" i="24"/>
  <c r="AG71" i="24"/>
  <c r="Y71" i="24"/>
  <c r="BI71" i="24"/>
  <c r="AE71" i="24"/>
  <c r="AC71" i="24"/>
  <c r="AA71" i="24"/>
  <c r="X86" i="24"/>
  <c r="BI86" i="24"/>
  <c r="W86" i="24"/>
  <c r="BG86" i="24"/>
  <c r="BC86" i="24"/>
  <c r="AY86" i="24"/>
  <c r="AU86" i="24"/>
  <c r="AQ86" i="24"/>
  <c r="AM86" i="24"/>
  <c r="AI86" i="24"/>
  <c r="V86" i="24"/>
  <c r="Y86" i="24"/>
  <c r="BE86" i="24"/>
  <c r="BA86" i="24"/>
  <c r="AW86" i="24"/>
  <c r="AS86" i="24"/>
  <c r="AO86" i="24"/>
  <c r="AK86" i="24"/>
  <c r="AG86" i="24"/>
  <c r="AC86" i="24"/>
  <c r="AA86" i="24"/>
  <c r="AE86" i="24"/>
  <c r="X109" i="24"/>
  <c r="BI109" i="24"/>
  <c r="W109" i="24"/>
  <c r="BG109" i="24"/>
  <c r="BC109" i="24"/>
  <c r="AY109" i="24"/>
  <c r="AU109" i="24"/>
  <c r="AQ109" i="24"/>
  <c r="AM109" i="24"/>
  <c r="AI109" i="24"/>
  <c r="V109" i="24"/>
  <c r="Y109" i="24"/>
  <c r="BE109" i="24"/>
  <c r="BA109" i="24"/>
  <c r="AW109" i="24"/>
  <c r="AS109" i="24"/>
  <c r="AO109" i="24"/>
  <c r="AK109" i="24"/>
  <c r="AG109" i="24"/>
  <c r="AC109" i="24"/>
  <c r="AA109" i="24"/>
  <c r="AE109" i="24"/>
  <c r="X115" i="24"/>
  <c r="W115" i="24"/>
  <c r="BE115" i="24"/>
  <c r="BA115" i="24"/>
  <c r="AW115" i="24"/>
  <c r="AS115" i="24"/>
  <c r="AO115" i="24"/>
  <c r="AK115" i="24"/>
  <c r="V115" i="24"/>
  <c r="BI115" i="24"/>
  <c r="Y115" i="24"/>
  <c r="BG115" i="24"/>
  <c r="BC115" i="24"/>
  <c r="AY115" i="24"/>
  <c r="AU115" i="24"/>
  <c r="AQ115" i="24"/>
  <c r="AM115" i="24"/>
  <c r="AI115" i="24"/>
  <c r="AE115" i="24"/>
  <c r="AG115" i="24"/>
  <c r="AC115" i="24"/>
  <c r="AA115" i="24"/>
  <c r="J51" i="24"/>
  <c r="P102" i="24"/>
  <c r="O102" i="24"/>
  <c r="O101" i="24"/>
  <c r="BV55" i="24"/>
  <c r="M95" i="24"/>
  <c r="Q36" i="24"/>
  <c r="I31" i="24"/>
  <c r="P31" i="24"/>
  <c r="BP31" i="24"/>
  <c r="BR31" i="24" s="1"/>
  <c r="BV31" i="24" s="1"/>
  <c r="I30" i="24"/>
  <c r="Q34" i="24"/>
  <c r="K34" i="24"/>
  <c r="L90" i="24"/>
  <c r="K90" i="24"/>
  <c r="H90" i="24"/>
  <c r="G15" i="24"/>
  <c r="Q15" i="24" s="1"/>
  <c r="R13" i="24"/>
  <c r="R16" i="24"/>
  <c r="V16" i="24" s="1"/>
  <c r="S15" i="24"/>
  <c r="W15" i="24" s="1"/>
  <c r="T14" i="24"/>
  <c r="X14" i="24" s="1"/>
  <c r="G14" i="24"/>
  <c r="Q14" i="24" s="1"/>
  <c r="BE14" i="24"/>
  <c r="BA14" i="24"/>
  <c r="AW14" i="24"/>
  <c r="AS14" i="24"/>
  <c r="AO14" i="24"/>
  <c r="AK14" i="24"/>
  <c r="AG14" i="24"/>
  <c r="BG14" i="24"/>
  <c r="BC14" i="24"/>
  <c r="AY14" i="24"/>
  <c r="AU14" i="24"/>
  <c r="AQ14" i="24"/>
  <c r="AM14" i="24"/>
  <c r="AI14" i="24"/>
  <c r="AE14" i="24"/>
  <c r="BI14" i="24"/>
  <c r="AC14" i="24"/>
  <c r="AA14" i="24"/>
  <c r="G29" i="24"/>
  <c r="O29" i="24" s="1"/>
  <c r="F40" i="24"/>
  <c r="S40" i="24" s="1"/>
  <c r="W40" i="24" s="1"/>
  <c r="X51" i="24"/>
  <c r="BI51" i="24"/>
  <c r="W51" i="24"/>
  <c r="BE51" i="24"/>
  <c r="BA51" i="24"/>
  <c r="AW51" i="24"/>
  <c r="AS51" i="24"/>
  <c r="AO51" i="24"/>
  <c r="AK51" i="24"/>
  <c r="V51" i="24"/>
  <c r="Y51" i="24"/>
  <c r="BG51" i="24"/>
  <c r="BC51" i="24"/>
  <c r="AY51" i="24"/>
  <c r="AU51" i="24"/>
  <c r="AQ51" i="24"/>
  <c r="AM51" i="24"/>
  <c r="AI51" i="24"/>
  <c r="AA51" i="24"/>
  <c r="AG51" i="24"/>
  <c r="AC51" i="24"/>
  <c r="AE51" i="24"/>
  <c r="BK51" i="24" s="1"/>
  <c r="X58" i="24"/>
  <c r="BE58" i="24"/>
  <c r="BA58" i="24"/>
  <c r="AW58" i="24"/>
  <c r="AS58" i="24"/>
  <c r="AO58" i="24"/>
  <c r="AK58" i="24"/>
  <c r="W58" i="24"/>
  <c r="V58" i="24"/>
  <c r="BI58" i="24"/>
  <c r="BI60" i="24" s="1"/>
  <c r="BG58" i="24"/>
  <c r="BC58" i="24"/>
  <c r="AY58" i="24"/>
  <c r="AU58" i="24"/>
  <c r="AQ58" i="24"/>
  <c r="AM58" i="24"/>
  <c r="AI58" i="24"/>
  <c r="AE58" i="24"/>
  <c r="Y58" i="24"/>
  <c r="AG58" i="24"/>
  <c r="AC58" i="24"/>
  <c r="AA58" i="24"/>
  <c r="X114" i="24"/>
  <c r="BG114" i="24"/>
  <c r="BC114" i="24"/>
  <c r="AY114" i="24"/>
  <c r="AU114" i="24"/>
  <c r="AQ114" i="24"/>
  <c r="AM114" i="24"/>
  <c r="AI114" i="24"/>
  <c r="W114" i="24"/>
  <c r="V114" i="24"/>
  <c r="BE114" i="24"/>
  <c r="BA114" i="24"/>
  <c r="AW114" i="24"/>
  <c r="AS114" i="24"/>
  <c r="AO114" i="24"/>
  <c r="AK114" i="24"/>
  <c r="AG114" i="24"/>
  <c r="Y114" i="24"/>
  <c r="BI114" i="24"/>
  <c r="AE114" i="24"/>
  <c r="AC114" i="24"/>
  <c r="AA114" i="24"/>
  <c r="BG16" i="24"/>
  <c r="BC16" i="24"/>
  <c r="AY16" i="24"/>
  <c r="AU16" i="24"/>
  <c r="AQ16" i="24"/>
  <c r="AM16" i="24"/>
  <c r="AI16" i="24"/>
  <c r="BI16" i="24"/>
  <c r="BE16" i="24"/>
  <c r="BA16" i="24"/>
  <c r="AW16" i="24"/>
  <c r="AS16" i="24"/>
  <c r="AO16" i="24"/>
  <c r="AK16" i="24"/>
  <c r="AG16" i="24"/>
  <c r="AA16" i="24"/>
  <c r="AE16" i="24"/>
  <c r="AC16" i="24"/>
  <c r="X28" i="24"/>
  <c r="BI28" i="24"/>
  <c r="BG28" i="24"/>
  <c r="BC28" i="24"/>
  <c r="AY28" i="24"/>
  <c r="AU28" i="24"/>
  <c r="AQ28" i="24"/>
  <c r="AM28" i="24"/>
  <c r="AI28" i="24"/>
  <c r="V28" i="24"/>
  <c r="Y28" i="24"/>
  <c r="BE28" i="24"/>
  <c r="BA28" i="24"/>
  <c r="AW28" i="24"/>
  <c r="AS28" i="24"/>
  <c r="AO28" i="24"/>
  <c r="BK28" i="24" s="1"/>
  <c r="AK28" i="24"/>
  <c r="AG28" i="24"/>
  <c r="AC28" i="24"/>
  <c r="AA28" i="24"/>
  <c r="AE28" i="24"/>
  <c r="X33" i="24"/>
  <c r="BI33" i="24"/>
  <c r="BG33" i="24"/>
  <c r="BC33" i="24"/>
  <c r="AY33" i="24"/>
  <c r="AU33" i="24"/>
  <c r="AQ33" i="24"/>
  <c r="AM33" i="24"/>
  <c r="AI33" i="24"/>
  <c r="V33" i="24"/>
  <c r="BE33" i="24"/>
  <c r="BA33" i="24"/>
  <c r="AW33" i="24"/>
  <c r="AS33" i="24"/>
  <c r="AO33" i="24"/>
  <c r="AK33" i="24"/>
  <c r="AG33" i="24"/>
  <c r="Y33" i="24"/>
  <c r="AE33" i="24"/>
  <c r="AC33" i="24"/>
  <c r="AA33" i="24"/>
  <c r="X48" i="24"/>
  <c r="BE48" i="24"/>
  <c r="BA48" i="24"/>
  <c r="AW48" i="24"/>
  <c r="AS48" i="24"/>
  <c r="AO48" i="24"/>
  <c r="AK48" i="24"/>
  <c r="W48" i="24"/>
  <c r="V48" i="24"/>
  <c r="BG48" i="24"/>
  <c r="BC48" i="24"/>
  <c r="AY48" i="24"/>
  <c r="AU48" i="24"/>
  <c r="AQ48" i="24"/>
  <c r="AM48" i="24"/>
  <c r="AI48" i="24"/>
  <c r="AE48" i="24"/>
  <c r="Y48" i="24"/>
  <c r="BI48" i="24"/>
  <c r="AC48" i="24"/>
  <c r="AG48" i="24"/>
  <c r="AA48" i="24"/>
  <c r="X50" i="24"/>
  <c r="BG50" i="24"/>
  <c r="BC50" i="24"/>
  <c r="AY50" i="24"/>
  <c r="AU50" i="24"/>
  <c r="AQ50" i="24"/>
  <c r="AM50" i="24"/>
  <c r="AI50" i="24"/>
  <c r="W50" i="24"/>
  <c r="BI50" i="24"/>
  <c r="V50" i="24"/>
  <c r="BE50" i="24"/>
  <c r="BA50" i="24"/>
  <c r="AW50" i="24"/>
  <c r="AS50" i="24"/>
  <c r="AO50" i="24"/>
  <c r="AK50" i="24"/>
  <c r="AG50" i="24"/>
  <c r="Y50" i="24"/>
  <c r="AE50" i="24"/>
  <c r="AA50" i="24"/>
  <c r="AC50" i="24"/>
  <c r="W89" i="24"/>
  <c r="X89" i="24"/>
  <c r="BI89" i="24"/>
  <c r="BE89" i="24"/>
  <c r="BA89" i="24"/>
  <c r="AW89" i="24"/>
  <c r="AS89" i="24"/>
  <c r="AO89" i="24"/>
  <c r="AK89" i="24"/>
  <c r="Y89" i="24"/>
  <c r="V89" i="24"/>
  <c r="BG89" i="24"/>
  <c r="BC89" i="24"/>
  <c r="AY89" i="24"/>
  <c r="AU89" i="24"/>
  <c r="AQ89" i="24"/>
  <c r="AM89" i="24"/>
  <c r="AI89" i="24"/>
  <c r="AE89" i="24"/>
  <c r="AG89" i="24"/>
  <c r="AA89" i="24"/>
  <c r="AC89" i="24"/>
  <c r="X91" i="24"/>
  <c r="W91" i="24"/>
  <c r="BG91" i="24"/>
  <c r="BC91" i="24"/>
  <c r="AY91" i="24"/>
  <c r="AU91" i="24"/>
  <c r="AQ91" i="24"/>
  <c r="AM91" i="24"/>
  <c r="AI91" i="24"/>
  <c r="V91" i="24"/>
  <c r="Y91" i="24"/>
  <c r="BI91" i="24"/>
  <c r="BE91" i="24"/>
  <c r="BA91" i="24"/>
  <c r="AW91" i="24"/>
  <c r="AS91" i="24"/>
  <c r="AO91" i="24"/>
  <c r="AK91" i="24"/>
  <c r="AG91" i="24"/>
  <c r="AC91" i="24"/>
  <c r="AE91" i="24"/>
  <c r="AA91" i="24"/>
  <c r="N102" i="24"/>
  <c r="M102" i="24"/>
  <c r="BT102" i="24"/>
  <c r="BU102" i="24" s="1"/>
  <c r="BV102" i="24" s="1"/>
  <c r="L101" i="24"/>
  <c r="BV115" i="24"/>
  <c r="N31" i="24"/>
  <c r="L31" i="24"/>
  <c r="H31" i="24"/>
  <c r="N34" i="24"/>
  <c r="I34" i="24"/>
  <c r="J90" i="24"/>
  <c r="I90" i="24"/>
  <c r="Q90" i="24"/>
  <c r="G16" i="24"/>
  <c r="T53" i="24"/>
  <c r="F97" i="24"/>
  <c r="U13" i="24"/>
  <c r="S16" i="24"/>
  <c r="W16" i="24" s="1"/>
  <c r="T15" i="24"/>
  <c r="X15" i="24" s="1"/>
  <c r="U14" i="24"/>
  <c r="Y14" i="24" s="1"/>
  <c r="G23" i="24"/>
  <c r="X23" i="24"/>
  <c r="BE23" i="24"/>
  <c r="BA23" i="24"/>
  <c r="AW23" i="24"/>
  <c r="AS23" i="24"/>
  <c r="AO23" i="24"/>
  <c r="AK23" i="24"/>
  <c r="AG23" i="24"/>
  <c r="V23" i="24"/>
  <c r="BI23" i="24"/>
  <c r="BG23" i="24"/>
  <c r="BC23" i="24"/>
  <c r="AY23" i="24"/>
  <c r="AU23" i="24"/>
  <c r="AQ23" i="24"/>
  <c r="AM23" i="24"/>
  <c r="AI23" i="24"/>
  <c r="AE23" i="24"/>
  <c r="Y23" i="24"/>
  <c r="AC23" i="24"/>
  <c r="AA23" i="24"/>
  <c r="X34" i="24"/>
  <c r="BE34" i="24"/>
  <c r="BA34" i="24"/>
  <c r="AW34" i="24"/>
  <c r="AS34" i="24"/>
  <c r="AO34" i="24"/>
  <c r="AK34" i="24"/>
  <c r="V34" i="24"/>
  <c r="Y34" i="24"/>
  <c r="BI34" i="24"/>
  <c r="BG34" i="24"/>
  <c r="BC34" i="24"/>
  <c r="AY34" i="24"/>
  <c r="AU34" i="24"/>
  <c r="AQ34" i="24"/>
  <c r="AM34" i="24"/>
  <c r="AI34" i="24"/>
  <c r="AE34" i="24"/>
  <c r="AG34" i="24"/>
  <c r="AC34" i="24"/>
  <c r="AA34" i="24"/>
  <c r="W47" i="24"/>
  <c r="X47" i="24"/>
  <c r="BE47" i="24"/>
  <c r="BA47" i="24"/>
  <c r="BA53" i="24" s="1"/>
  <c r="AW47" i="24"/>
  <c r="AS47" i="24"/>
  <c r="AO47" i="24"/>
  <c r="AK47" i="24"/>
  <c r="Y47" i="24"/>
  <c r="BI47" i="24"/>
  <c r="V47" i="24"/>
  <c r="BG47" i="24"/>
  <c r="BC47" i="24"/>
  <c r="AY47" i="24"/>
  <c r="AU47" i="24"/>
  <c r="AQ47" i="24"/>
  <c r="AM47" i="24"/>
  <c r="AI47" i="24"/>
  <c r="AG47" i="24"/>
  <c r="AE47" i="24"/>
  <c r="AC47" i="24"/>
  <c r="AA47" i="24"/>
  <c r="BE19" i="24"/>
  <c r="BA19" i="24"/>
  <c r="AW19" i="24"/>
  <c r="AS19" i="24"/>
  <c r="AO19" i="24"/>
  <c r="AK19" i="24"/>
  <c r="AG19" i="24"/>
  <c r="X19" i="24"/>
  <c r="BI19" i="24"/>
  <c r="Y19" i="24"/>
  <c r="BG19" i="24"/>
  <c r="BC19" i="24"/>
  <c r="AY19" i="24"/>
  <c r="AU19" i="24"/>
  <c r="AQ19" i="24"/>
  <c r="AM19" i="24"/>
  <c r="AI19" i="24"/>
  <c r="AE19" i="24"/>
  <c r="V19" i="24"/>
  <c r="AA19" i="24"/>
  <c r="AC19" i="24"/>
  <c r="X22" i="24"/>
  <c r="BE22" i="24"/>
  <c r="BA22" i="24"/>
  <c r="AW22" i="24"/>
  <c r="AS22" i="24"/>
  <c r="AO22" i="24"/>
  <c r="AK22" i="24"/>
  <c r="AG22" i="24"/>
  <c r="V22" i="24"/>
  <c r="Y22" i="24"/>
  <c r="BI22" i="24"/>
  <c r="BG22" i="24"/>
  <c r="BC22" i="24"/>
  <c r="AY22" i="24"/>
  <c r="AU22" i="24"/>
  <c r="AQ22" i="24"/>
  <c r="AM22" i="24"/>
  <c r="AI22" i="24"/>
  <c r="AE22" i="24"/>
  <c r="AC22" i="24"/>
  <c r="AA22" i="24"/>
  <c r="F27" i="24"/>
  <c r="G27" i="24" s="1"/>
  <c r="F35" i="24"/>
  <c r="G35" i="24" s="1"/>
  <c r="P35" i="24" s="1"/>
  <c r="X39" i="24"/>
  <c r="BE39" i="24"/>
  <c r="BA39" i="24"/>
  <c r="AW39" i="24"/>
  <c r="AS39" i="24"/>
  <c r="AO39" i="24"/>
  <c r="AK39" i="24"/>
  <c r="V39" i="24"/>
  <c r="BI39" i="24"/>
  <c r="BG39" i="24"/>
  <c r="BC39" i="24"/>
  <c r="AY39" i="24"/>
  <c r="AU39" i="24"/>
  <c r="AQ39" i="24"/>
  <c r="AM39" i="24"/>
  <c r="AI39" i="24"/>
  <c r="AE39" i="24"/>
  <c r="Y39" i="24"/>
  <c r="AC39" i="24"/>
  <c r="AA39" i="24"/>
  <c r="AG39" i="24"/>
  <c r="F41" i="24"/>
  <c r="G41" i="24" s="1"/>
  <c r="X64" i="24"/>
  <c r="X65" i="24" s="1"/>
  <c r="W64" i="24"/>
  <c r="W65" i="24" s="1"/>
  <c r="BI64" i="24"/>
  <c r="BI65" i="24" s="1"/>
  <c r="BG64" i="24"/>
  <c r="BG65" i="24" s="1"/>
  <c r="BC64" i="24"/>
  <c r="BC65" i="24" s="1"/>
  <c r="AY64" i="24"/>
  <c r="AY65" i="24" s="1"/>
  <c r="AU64" i="24"/>
  <c r="AU65" i="24" s="1"/>
  <c r="AQ64" i="24"/>
  <c r="AQ65" i="24" s="1"/>
  <c r="AM64" i="24"/>
  <c r="AM65" i="24" s="1"/>
  <c r="AI64" i="24"/>
  <c r="AI65" i="24" s="1"/>
  <c r="V64" i="24"/>
  <c r="V65" i="24" s="1"/>
  <c r="Y64" i="24"/>
  <c r="Y65" i="24" s="1"/>
  <c r="BE64" i="24"/>
  <c r="BE65" i="24" s="1"/>
  <c r="BA64" i="24"/>
  <c r="BA65" i="24" s="1"/>
  <c r="AW64" i="24"/>
  <c r="AW65" i="24" s="1"/>
  <c r="AS64" i="24"/>
  <c r="AS65" i="24" s="1"/>
  <c r="AO64" i="24"/>
  <c r="AO65" i="24" s="1"/>
  <c r="AK64" i="24"/>
  <c r="AK65" i="24" s="1"/>
  <c r="AG64" i="24"/>
  <c r="AG65" i="24" s="1"/>
  <c r="AC64" i="24"/>
  <c r="AC65" i="24" s="1"/>
  <c r="AA64" i="24"/>
  <c r="AA65" i="24" s="1"/>
  <c r="AE64" i="24"/>
  <c r="AE65" i="24" s="1"/>
  <c r="X85" i="24"/>
  <c r="BE85" i="24"/>
  <c r="BA85" i="24"/>
  <c r="AW85" i="24"/>
  <c r="AS85" i="24"/>
  <c r="AO85" i="24"/>
  <c r="AK85" i="24"/>
  <c r="W85" i="24"/>
  <c r="BI85" i="24"/>
  <c r="V85" i="24"/>
  <c r="BG85" i="24"/>
  <c r="BC85" i="24"/>
  <c r="AY85" i="24"/>
  <c r="AU85" i="24"/>
  <c r="AQ85" i="24"/>
  <c r="AM85" i="24"/>
  <c r="AI85" i="24"/>
  <c r="Y85" i="24"/>
  <c r="AC85" i="24"/>
  <c r="AA85" i="24"/>
  <c r="AA87" i="24" s="1"/>
  <c r="AG85" i="24"/>
  <c r="AE85" i="24"/>
  <c r="X110" i="24"/>
  <c r="BG110" i="24"/>
  <c r="BC110" i="24"/>
  <c r="AY110" i="24"/>
  <c r="AU110" i="24"/>
  <c r="AQ110" i="24"/>
  <c r="AM110" i="24"/>
  <c r="AI110" i="24"/>
  <c r="W110" i="24"/>
  <c r="V110" i="24"/>
  <c r="BE110" i="24"/>
  <c r="BA110" i="24"/>
  <c r="AW110" i="24"/>
  <c r="AS110" i="24"/>
  <c r="AO110" i="24"/>
  <c r="AK110" i="24"/>
  <c r="AG110" i="24"/>
  <c r="Y110" i="24"/>
  <c r="BI110" i="24"/>
  <c r="AE110" i="24"/>
  <c r="AC110" i="24"/>
  <c r="AA110" i="24"/>
  <c r="X108" i="24"/>
  <c r="BE108" i="24"/>
  <c r="BA108" i="24"/>
  <c r="AW108" i="24"/>
  <c r="AS108" i="24"/>
  <c r="AO108" i="24"/>
  <c r="AK108" i="24"/>
  <c r="W108" i="24"/>
  <c r="BI108" i="24"/>
  <c r="V108" i="24"/>
  <c r="BG108" i="24"/>
  <c r="BG116" i="24" s="1"/>
  <c r="BC108" i="24"/>
  <c r="AY108" i="24"/>
  <c r="AU108" i="24"/>
  <c r="AQ108" i="24"/>
  <c r="AM108" i="24"/>
  <c r="AI108" i="24"/>
  <c r="Y108" i="24"/>
  <c r="AC108" i="24"/>
  <c r="AA108" i="24"/>
  <c r="AG108" i="24"/>
  <c r="AE108" i="24"/>
  <c r="X37" i="24"/>
  <c r="BI37" i="24"/>
  <c r="BG37" i="24"/>
  <c r="BC37" i="24"/>
  <c r="AY37" i="24"/>
  <c r="AU37" i="24"/>
  <c r="AQ37" i="24"/>
  <c r="AM37" i="24"/>
  <c r="AI37" i="24"/>
  <c r="V37" i="24"/>
  <c r="BE37" i="24"/>
  <c r="BA37" i="24"/>
  <c r="AW37" i="24"/>
  <c r="AS37" i="24"/>
  <c r="AO37" i="24"/>
  <c r="AK37" i="24"/>
  <c r="AG37" i="24"/>
  <c r="Y37" i="24"/>
  <c r="AE37" i="24"/>
  <c r="AC37" i="24"/>
  <c r="AA37" i="24"/>
  <c r="X96" i="24"/>
  <c r="BG96" i="24"/>
  <c r="BC96" i="24"/>
  <c r="AY96" i="24"/>
  <c r="AU96" i="24"/>
  <c r="AQ96" i="24"/>
  <c r="AM96" i="24"/>
  <c r="AI96" i="24"/>
  <c r="W96" i="24"/>
  <c r="V96" i="24"/>
  <c r="BI96" i="24"/>
  <c r="BE96" i="24"/>
  <c r="BA96" i="24"/>
  <c r="AW96" i="24"/>
  <c r="AS96" i="24"/>
  <c r="AO96" i="24"/>
  <c r="AK96" i="24"/>
  <c r="AG96" i="24"/>
  <c r="Y96" i="24"/>
  <c r="AE96" i="24"/>
  <c r="AA96" i="24"/>
  <c r="AC96" i="24"/>
  <c r="O51" i="24"/>
  <c r="L102" i="24"/>
  <c r="K102" i="24"/>
  <c r="P36" i="24"/>
  <c r="G97" i="24"/>
  <c r="J31" i="24"/>
  <c r="Q31" i="24"/>
  <c r="J34" i="24"/>
  <c r="L34" i="24"/>
  <c r="P90" i="24"/>
  <c r="G49" i="24"/>
  <c r="BJ116" i="24"/>
  <c r="BV93" i="24"/>
  <c r="G47" i="24"/>
  <c r="R98" i="24"/>
  <c r="W28" i="24"/>
  <c r="Z40" i="38"/>
  <c r="Z42" i="38" s="1"/>
  <c r="V42" i="38"/>
  <c r="Z29" i="38"/>
  <c r="Z37" i="38" s="1"/>
  <c r="V37" i="38"/>
  <c r="W23" i="38"/>
  <c r="Y16" i="38"/>
  <c r="U20" i="38"/>
  <c r="I28" i="38"/>
  <c r="R28" i="38"/>
  <c r="R33" i="38"/>
  <c r="I33" i="38"/>
  <c r="R40" i="38"/>
  <c r="M40" i="38"/>
  <c r="U37" i="38"/>
  <c r="Y29" i="38"/>
  <c r="Y37" i="38" s="1"/>
  <c r="W12" i="38"/>
  <c r="Z12" i="38"/>
  <c r="Y12" i="38"/>
  <c r="X12" i="38"/>
  <c r="W19" i="38"/>
  <c r="Z19" i="38"/>
  <c r="Y19" i="38"/>
  <c r="X19" i="38"/>
  <c r="X47" i="38"/>
  <c r="H47" i="38"/>
  <c r="W47" i="38"/>
  <c r="Z47" i="38"/>
  <c r="Y47" i="38"/>
  <c r="S17" i="38"/>
  <c r="H17" i="38"/>
  <c r="T17" i="38"/>
  <c r="X17" i="38" s="1"/>
  <c r="V17" i="38"/>
  <c r="Z17" i="38" s="1"/>
  <c r="J30" i="38"/>
  <c r="R30" i="38"/>
  <c r="M30" i="38"/>
  <c r="I30" i="38"/>
  <c r="BW12" i="38"/>
  <c r="BW14" i="38"/>
  <c r="BV20" i="38"/>
  <c r="BV25" i="38"/>
  <c r="BU53" i="38"/>
  <c r="Y40" i="38"/>
  <c r="Y42" i="38" s="1"/>
  <c r="U42" i="38"/>
  <c r="W22" i="38"/>
  <c r="W29" i="38"/>
  <c r="W37" i="38" s="1"/>
  <c r="H29" i="38"/>
  <c r="X46" i="38"/>
  <c r="W46" i="38"/>
  <c r="H46" i="38"/>
  <c r="Z46" i="38"/>
  <c r="Y46" i="38"/>
  <c r="W16" i="38"/>
  <c r="H16" i="38"/>
  <c r="M35" i="38"/>
  <c r="R35" i="38"/>
  <c r="I31" i="38"/>
  <c r="J31" i="38"/>
  <c r="N31" i="38"/>
  <c r="BP53" i="38"/>
  <c r="Z16" i="38"/>
  <c r="X40" i="38"/>
  <c r="X42" i="38" s="1"/>
  <c r="T42" i="38"/>
  <c r="X29" i="38"/>
  <c r="X37" i="38" s="1"/>
  <c r="T37" i="38"/>
  <c r="Z11" i="38"/>
  <c r="Z13" i="38" s="1"/>
  <c r="W11" i="38"/>
  <c r="X11" i="38"/>
  <c r="X13" i="38" s="1"/>
  <c r="Y11" i="38"/>
  <c r="X45" i="38"/>
  <c r="W45" i="38"/>
  <c r="Z45" i="38"/>
  <c r="H45" i="38"/>
  <c r="Y45" i="38"/>
  <c r="R36" i="38"/>
  <c r="M36" i="38"/>
  <c r="H19" i="38"/>
  <c r="J19" i="38" s="1"/>
  <c r="H34" i="28"/>
  <c r="J34" i="28"/>
  <c r="O53" i="28"/>
  <c r="L59" i="28"/>
  <c r="L57" i="28"/>
  <c r="BJ25" i="28"/>
  <c r="AG50" i="28"/>
  <c r="AY50" i="28"/>
  <c r="AQ50" i="28"/>
  <c r="AP73" i="28"/>
  <c r="H66" i="28"/>
  <c r="L66" i="28"/>
  <c r="I59" i="28"/>
  <c r="H57" i="28"/>
  <c r="AF17" i="28"/>
  <c r="AN17" i="28"/>
  <c r="W39" i="28"/>
  <c r="BI50" i="28"/>
  <c r="BK46" i="28"/>
  <c r="BQ17" i="28"/>
  <c r="BG50" i="28"/>
  <c r="AU25" i="28"/>
  <c r="X66" i="28"/>
  <c r="X67" i="28"/>
  <c r="BV11" i="28"/>
  <c r="BU25" i="28"/>
  <c r="F49" i="37"/>
  <c r="X49" i="37"/>
  <c r="AW49" i="37"/>
  <c r="AU49" i="37"/>
  <c r="V49" i="37"/>
  <c r="AY49" i="37"/>
  <c r="AO49" i="37"/>
  <c r="AK49" i="37"/>
  <c r="X50" i="37"/>
  <c r="AY50" i="37"/>
  <c r="AO50" i="37"/>
  <c r="AK50" i="37"/>
  <c r="Y50" i="37"/>
  <c r="V50" i="37"/>
  <c r="AW50" i="37"/>
  <c r="AU50" i="37"/>
  <c r="X40" i="37"/>
  <c r="AW40" i="37"/>
  <c r="AU40" i="37"/>
  <c r="Y40" i="37"/>
  <c r="V40" i="37"/>
  <c r="AY40" i="37"/>
  <c r="AO40" i="37"/>
  <c r="AK40" i="37"/>
  <c r="W40" i="37"/>
  <c r="AU13" i="37"/>
  <c r="AU38" i="37" s="1"/>
  <c r="W41" i="37"/>
  <c r="AW41" i="37"/>
  <c r="AU41" i="37"/>
  <c r="V41" i="37"/>
  <c r="Y41" i="37"/>
  <c r="AY41" i="37"/>
  <c r="AO41" i="37"/>
  <c r="AK41" i="37"/>
  <c r="X41" i="37"/>
  <c r="BO52" i="37"/>
  <c r="W44" i="37"/>
  <c r="F40" i="37"/>
  <c r="G40" i="37" s="1"/>
  <c r="P40" i="37" s="1"/>
  <c r="V44" i="37"/>
  <c r="AW44" i="37"/>
  <c r="AU44" i="37"/>
  <c r="AY44" i="37"/>
  <c r="AO44" i="37"/>
  <c r="AK44" i="37"/>
  <c r="BE51" i="37"/>
  <c r="BU51" i="37"/>
  <c r="BT52" i="37"/>
  <c r="V13" i="37"/>
  <c r="V38" i="37" s="1"/>
  <c r="AO13" i="37"/>
  <c r="AO38" i="37" s="1"/>
  <c r="AK13" i="37"/>
  <c r="AK38" i="37" s="1"/>
  <c r="BW63" i="32"/>
  <c r="AV62" i="28"/>
  <c r="AF62" i="28"/>
  <c r="G41" i="28"/>
  <c r="K41" i="28" s="1"/>
  <c r="J28" i="33"/>
  <c r="S11" i="34"/>
  <c r="R11" i="34"/>
  <c r="G20" i="34"/>
  <c r="L20" i="34" s="1"/>
  <c r="V20" i="34"/>
  <c r="Y20" i="34"/>
  <c r="X20" i="34"/>
  <c r="W20" i="34"/>
  <c r="V25" i="34"/>
  <c r="Y25" i="34"/>
  <c r="X25" i="34"/>
  <c r="W25" i="34"/>
  <c r="G37" i="34"/>
  <c r="V37" i="34"/>
  <c r="Y37" i="34"/>
  <c r="X37" i="34"/>
  <c r="W37" i="34"/>
  <c r="R12" i="34"/>
  <c r="V12" i="34" s="1"/>
  <c r="S12" i="34"/>
  <c r="W12" i="34" s="1"/>
  <c r="V43" i="34"/>
  <c r="W43" i="34"/>
  <c r="R13" i="34"/>
  <c r="V13" i="34" s="1"/>
  <c r="S13" i="34"/>
  <c r="W13" i="34" s="1"/>
  <c r="G19" i="34"/>
  <c r="V19" i="34"/>
  <c r="Y19" i="34"/>
  <c r="W19" i="34"/>
  <c r="X19" i="34"/>
  <c r="G24" i="34"/>
  <c r="M24" i="34" s="1"/>
  <c r="Y24" i="34"/>
  <c r="V24" i="34"/>
  <c r="W24" i="34"/>
  <c r="X24" i="34"/>
  <c r="G32" i="34"/>
  <c r="I32" i="34" s="1"/>
  <c r="V32" i="34"/>
  <c r="Y32" i="34"/>
  <c r="X32" i="34"/>
  <c r="W32" i="34"/>
  <c r="G36" i="34"/>
  <c r="I36" i="34" s="1"/>
  <c r="V36" i="34"/>
  <c r="Y36" i="34"/>
  <c r="X36" i="34"/>
  <c r="W36" i="34"/>
  <c r="Y42" i="34"/>
  <c r="V42" i="34"/>
  <c r="W42" i="34"/>
  <c r="X42" i="34"/>
  <c r="V18" i="34"/>
  <c r="Y18" i="34"/>
  <c r="X18" i="34"/>
  <c r="W18" i="34"/>
  <c r="G35" i="34"/>
  <c r="K35" i="34" s="1"/>
  <c r="Y35" i="34"/>
  <c r="V35" i="34"/>
  <c r="W35" i="34"/>
  <c r="X35" i="34"/>
  <c r="V39" i="34"/>
  <c r="Y39" i="34"/>
  <c r="X39" i="34"/>
  <c r="W39" i="34"/>
  <c r="G26" i="34"/>
  <c r="K26" i="34" s="1"/>
  <c r="V26" i="34"/>
  <c r="Y26" i="34"/>
  <c r="X26" i="34"/>
  <c r="W26" i="34"/>
  <c r="T46" i="34"/>
  <c r="X45" i="34"/>
  <c r="Y17" i="34"/>
  <c r="V17" i="34"/>
  <c r="W17" i="34"/>
  <c r="X17" i="34"/>
  <c r="G21" i="34"/>
  <c r="K21" i="34" s="1"/>
  <c r="V21" i="34"/>
  <c r="Y21" i="34"/>
  <c r="X21" i="34"/>
  <c r="W21" i="34"/>
  <c r="G29" i="34"/>
  <c r="H29" i="34" s="1"/>
  <c r="Y29" i="34"/>
  <c r="V29" i="34"/>
  <c r="X29" i="34"/>
  <c r="G38" i="34"/>
  <c r="M38" i="34" s="1"/>
  <c r="V38" i="34"/>
  <c r="Y38" i="34"/>
  <c r="X38" i="34"/>
  <c r="W38" i="34"/>
  <c r="V30" i="34"/>
  <c r="Y30" i="34"/>
  <c r="X30" i="34"/>
  <c r="W30" i="34"/>
  <c r="P90" i="25"/>
  <c r="I90" i="25"/>
  <c r="K90" i="25"/>
  <c r="O90" i="25"/>
  <c r="BT90" i="25"/>
  <c r="BU90" i="25" s="1"/>
  <c r="BV90" i="25" s="1"/>
  <c r="BS82" i="24"/>
  <c r="BU82" i="24" s="1"/>
  <c r="BV82" i="24" s="1"/>
  <c r="H82" i="24"/>
  <c r="K82" i="24"/>
  <c r="Q82" i="24"/>
  <c r="J82" i="24"/>
  <c r="I82" i="24"/>
  <c r="L82" i="24"/>
  <c r="BS79" i="24"/>
  <c r="BU79" i="24" s="1"/>
  <c r="BV79" i="24" s="1"/>
  <c r="Q79" i="24"/>
  <c r="I79" i="24"/>
  <c r="P79" i="24"/>
  <c r="H79" i="24"/>
  <c r="F87" i="24"/>
  <c r="F98" i="24" s="1"/>
  <c r="G69" i="24"/>
  <c r="P69" i="24" s="1"/>
  <c r="K96" i="24"/>
  <c r="H96" i="24"/>
  <c r="Q96" i="24"/>
  <c r="N96" i="24"/>
  <c r="BK42" i="25"/>
  <c r="G37" i="25"/>
  <c r="Q37" i="25" s="1"/>
  <c r="F46" i="25"/>
  <c r="G38" i="25"/>
  <c r="I38" i="25" s="1"/>
  <c r="G39" i="25"/>
  <c r="M39" i="25" s="1"/>
  <c r="G40" i="25"/>
  <c r="BK82" i="25"/>
  <c r="BK99" i="25"/>
  <c r="G12" i="25"/>
  <c r="G43" i="25"/>
  <c r="G44" i="25"/>
  <c r="BK76" i="25"/>
  <c r="BU66" i="25"/>
  <c r="G42" i="25"/>
  <c r="BK31" i="25"/>
  <c r="BK75" i="24"/>
  <c r="BK79" i="24"/>
  <c r="BK83" i="24"/>
  <c r="BJ97" i="24"/>
  <c r="S98" i="24"/>
  <c r="BJ17" i="24"/>
  <c r="BK36" i="24"/>
  <c r="BK111" i="24"/>
  <c r="BK113" i="24"/>
  <c r="BR87" i="24"/>
  <c r="BR98" i="24" s="1"/>
  <c r="P51" i="24"/>
  <c r="K101" i="24"/>
  <c r="L64" i="24"/>
  <c r="J70" i="24"/>
  <c r="Q70" i="24"/>
  <c r="I93" i="24"/>
  <c r="Q93" i="24"/>
  <c r="G50" i="24"/>
  <c r="K50" i="24" s="1"/>
  <c r="BJ87" i="24"/>
  <c r="BK77" i="24"/>
  <c r="L47" i="24"/>
  <c r="M47" i="24"/>
  <c r="I47" i="24"/>
  <c r="N51" i="24"/>
  <c r="K51" i="24"/>
  <c r="BP51" i="24"/>
  <c r="BR51" i="24" s="1"/>
  <c r="BV51" i="24" s="1"/>
  <c r="P110" i="24"/>
  <c r="Q110" i="24"/>
  <c r="I101" i="24"/>
  <c r="H101" i="24"/>
  <c r="BP41" i="24"/>
  <c r="BR41" i="24" s="1"/>
  <c r="BV41" i="24" s="1"/>
  <c r="J64" i="24"/>
  <c r="K64" i="24"/>
  <c r="BP64" i="24"/>
  <c r="BR64" i="24" s="1"/>
  <c r="BV64" i="24" s="1"/>
  <c r="P70" i="24"/>
  <c r="O70" i="24"/>
  <c r="J112" i="24"/>
  <c r="I112" i="24"/>
  <c r="Q112" i="24"/>
  <c r="N12" i="24"/>
  <c r="N89" i="24"/>
  <c r="M89" i="24"/>
  <c r="BS89" i="24"/>
  <c r="P93" i="24"/>
  <c r="O93" i="24"/>
  <c r="N42" i="24"/>
  <c r="N91" i="24"/>
  <c r="Q91" i="24"/>
  <c r="N95" i="24"/>
  <c r="H95" i="24"/>
  <c r="M106" i="24"/>
  <c r="P94" i="24"/>
  <c r="Q94" i="24"/>
  <c r="M36" i="24"/>
  <c r="N37" i="24"/>
  <c r="N28" i="24"/>
  <c r="L28" i="24"/>
  <c r="O20" i="24"/>
  <c r="P25" i="24"/>
  <c r="M34" i="24"/>
  <c r="P34" i="24"/>
  <c r="M26" i="24"/>
  <c r="BP26" i="24"/>
  <c r="BR26" i="24" s="1"/>
  <c r="BV26" i="24" s="1"/>
  <c r="M104" i="24"/>
  <c r="L104" i="24"/>
  <c r="P108" i="24"/>
  <c r="L108" i="24"/>
  <c r="Q108" i="24"/>
  <c r="M96" i="24"/>
  <c r="P96" i="24"/>
  <c r="J96" i="24"/>
  <c r="G40" i="24"/>
  <c r="P111" i="24"/>
  <c r="O111" i="24"/>
  <c r="L107" i="24"/>
  <c r="K107" i="24"/>
  <c r="H107" i="24"/>
  <c r="J103" i="24"/>
  <c r="I103" i="24"/>
  <c r="Q103" i="24"/>
  <c r="P82" i="24"/>
  <c r="O82" i="24"/>
  <c r="L79" i="24"/>
  <c r="O79" i="24"/>
  <c r="L78" i="24"/>
  <c r="K78" i="24"/>
  <c r="I78" i="24"/>
  <c r="O75" i="24"/>
  <c r="N74" i="24"/>
  <c r="M74" i="24"/>
  <c r="BS74" i="24"/>
  <c r="BU74" i="24" s="1"/>
  <c r="BV74" i="24" s="1"/>
  <c r="M51" i="24"/>
  <c r="J101" i="24"/>
  <c r="M64" i="24"/>
  <c r="H70" i="24"/>
  <c r="J93" i="24"/>
  <c r="I95" i="24"/>
  <c r="J106" i="24"/>
  <c r="O106" i="24"/>
  <c r="I94" i="24"/>
  <c r="BS94" i="24"/>
  <c r="BU94" i="24" s="1"/>
  <c r="BV94" i="24" s="1"/>
  <c r="BH117" i="24"/>
  <c r="BK63" i="24"/>
  <c r="J47" i="24"/>
  <c r="K47" i="24"/>
  <c r="L51" i="24"/>
  <c r="I51" i="24"/>
  <c r="L110" i="24"/>
  <c r="O110" i="24"/>
  <c r="P101" i="24"/>
  <c r="Q101" i="24"/>
  <c r="I64" i="24"/>
  <c r="H64" i="24"/>
  <c r="N70" i="24"/>
  <c r="M70" i="24"/>
  <c r="P112" i="24"/>
  <c r="P15" i="24"/>
  <c r="L89" i="24"/>
  <c r="K89" i="24"/>
  <c r="N93" i="24"/>
  <c r="M93" i="24"/>
  <c r="L42" i="24"/>
  <c r="L91" i="24"/>
  <c r="M91" i="24"/>
  <c r="L95" i="24"/>
  <c r="N94" i="24"/>
  <c r="BK100" i="24"/>
  <c r="I29" i="24"/>
  <c r="P20" i="24"/>
  <c r="I26" i="24"/>
  <c r="O104" i="24"/>
  <c r="K104" i="24"/>
  <c r="O108" i="24"/>
  <c r="L96" i="24"/>
  <c r="G114" i="24"/>
  <c r="G86" i="24"/>
  <c r="N111" i="24"/>
  <c r="M111" i="24"/>
  <c r="J107" i="24"/>
  <c r="I107" i="24"/>
  <c r="P103" i="24"/>
  <c r="N82" i="24"/>
  <c r="M82" i="24"/>
  <c r="J79" i="24"/>
  <c r="K79" i="24"/>
  <c r="J78" i="24"/>
  <c r="H78" i="24"/>
  <c r="H75" i="24"/>
  <c r="L74" i="24"/>
  <c r="K74" i="24"/>
  <c r="BK30" i="24"/>
  <c r="BK93" i="24"/>
  <c r="BN98" i="24"/>
  <c r="BT98" i="24"/>
  <c r="BR116" i="24"/>
  <c r="N52" i="24"/>
  <c r="K52" i="24"/>
  <c r="BP52" i="24"/>
  <c r="BR52" i="24" s="1"/>
  <c r="BV52" i="24" s="1"/>
  <c r="J52" i="24"/>
  <c r="Q52" i="24"/>
  <c r="P52" i="24"/>
  <c r="O52" i="24"/>
  <c r="M52" i="24"/>
  <c r="J39" i="34"/>
  <c r="BP39" i="34"/>
  <c r="BR39" i="34" s="1"/>
  <c r="BV39" i="34" s="1"/>
  <c r="BU15" i="34"/>
  <c r="G43" i="34"/>
  <c r="G42" i="34"/>
  <c r="H25" i="34"/>
  <c r="BP25" i="34"/>
  <c r="BR25" i="34" s="1"/>
  <c r="BV25" i="34" s="1"/>
  <c r="U27" i="34"/>
  <c r="G30" i="34"/>
  <c r="T22" i="34"/>
  <c r="S22" i="34"/>
  <c r="Q25" i="34"/>
  <c r="O25" i="34"/>
  <c r="M25" i="34"/>
  <c r="G45" i="34"/>
  <c r="BU22" i="34"/>
  <c r="BU27" i="34"/>
  <c r="BU33" i="34"/>
  <c r="U44" i="37"/>
  <c r="U47" i="37" s="1"/>
  <c r="BK12" i="7"/>
  <c r="Z128" i="32"/>
  <c r="Z131" i="32" s="1"/>
  <c r="G34" i="7"/>
  <c r="L33" i="7"/>
  <c r="BS33" i="7"/>
  <c r="BV33" i="7" s="1"/>
  <c r="BZ33" i="7" s="1"/>
  <c r="H43" i="7"/>
  <c r="BS43" i="7"/>
  <c r="BV43" i="7" s="1"/>
  <c r="BZ43" i="7" s="1"/>
  <c r="M11" i="7"/>
  <c r="L22" i="24"/>
  <c r="O36" i="24"/>
  <c r="I36" i="24"/>
  <c r="L36" i="24"/>
  <c r="J36" i="24"/>
  <c r="K36" i="24"/>
  <c r="M92" i="24"/>
  <c r="L92" i="24"/>
  <c r="P33" i="7"/>
  <c r="H33" i="7"/>
  <c r="O11" i="7"/>
  <c r="P11" i="7"/>
  <c r="Q11" i="7"/>
  <c r="AQ63" i="7"/>
  <c r="AQ69" i="7" s="1"/>
  <c r="AQ72" i="7" s="1"/>
  <c r="X10" i="39" s="1"/>
  <c r="AI63" i="7"/>
  <c r="AI69" i="7" s="1"/>
  <c r="H94" i="24"/>
  <c r="K94" i="24"/>
  <c r="L94" i="24"/>
  <c r="O32" i="24"/>
  <c r="N32" i="24"/>
  <c r="BT106" i="24"/>
  <c r="BU106" i="24" s="1"/>
  <c r="BV106" i="24" s="1"/>
  <c r="I106" i="24"/>
  <c r="BS95" i="24"/>
  <c r="BU95" i="24" s="1"/>
  <c r="BV95" i="24" s="1"/>
  <c r="K95" i="24"/>
  <c r="J95" i="24"/>
  <c r="Y128" i="32"/>
  <c r="BS42" i="7"/>
  <c r="BV42" i="7" s="1"/>
  <c r="BZ42" i="7" s="1"/>
  <c r="J33" i="24"/>
  <c r="K33" i="24"/>
  <c r="X128" i="32"/>
  <c r="X131" i="32" s="1"/>
  <c r="X33" i="7"/>
  <c r="S34" i="7"/>
  <c r="Q22" i="24"/>
  <c r="O22" i="24"/>
  <c r="N22" i="24"/>
  <c r="J83" i="24"/>
  <c r="H83" i="24"/>
  <c r="N110" i="24"/>
  <c r="M110" i="24"/>
  <c r="J50" i="24"/>
  <c r="N101" i="24"/>
  <c r="M101" i="24"/>
  <c r="P64" i="24"/>
  <c r="P91" i="24"/>
  <c r="M25" i="24"/>
  <c r="K25" i="24"/>
  <c r="N35" i="24"/>
  <c r="J26" i="24"/>
  <c r="H26" i="24"/>
  <c r="K26" i="24"/>
  <c r="G58" i="24"/>
  <c r="G71" i="24"/>
  <c r="N79" i="24"/>
  <c r="M79" i="24"/>
  <c r="L75" i="24"/>
  <c r="K75" i="24"/>
  <c r="I75" i="24"/>
  <c r="N12" i="25"/>
  <c r="J25" i="24"/>
  <c r="Q25" i="24"/>
  <c r="N26" i="24"/>
  <c r="L26" i="24"/>
  <c r="N75" i="24"/>
  <c r="M75" i="24"/>
  <c r="F15" i="7"/>
  <c r="BJ29" i="7"/>
  <c r="AZ72" i="7"/>
  <c r="G54" i="25"/>
  <c r="N53" i="25"/>
  <c r="N54" i="25" s="1"/>
  <c r="I53" i="25"/>
  <c r="I54" i="25" s="1"/>
  <c r="J53" i="25"/>
  <c r="J54" i="25" s="1"/>
  <c r="M53" i="25"/>
  <c r="M54" i="25" s="1"/>
  <c r="H38" i="25"/>
  <c r="L38" i="25"/>
  <c r="J41" i="25"/>
  <c r="F36" i="7"/>
  <c r="F44" i="7" s="1"/>
  <c r="BJ44" i="7"/>
  <c r="AA27" i="26"/>
  <c r="AH42" i="26"/>
  <c r="AX42" i="26"/>
  <c r="P38" i="28"/>
  <c r="Q38" i="28"/>
  <c r="N38" i="28"/>
  <c r="BO38" i="28"/>
  <c r="BR38" i="28" s="1"/>
  <c r="BV38" i="28" s="1"/>
  <c r="L38" i="28"/>
  <c r="I38" i="28"/>
  <c r="I37" i="28"/>
  <c r="H37" i="28"/>
  <c r="I15" i="33"/>
  <c r="M18" i="34"/>
  <c r="P18" i="34"/>
  <c r="L18" i="34"/>
  <c r="J18" i="34"/>
  <c r="O18" i="34"/>
  <c r="BP18" i="34"/>
  <c r="BR18" i="34" s="1"/>
  <c r="BV18" i="34" s="1"/>
  <c r="H18" i="34"/>
  <c r="K18" i="34"/>
  <c r="BV29" i="33"/>
  <c r="BU31" i="33"/>
  <c r="BN34" i="33"/>
  <c r="BO117" i="24"/>
  <c r="BN66" i="24"/>
  <c r="BN117" i="24" s="1"/>
  <c r="BT66" i="24"/>
  <c r="BQ117" i="24"/>
  <c r="G20" i="33"/>
  <c r="X20" i="33"/>
  <c r="X21" i="33" s="1"/>
  <c r="W20" i="33"/>
  <c r="V20" i="33"/>
  <c r="V21" i="33" s="1"/>
  <c r="BJ71" i="7"/>
  <c r="F70" i="7"/>
  <c r="G70" i="7" s="1"/>
  <c r="AI34" i="7"/>
  <c r="BA34" i="7"/>
  <c r="BK16" i="25"/>
  <c r="G34" i="25"/>
  <c r="BP34" i="25" s="1"/>
  <c r="BR34" i="25" s="1"/>
  <c r="BV34" i="25" s="1"/>
  <c r="G35" i="25"/>
  <c r="O35" i="25" s="1"/>
  <c r="Z55" i="25"/>
  <c r="AH55" i="25"/>
  <c r="AP55" i="25"/>
  <c r="AX55" i="25"/>
  <c r="BF55" i="25"/>
  <c r="BO42" i="28"/>
  <c r="BR42" i="28" s="1"/>
  <c r="BV42" i="28" s="1"/>
  <c r="H38" i="28"/>
  <c r="K23" i="28"/>
  <c r="L53" i="28"/>
  <c r="I53" i="28"/>
  <c r="K53" i="28"/>
  <c r="Q53" i="28"/>
  <c r="J53" i="28"/>
  <c r="X12" i="28"/>
  <c r="W12" i="28"/>
  <c r="Y12" i="28"/>
  <c r="V12" i="28"/>
  <c r="W13" i="28"/>
  <c r="W14" i="28" s="1"/>
  <c r="W17" i="28" s="1"/>
  <c r="X13" i="28"/>
  <c r="X14" i="28" s="1"/>
  <c r="X17" i="28" s="1"/>
  <c r="V13" i="28"/>
  <c r="V14" i="28" s="1"/>
  <c r="V17" i="28" s="1"/>
  <c r="Y13" i="28"/>
  <c r="Y14" i="28" s="1"/>
  <c r="Y17" i="28" s="1"/>
  <c r="V22" i="28"/>
  <c r="X22" i="28"/>
  <c r="W22" i="28"/>
  <c r="Y22" i="28"/>
  <c r="G22" i="28"/>
  <c r="I22" i="28" s="1"/>
  <c r="Y23" i="28"/>
  <c r="W23" i="28"/>
  <c r="X23" i="28"/>
  <c r="V23" i="28"/>
  <c r="X24" i="28"/>
  <c r="Y24" i="28"/>
  <c r="G24" i="28"/>
  <c r="N24" i="28" s="1"/>
  <c r="X27" i="28"/>
  <c r="W27" i="28"/>
  <c r="Y27" i="28"/>
  <c r="V27" i="28"/>
  <c r="X28" i="28"/>
  <c r="Y28" i="28"/>
  <c r="AS28" i="28"/>
  <c r="AS30" i="28" s="1"/>
  <c r="AQ28" i="28"/>
  <c r="AQ30" i="28" s="1"/>
  <c r="AQ31" i="28" s="1"/>
  <c r="T40" i="28"/>
  <c r="X40" i="28" s="1"/>
  <c r="G40" i="28"/>
  <c r="W42" i="28"/>
  <c r="X42" i="28"/>
  <c r="V42" i="28"/>
  <c r="Y42" i="28"/>
  <c r="X52" i="28"/>
  <c r="W52" i="28"/>
  <c r="Y52" i="28"/>
  <c r="V52" i="28"/>
  <c r="BP33" i="33"/>
  <c r="BR32" i="33"/>
  <c r="Q18" i="34"/>
  <c r="K24" i="34"/>
  <c r="W23" i="33"/>
  <c r="X23" i="33"/>
  <c r="X32" i="33"/>
  <c r="X33" i="33" s="1"/>
  <c r="T33" i="33"/>
  <c r="BR53" i="38"/>
  <c r="G26" i="25"/>
  <c r="BK92" i="25"/>
  <c r="K38" i="28"/>
  <c r="O66" i="28"/>
  <c r="K66" i="28"/>
  <c r="N66" i="28"/>
  <c r="BP66" i="28"/>
  <c r="Q66" i="28"/>
  <c r="N27" i="28"/>
  <c r="P27" i="28"/>
  <c r="Q27" i="28"/>
  <c r="O27" i="28"/>
  <c r="AA28" i="28"/>
  <c r="AA30" i="28" s="1"/>
  <c r="BO13" i="33"/>
  <c r="L23" i="33"/>
  <c r="K23" i="33"/>
  <c r="BA50" i="28"/>
  <c r="AF57" i="7"/>
  <c r="AH57" i="7"/>
  <c r="AR57" i="7"/>
  <c r="AR72" i="7" s="1"/>
  <c r="AV57" i="7"/>
  <c r="AV72" i="7" s="1"/>
  <c r="BG12" i="7"/>
  <c r="BF57" i="7"/>
  <c r="BF72" i="7" s="1"/>
  <c r="BK29" i="7"/>
  <c r="BI34" i="7"/>
  <c r="AK44" i="7"/>
  <c r="AS44" i="7"/>
  <c r="BA44" i="7"/>
  <c r="BI44" i="7"/>
  <c r="BK20" i="24"/>
  <c r="BK32" i="24"/>
  <c r="BK43" i="24"/>
  <c r="G48" i="24"/>
  <c r="N48" i="24" s="1"/>
  <c r="BK59" i="24"/>
  <c r="G22" i="25"/>
  <c r="G25" i="25"/>
  <c r="Z88" i="25"/>
  <c r="BJ111" i="25"/>
  <c r="M53" i="28"/>
  <c r="J38" i="28"/>
  <c r="O38" i="28"/>
  <c r="M27" i="28"/>
  <c r="M66" i="28"/>
  <c r="H56" i="28"/>
  <c r="M56" i="28"/>
  <c r="I54" i="28"/>
  <c r="P54" i="28"/>
  <c r="G39" i="28"/>
  <c r="Q39" i="28" s="1"/>
  <c r="BG28" i="28"/>
  <c r="BG30" i="28" s="1"/>
  <c r="BG31" i="28" s="1"/>
  <c r="W36" i="28"/>
  <c r="X36" i="28"/>
  <c r="Y36" i="28"/>
  <c r="BK37" i="28"/>
  <c r="BK38" i="28"/>
  <c r="W46" i="28"/>
  <c r="V46" i="28"/>
  <c r="W47" i="28"/>
  <c r="V47" i="28"/>
  <c r="G47" i="28"/>
  <c r="Q47" i="28" s="1"/>
  <c r="BQ48" i="28"/>
  <c r="BR48" i="28" s="1"/>
  <c r="BV48" i="28" s="1"/>
  <c r="M55" i="28"/>
  <c r="I55" i="28"/>
  <c r="I18" i="34"/>
  <c r="I13" i="33"/>
  <c r="U54" i="7"/>
  <c r="Y54" i="7" s="1"/>
  <c r="Y56" i="7" s="1"/>
  <c r="Y57" i="7" s="1"/>
  <c r="T54" i="7"/>
  <c r="G54" i="7"/>
  <c r="BI57" i="7"/>
  <c r="AE25" i="28"/>
  <c r="BK21" i="28"/>
  <c r="T100" i="32"/>
  <c r="X100" i="32" s="1"/>
  <c r="S100" i="32"/>
  <c r="W100" i="32" s="1"/>
  <c r="H100" i="32"/>
  <c r="R100" i="32" s="1"/>
  <c r="U90" i="32"/>
  <c r="Y90" i="32" s="1"/>
  <c r="T90" i="32"/>
  <c r="X90" i="32" s="1"/>
  <c r="H90" i="32"/>
  <c r="S71" i="32"/>
  <c r="W71" i="32" s="1"/>
  <c r="H71" i="32"/>
  <c r="T71" i="32"/>
  <c r="X71" i="32" s="1"/>
  <c r="S67" i="32"/>
  <c r="W67" i="32" s="1"/>
  <c r="T67" i="32"/>
  <c r="X67" i="32" s="1"/>
  <c r="H67" i="32"/>
  <c r="S64" i="32"/>
  <c r="T64" i="32"/>
  <c r="H64" i="32"/>
  <c r="S56" i="32"/>
  <c r="W56" i="32" s="1"/>
  <c r="T56" i="32"/>
  <c r="X56" i="32" s="1"/>
  <c r="U56" i="32"/>
  <c r="Y56" i="32" s="1"/>
  <c r="V56" i="32"/>
  <c r="Z56" i="32" s="1"/>
  <c r="H56" i="32"/>
  <c r="R56" i="32" s="1"/>
  <c r="S50" i="32"/>
  <c r="W50" i="32" s="1"/>
  <c r="T50" i="32"/>
  <c r="X50" i="32" s="1"/>
  <c r="U50" i="32"/>
  <c r="Y50" i="32" s="1"/>
  <c r="V50" i="32"/>
  <c r="Z50" i="32" s="1"/>
  <c r="H50" i="32"/>
  <c r="BO50" i="32" s="1"/>
  <c r="BS50" i="32" s="1"/>
  <c r="BW50" i="32" s="1"/>
  <c r="S40" i="32"/>
  <c r="T40" i="32"/>
  <c r="U40" i="32"/>
  <c r="V40" i="32"/>
  <c r="H40" i="32"/>
  <c r="S30" i="32"/>
  <c r="W30" i="32" s="1"/>
  <c r="T30" i="32"/>
  <c r="X30" i="32" s="1"/>
  <c r="U30" i="32"/>
  <c r="Y30" i="32" s="1"/>
  <c r="H30" i="32"/>
  <c r="N30" i="32" s="1"/>
  <c r="V30" i="32"/>
  <c r="Z30" i="32" s="1"/>
  <c r="V25" i="32"/>
  <c r="U25" i="32"/>
  <c r="T25" i="32"/>
  <c r="H25" i="32"/>
  <c r="S25" i="32"/>
  <c r="H18" i="32"/>
  <c r="U13" i="32"/>
  <c r="Y13" i="32" s="1"/>
  <c r="V13" i="32"/>
  <c r="Z13" i="32" s="1"/>
  <c r="S13" i="32"/>
  <c r="W13" i="32" s="1"/>
  <c r="H13" i="32"/>
  <c r="T13" i="32"/>
  <c r="X13" i="32" s="1"/>
  <c r="BD31" i="28"/>
  <c r="AV31" i="28"/>
  <c r="AV74" i="28" s="1"/>
  <c r="AN31" i="28"/>
  <c r="AF31" i="28"/>
  <c r="AH17" i="28"/>
  <c r="W29" i="28"/>
  <c r="X29" i="28"/>
  <c r="V29" i="28"/>
  <c r="Y29" i="28"/>
  <c r="W37" i="28"/>
  <c r="X37" i="28"/>
  <c r="V37" i="28"/>
  <c r="W38" i="28"/>
  <c r="X38" i="28"/>
  <c r="V38" i="28"/>
  <c r="Y38" i="28"/>
  <c r="F45" i="28"/>
  <c r="G45" i="28" s="1"/>
  <c r="K45" i="28" s="1"/>
  <c r="BJ50" i="28"/>
  <c r="U50" i="28"/>
  <c r="Y46" i="28"/>
  <c r="Y47" i="28"/>
  <c r="AA61" i="28"/>
  <c r="AI61" i="28"/>
  <c r="AQ61" i="28"/>
  <c r="AY61" i="28"/>
  <c r="BG61" i="28"/>
  <c r="BW24" i="32"/>
  <c r="K29" i="33"/>
  <c r="K31" i="33" s="1"/>
  <c r="H11" i="38"/>
  <c r="BX57" i="7"/>
  <c r="BV15" i="32"/>
  <c r="BV132" i="32" s="1"/>
  <c r="BU38" i="37"/>
  <c r="BV58" i="25"/>
  <c r="BV60" i="25"/>
  <c r="BV62" i="25"/>
  <c r="BV64" i="25"/>
  <c r="BV69" i="25"/>
  <c r="BJ62" i="7"/>
  <c r="AD57" i="7"/>
  <c r="AD72" i="7" s="1"/>
  <c r="AI50" i="28"/>
  <c r="G19" i="33"/>
  <c r="W19" i="33"/>
  <c r="BK23" i="37"/>
  <c r="AE50" i="28"/>
  <c r="BC50" i="28"/>
  <c r="BK42" i="7"/>
  <c r="AA56" i="7"/>
  <c r="BK54" i="7"/>
  <c r="BK56" i="7" s="1"/>
  <c r="U82" i="32"/>
  <c r="Y82" i="32" s="1"/>
  <c r="S82" i="32"/>
  <c r="W82" i="32" s="1"/>
  <c r="H82" i="32"/>
  <c r="R82" i="32" s="1"/>
  <c r="T82" i="32"/>
  <c r="X82" i="32" s="1"/>
  <c r="S74" i="32"/>
  <c r="W74" i="32" s="1"/>
  <c r="H74" i="32"/>
  <c r="R74" i="32" s="1"/>
  <c r="T74" i="32"/>
  <c r="X74" i="32" s="1"/>
  <c r="T70" i="32"/>
  <c r="X70" i="32" s="1"/>
  <c r="H70" i="32"/>
  <c r="U70" i="32"/>
  <c r="Y70" i="32" s="1"/>
  <c r="S70" i="32"/>
  <c r="W70" i="32" s="1"/>
  <c r="T66" i="32"/>
  <c r="X66" i="32" s="1"/>
  <c r="H66" i="32"/>
  <c r="S66" i="32"/>
  <c r="W66" i="32" s="1"/>
  <c r="S43" i="32"/>
  <c r="W43" i="32" s="1"/>
  <c r="T43" i="32"/>
  <c r="X43" i="32" s="1"/>
  <c r="U43" i="32"/>
  <c r="Y43" i="32" s="1"/>
  <c r="V43" i="32"/>
  <c r="Z43" i="32" s="1"/>
  <c r="H43" i="32"/>
  <c r="BO43" i="32" s="1"/>
  <c r="BS43" i="32" s="1"/>
  <c r="BW43" i="32" s="1"/>
  <c r="H55" i="32"/>
  <c r="S55" i="32"/>
  <c r="W55" i="32" s="1"/>
  <c r="T55" i="32"/>
  <c r="X55" i="32" s="1"/>
  <c r="U55" i="32"/>
  <c r="Y55" i="32" s="1"/>
  <c r="V55" i="32"/>
  <c r="Z55" i="32" s="1"/>
  <c r="S49" i="32"/>
  <c r="W49" i="32" s="1"/>
  <c r="H49" i="32"/>
  <c r="T49" i="32"/>
  <c r="X49" i="32" s="1"/>
  <c r="U49" i="32"/>
  <c r="Y49" i="32" s="1"/>
  <c r="V49" i="32"/>
  <c r="Z49" i="32" s="1"/>
  <c r="S36" i="32"/>
  <c r="W36" i="32" s="1"/>
  <c r="T36" i="32"/>
  <c r="X36" i="32" s="1"/>
  <c r="U36" i="32"/>
  <c r="Y36" i="32" s="1"/>
  <c r="V36" i="32"/>
  <c r="Z36" i="32" s="1"/>
  <c r="H36" i="32"/>
  <c r="S28" i="32"/>
  <c r="W28" i="32" s="1"/>
  <c r="T28" i="32"/>
  <c r="X28" i="32" s="1"/>
  <c r="U28" i="32"/>
  <c r="Y28" i="32" s="1"/>
  <c r="H28" i="32"/>
  <c r="BO28" i="32" s="1"/>
  <c r="BS28" i="32" s="1"/>
  <c r="BW28" i="32" s="1"/>
  <c r="V28" i="32"/>
  <c r="Z28" i="32" s="1"/>
  <c r="T89" i="32"/>
  <c r="S89" i="32"/>
  <c r="H89" i="32"/>
  <c r="U89" i="32"/>
  <c r="BF73" i="28"/>
  <c r="AX73" i="28"/>
  <c r="W13" i="33"/>
  <c r="T25" i="33"/>
  <c r="X24" i="33"/>
  <c r="AA48" i="28"/>
  <c r="AA50" i="28" s="1"/>
  <c r="W48" i="28"/>
  <c r="X48" i="28"/>
  <c r="V48" i="28"/>
  <c r="Y48" i="28"/>
  <c r="BK54" i="28"/>
  <c r="BK55" i="28"/>
  <c r="BK56" i="28"/>
  <c r="BK57" i="28"/>
  <c r="BK58" i="28"/>
  <c r="BK59" i="28"/>
  <c r="BK60" i="28"/>
  <c r="X34" i="28"/>
  <c r="W34" i="28"/>
  <c r="Y34" i="28"/>
  <c r="V34" i="28"/>
  <c r="BY29" i="7"/>
  <c r="BU72" i="7"/>
  <c r="BR18" i="25"/>
  <c r="BS55" i="25"/>
  <c r="BK64" i="7"/>
  <c r="BK50" i="7"/>
  <c r="BK52" i="7" s="1"/>
  <c r="AM50" i="28"/>
  <c r="AU50" i="28"/>
  <c r="AK50" i="28"/>
  <c r="T116" i="32"/>
  <c r="X116" i="32" s="1"/>
  <c r="S116" i="32"/>
  <c r="W116" i="32" s="1"/>
  <c r="H116" i="32"/>
  <c r="T81" i="32"/>
  <c r="X81" i="32" s="1"/>
  <c r="H81" i="32"/>
  <c r="U81" i="32"/>
  <c r="Y81" i="32" s="1"/>
  <c r="S81" i="32"/>
  <c r="W81" i="32" s="1"/>
  <c r="S73" i="32"/>
  <c r="W73" i="32" s="1"/>
  <c r="T73" i="32"/>
  <c r="X73" i="32" s="1"/>
  <c r="U73" i="32"/>
  <c r="Y73" i="32" s="1"/>
  <c r="H73" i="32"/>
  <c r="S69" i="32"/>
  <c r="W69" i="32" s="1"/>
  <c r="T69" i="32"/>
  <c r="X69" i="32" s="1"/>
  <c r="U69" i="32"/>
  <c r="H69" i="32"/>
  <c r="S58" i="32"/>
  <c r="W58" i="32" s="1"/>
  <c r="H58" i="32"/>
  <c r="T58" i="32"/>
  <c r="X58" i="32" s="1"/>
  <c r="U58" i="32"/>
  <c r="Y58" i="32" s="1"/>
  <c r="V58" i="32"/>
  <c r="Z58" i="32" s="1"/>
  <c r="S53" i="32"/>
  <c r="W53" i="32" s="1"/>
  <c r="H53" i="32"/>
  <c r="M53" i="32" s="1"/>
  <c r="T53" i="32"/>
  <c r="X53" i="32" s="1"/>
  <c r="U53" i="32"/>
  <c r="Y53" i="32" s="1"/>
  <c r="V53" i="32"/>
  <c r="Z53" i="32" s="1"/>
  <c r="V47" i="32"/>
  <c r="Z47" i="32" s="1"/>
  <c r="U47" i="32"/>
  <c r="Y47" i="32" s="1"/>
  <c r="T47" i="32"/>
  <c r="S47" i="32"/>
  <c r="H47" i="32"/>
  <c r="N47" i="32" s="1"/>
  <c r="S35" i="32"/>
  <c r="T35" i="32"/>
  <c r="X35" i="32" s="1"/>
  <c r="U35" i="32"/>
  <c r="Y35" i="32" s="1"/>
  <c r="H35" i="32"/>
  <c r="BO35" i="32" s="1"/>
  <c r="V35" i="32"/>
  <c r="Z35" i="32" s="1"/>
  <c r="S27" i="32"/>
  <c r="W27" i="32" s="1"/>
  <c r="T27" i="32"/>
  <c r="X27" i="32" s="1"/>
  <c r="U27" i="32"/>
  <c r="Y27" i="32" s="1"/>
  <c r="V27" i="32"/>
  <c r="Z27" i="32" s="1"/>
  <c r="H27" i="32"/>
  <c r="BO27" i="32" s="1"/>
  <c r="H21" i="32"/>
  <c r="W14" i="33"/>
  <c r="W30" i="33"/>
  <c r="W31" i="33" s="1"/>
  <c r="V31" i="7"/>
  <c r="V34" i="7" s="1"/>
  <c r="Y31" i="7"/>
  <c r="Y34" i="7" s="1"/>
  <c r="W31" i="7"/>
  <c r="W34" i="7" s="1"/>
  <c r="AA65" i="7"/>
  <c r="BK65" i="7" s="1"/>
  <c r="BJ65" i="7"/>
  <c r="F65" i="7" s="1"/>
  <c r="AO50" i="28"/>
  <c r="G13" i="28"/>
  <c r="M13" i="28" s="1"/>
  <c r="W24" i="28"/>
  <c r="X41" i="28"/>
  <c r="W53" i="28"/>
  <c r="X53" i="28"/>
  <c r="V53" i="28"/>
  <c r="Y53" i="28"/>
  <c r="W54" i="28"/>
  <c r="X54" i="28"/>
  <c r="V54" i="28"/>
  <c r="Y54" i="28"/>
  <c r="W55" i="28"/>
  <c r="X55" i="28"/>
  <c r="V55" i="28"/>
  <c r="Y55" i="28"/>
  <c r="W56" i="28"/>
  <c r="X56" i="28"/>
  <c r="V56" i="28"/>
  <c r="Y56" i="28"/>
  <c r="W57" i="28"/>
  <c r="X57" i="28"/>
  <c r="V57" i="28"/>
  <c r="Y57" i="28"/>
  <c r="W58" i="28"/>
  <c r="X58" i="28"/>
  <c r="V58" i="28"/>
  <c r="Y58" i="28"/>
  <c r="W59" i="28"/>
  <c r="X59" i="28"/>
  <c r="V59" i="28"/>
  <c r="Y59" i="28"/>
  <c r="W60" i="28"/>
  <c r="X60" i="28"/>
  <c r="V60" i="28"/>
  <c r="Y60" i="28"/>
  <c r="J29" i="33"/>
  <c r="O29" i="33"/>
  <c r="Q29" i="33"/>
  <c r="BY44" i="7"/>
  <c r="BY52" i="7"/>
  <c r="BY57" i="7" s="1"/>
  <c r="BW72" i="7"/>
  <c r="BS17" i="28"/>
  <c r="BU50" i="28"/>
  <c r="BU62" i="28" s="1"/>
  <c r="BQ55" i="25"/>
  <c r="BV11" i="26"/>
  <c r="BV15" i="26"/>
  <c r="BV38" i="26"/>
  <c r="BU23" i="26"/>
  <c r="BU39" i="26"/>
  <c r="G22" i="7"/>
  <c r="AW50" i="28"/>
  <c r="BK30" i="37"/>
  <c r="AC50" i="28"/>
  <c r="AS50" i="28"/>
  <c r="BK41" i="7"/>
  <c r="AA66" i="7"/>
  <c r="BK66" i="7" s="1"/>
  <c r="BJ66" i="7"/>
  <c r="F66" i="7" s="1"/>
  <c r="G66" i="7" s="1"/>
  <c r="H127" i="32"/>
  <c r="U127" i="32"/>
  <c r="U92" i="32"/>
  <c r="Y92" i="32" s="1"/>
  <c r="T92" i="32"/>
  <c r="X92" i="32" s="1"/>
  <c r="H92" i="32"/>
  <c r="I92" i="32" s="1"/>
  <c r="U79" i="32"/>
  <c r="T79" i="32"/>
  <c r="X79" i="32" s="1"/>
  <c r="S79" i="32"/>
  <c r="H79" i="32"/>
  <c r="BQ79" i="32" s="1"/>
  <c r="BS79" i="32" s="1"/>
  <c r="BW79" i="32" s="1"/>
  <c r="U72" i="32"/>
  <c r="Y72" i="32" s="1"/>
  <c r="S72" i="32"/>
  <c r="W72" i="32" s="1"/>
  <c r="T72" i="32"/>
  <c r="X72" i="32" s="1"/>
  <c r="H72" i="32"/>
  <c r="T68" i="32"/>
  <c r="X68" i="32" s="1"/>
  <c r="S68" i="32"/>
  <c r="W68" i="32" s="1"/>
  <c r="H68" i="32"/>
  <c r="S65" i="32"/>
  <c r="W65" i="32" s="1"/>
  <c r="T65" i="32"/>
  <c r="X65" i="32" s="1"/>
  <c r="H65" i="32"/>
  <c r="W57" i="32"/>
  <c r="X57" i="32"/>
  <c r="Y57" i="32"/>
  <c r="H57" i="32"/>
  <c r="Z57" i="32"/>
  <c r="S51" i="32"/>
  <c r="W51" i="32" s="1"/>
  <c r="T51" i="32"/>
  <c r="X51" i="32" s="1"/>
  <c r="U51" i="32"/>
  <c r="Y51" i="32" s="1"/>
  <c r="H51" i="32"/>
  <c r="V51" i="32"/>
  <c r="Z51" i="32" s="1"/>
  <c r="S41" i="32"/>
  <c r="W41" i="32" s="1"/>
  <c r="T41" i="32"/>
  <c r="X41" i="32" s="1"/>
  <c r="U41" i="32"/>
  <c r="Y41" i="32" s="1"/>
  <c r="V41" i="32"/>
  <c r="Z41" i="32" s="1"/>
  <c r="H41" i="32"/>
  <c r="S31" i="32"/>
  <c r="W31" i="32" s="1"/>
  <c r="T31" i="32"/>
  <c r="X31" i="32" s="1"/>
  <c r="U31" i="32"/>
  <c r="Y31" i="32" s="1"/>
  <c r="V31" i="32"/>
  <c r="Z31" i="32" s="1"/>
  <c r="H31" i="32"/>
  <c r="N31" i="32" s="1"/>
  <c r="S26" i="32"/>
  <c r="W26" i="32" s="1"/>
  <c r="T26" i="32"/>
  <c r="X26" i="32" s="1"/>
  <c r="U26" i="32"/>
  <c r="Y26" i="32" s="1"/>
  <c r="H26" i="32"/>
  <c r="N26" i="32" s="1"/>
  <c r="V26" i="32"/>
  <c r="Z26" i="32" s="1"/>
  <c r="H20" i="32"/>
  <c r="U14" i="32"/>
  <c r="Y14" i="32" s="1"/>
  <c r="V14" i="32"/>
  <c r="Z14" i="32" s="1"/>
  <c r="S14" i="32"/>
  <c r="W14" i="32" s="1"/>
  <c r="T14" i="32"/>
  <c r="X14" i="32" s="1"/>
  <c r="H14" i="32"/>
  <c r="BE50" i="28"/>
  <c r="K48" i="28"/>
  <c r="AP62" i="28"/>
  <c r="AH62" i="28"/>
  <c r="AG17" i="28"/>
  <c r="M37" i="28"/>
  <c r="AA17" i="28"/>
  <c r="BK12" i="28"/>
  <c r="F30" i="28"/>
  <c r="S25" i="28"/>
  <c r="N67" i="28"/>
  <c r="AX17" i="28"/>
  <c r="BF17" i="28"/>
  <c r="BK23" i="28"/>
  <c r="BK24" i="28"/>
  <c r="AG61" i="28"/>
  <c r="AW17" i="28"/>
  <c r="BK52" i="28"/>
  <c r="BI17" i="28"/>
  <c r="BI30" i="28"/>
  <c r="BI31" i="28" s="1"/>
  <c r="Q13" i="28"/>
  <c r="U25" i="28"/>
  <c r="U69" i="28"/>
  <c r="L21" i="28"/>
  <c r="H21" i="28"/>
  <c r="P21" i="28"/>
  <c r="BO21" i="28"/>
  <c r="BR21" i="28" s="1"/>
  <c r="BV21" i="28" s="1"/>
  <c r="M21" i="28"/>
  <c r="J21" i="28"/>
  <c r="Q21" i="28"/>
  <c r="O21" i="28"/>
  <c r="I21" i="28"/>
  <c r="N21" i="28"/>
  <c r="K21" i="28"/>
  <c r="BJ43" i="28"/>
  <c r="F36" i="28"/>
  <c r="BJ61" i="28"/>
  <c r="F52" i="28"/>
  <c r="F61" i="28" s="1"/>
  <c r="U41" i="28"/>
  <c r="Y41" i="28" s="1"/>
  <c r="U40" i="28"/>
  <c r="Y40" i="28" s="1"/>
  <c r="S65" i="28"/>
  <c r="W65" i="28" s="1"/>
  <c r="R67" i="28"/>
  <c r="V67" i="28" s="1"/>
  <c r="L54" i="28"/>
  <c r="J54" i="28"/>
  <c r="Q54" i="28"/>
  <c r="N59" i="28"/>
  <c r="H59" i="28"/>
  <c r="O59" i="28"/>
  <c r="L60" i="28"/>
  <c r="Q60" i="28"/>
  <c r="L55" i="28"/>
  <c r="K55" i="28"/>
  <c r="O55" i="28"/>
  <c r="Q57" i="28"/>
  <c r="J57" i="28"/>
  <c r="AY17" i="28"/>
  <c r="BK29" i="28"/>
  <c r="AZ62" i="28"/>
  <c r="AJ62" i="28"/>
  <c r="R24" i="28"/>
  <c r="V24" i="28" s="1"/>
  <c r="U39" i="28"/>
  <c r="Y39" i="28" s="1"/>
  <c r="T46" i="28"/>
  <c r="R65" i="28"/>
  <c r="V65" i="28" s="1"/>
  <c r="S67" i="28"/>
  <c r="W67" i="28" s="1"/>
  <c r="R66" i="28"/>
  <c r="V66" i="28" s="1"/>
  <c r="F15" i="28"/>
  <c r="BJ16" i="28"/>
  <c r="BJ72" i="28"/>
  <c r="BJ73" i="28" s="1"/>
  <c r="F71" i="28"/>
  <c r="H54" i="28"/>
  <c r="O54" i="28"/>
  <c r="M54" i="28"/>
  <c r="J59" i="28"/>
  <c r="Q59" i="28"/>
  <c r="K59" i="28"/>
  <c r="H60" i="28"/>
  <c r="M60" i="28"/>
  <c r="P57" i="28"/>
  <c r="M57" i="28"/>
  <c r="F25" i="28"/>
  <c r="AI17" i="28"/>
  <c r="BK22" i="28"/>
  <c r="BA73" i="28"/>
  <c r="BK40" i="28"/>
  <c r="BI43" i="28"/>
  <c r="BI62" i="28" s="1"/>
  <c r="BK42" i="28"/>
  <c r="AO61" i="28"/>
  <c r="AW61" i="28"/>
  <c r="BE61" i="28"/>
  <c r="S41" i="28"/>
  <c r="W41" i="28" s="1"/>
  <c r="R41" i="28"/>
  <c r="V41" i="28" s="1"/>
  <c r="BD62" i="28"/>
  <c r="AN62" i="28"/>
  <c r="BB62" i="28"/>
  <c r="T39" i="28"/>
  <c r="X39" i="28" s="1"/>
  <c r="S40" i="28"/>
  <c r="W40" i="28" s="1"/>
  <c r="T47" i="28"/>
  <c r="X47" i="28" s="1"/>
  <c r="S66" i="28"/>
  <c r="W66" i="28" s="1"/>
  <c r="K54" i="28"/>
  <c r="M59" i="28"/>
  <c r="I47" i="28"/>
  <c r="L47" i="28"/>
  <c r="N57" i="28"/>
  <c r="I57" i="28"/>
  <c r="G12" i="28"/>
  <c r="H12" i="28" s="1"/>
  <c r="BK47" i="28"/>
  <c r="BI73" i="28"/>
  <c r="BU14" i="28"/>
  <c r="BU17" i="28" s="1"/>
  <c r="AC31" i="28"/>
  <c r="T17" i="28"/>
  <c r="S17" i="28"/>
  <c r="N29" i="28"/>
  <c r="J29" i="28"/>
  <c r="O29" i="28"/>
  <c r="M29" i="28"/>
  <c r="Q29" i="28"/>
  <c r="AF72" i="7"/>
  <c r="AH72" i="7"/>
  <c r="V29" i="7"/>
  <c r="X48" i="7"/>
  <c r="W48" i="7"/>
  <c r="I48" i="7"/>
  <c r="Y48" i="7"/>
  <c r="BJ57" i="7"/>
  <c r="N50" i="7"/>
  <c r="N52" i="7" s="1"/>
  <c r="P50" i="7"/>
  <c r="P52" i="7" s="1"/>
  <c r="P57" i="7" s="1"/>
  <c r="BS50" i="7"/>
  <c r="BV50" i="7" s="1"/>
  <c r="BZ50" i="7" s="1"/>
  <c r="G52" i="7"/>
  <c r="S29" i="7"/>
  <c r="BS24" i="7"/>
  <c r="BV24" i="7" s="1"/>
  <c r="J24" i="7"/>
  <c r="N14" i="7"/>
  <c r="J11" i="7"/>
  <c r="H11" i="7"/>
  <c r="H32" i="7"/>
  <c r="BS27" i="7"/>
  <c r="BV27" i="7" s="1"/>
  <c r="O27" i="7"/>
  <c r="P37" i="7"/>
  <c r="I37" i="7"/>
  <c r="M24" i="7"/>
  <c r="O14" i="7"/>
  <c r="J14" i="7"/>
  <c r="I14" i="7"/>
  <c r="BK43" i="7"/>
  <c r="I24" i="7"/>
  <c r="I27" i="7"/>
  <c r="Q27" i="7"/>
  <c r="Q37" i="7"/>
  <c r="H37" i="7"/>
  <c r="I43" i="7"/>
  <c r="Q24" i="7"/>
  <c r="K24" i="7"/>
  <c r="P24" i="7"/>
  <c r="Q14" i="7"/>
  <c r="M21" i="7"/>
  <c r="N24" i="7"/>
  <c r="Q21" i="7"/>
  <c r="P10" i="7"/>
  <c r="O10" i="7"/>
  <c r="M10" i="7"/>
  <c r="G12" i="7"/>
  <c r="I10" i="7"/>
  <c r="I12" i="7" s="1"/>
  <c r="L10" i="7"/>
  <c r="P16" i="7"/>
  <c r="M16" i="7"/>
  <c r="K16" i="7"/>
  <c r="U45" i="34"/>
  <c r="J37" i="7"/>
  <c r="L37" i="7"/>
  <c r="L44" i="7" s="1"/>
  <c r="H42" i="7"/>
  <c r="W23" i="7"/>
  <c r="L50" i="7"/>
  <c r="L52" i="7" s="1"/>
  <c r="K32" i="7"/>
  <c r="K34" i="7" s="1"/>
  <c r="Q32" i="7"/>
  <c r="N32" i="7"/>
  <c r="N31" i="7"/>
  <c r="T52" i="7"/>
  <c r="J31" i="7"/>
  <c r="Q31" i="7"/>
  <c r="BC63" i="7"/>
  <c r="BA63" i="7"/>
  <c r="BA69" i="7" s="1"/>
  <c r="G63" i="7"/>
  <c r="AY63" i="7"/>
  <c r="BU89" i="24"/>
  <c r="BV89" i="24" s="1"/>
  <c r="I20" i="24"/>
  <c r="BP20" i="24"/>
  <c r="BR20" i="24" s="1"/>
  <c r="BV20" i="24" s="1"/>
  <c r="I39" i="34"/>
  <c r="O39" i="34"/>
  <c r="K39" i="34"/>
  <c r="M39" i="34"/>
  <c r="N39" i="34"/>
  <c r="P39" i="34"/>
  <c r="L39" i="34"/>
  <c r="J20" i="34"/>
  <c r="P20" i="34"/>
  <c r="H20" i="34"/>
  <c r="N20" i="34"/>
  <c r="K20" i="34"/>
  <c r="BP35" i="34"/>
  <c r="P35" i="34"/>
  <c r="I35" i="34"/>
  <c r="M35" i="34"/>
  <c r="H50" i="7"/>
  <c r="H52" i="7" s="1"/>
  <c r="M50" i="7"/>
  <c r="M52" i="7" s="1"/>
  <c r="I50" i="7"/>
  <c r="I52" i="7" s="1"/>
  <c r="O50" i="7"/>
  <c r="O52" i="7" s="1"/>
  <c r="BS32" i="7"/>
  <c r="BV32" i="7" s="1"/>
  <c r="BZ32" i="7" s="1"/>
  <c r="L32" i="7"/>
  <c r="G13" i="34"/>
  <c r="M31" i="7"/>
  <c r="O31" i="7"/>
  <c r="H31" i="7"/>
  <c r="AE63" i="7"/>
  <c r="AE69" i="7" s="1"/>
  <c r="AC63" i="7"/>
  <c r="AA63" i="7"/>
  <c r="H32" i="24"/>
  <c r="J32" i="24"/>
  <c r="BP32" i="24"/>
  <c r="BR32" i="24" s="1"/>
  <c r="BV32" i="24" s="1"/>
  <c r="H106" i="24"/>
  <c r="K106" i="24"/>
  <c r="L106" i="24"/>
  <c r="O95" i="24"/>
  <c r="O97" i="24" s="1"/>
  <c r="P95" i="24"/>
  <c r="Q92" i="24"/>
  <c r="I92" i="24"/>
  <c r="J92" i="24"/>
  <c r="BP22" i="24"/>
  <c r="BR22" i="24" s="1"/>
  <c r="BV22" i="24" s="1"/>
  <c r="P22" i="24"/>
  <c r="M22" i="24"/>
  <c r="K22" i="24"/>
  <c r="H22" i="24"/>
  <c r="J22" i="24"/>
  <c r="Q27" i="32"/>
  <c r="Q33" i="32" s="1"/>
  <c r="M12" i="7"/>
  <c r="H20" i="24"/>
  <c r="L20" i="24"/>
  <c r="N20" i="24"/>
  <c r="K20" i="24"/>
  <c r="M20" i="24"/>
  <c r="H23" i="24"/>
  <c r="L23" i="24"/>
  <c r="N23" i="24"/>
  <c r="K23" i="24"/>
  <c r="M23" i="24"/>
  <c r="M82" i="25"/>
  <c r="L82" i="25"/>
  <c r="K82" i="25"/>
  <c r="I91" i="25"/>
  <c r="J91" i="25"/>
  <c r="P30" i="38"/>
  <c r="U34" i="7"/>
  <c r="Q50" i="7"/>
  <c r="Q52" i="7" s="1"/>
  <c r="J50" i="7"/>
  <c r="J52" i="7" s="1"/>
  <c r="AW63" i="7"/>
  <c r="AU63" i="7"/>
  <c r="AU69" i="7" s="1"/>
  <c r="AS63" i="7"/>
  <c r="P24" i="24"/>
  <c r="Q100" i="24"/>
  <c r="H100" i="24"/>
  <c r="J100" i="24"/>
  <c r="BP49" i="24"/>
  <c r="BR49" i="24" s="1"/>
  <c r="BV49" i="24" s="1"/>
  <c r="M49" i="24"/>
  <c r="N49" i="24"/>
  <c r="L29" i="24"/>
  <c r="N29" i="24"/>
  <c r="Q55" i="24"/>
  <c r="H55" i="24"/>
  <c r="J55" i="24"/>
  <c r="K30" i="24"/>
  <c r="H30" i="24"/>
  <c r="J30" i="24"/>
  <c r="BP30" i="24"/>
  <c r="BR30" i="24" s="1"/>
  <c r="BV30" i="24" s="1"/>
  <c r="P30" i="24"/>
  <c r="M30" i="24"/>
  <c r="S32" i="25"/>
  <c r="W32" i="25" s="1"/>
  <c r="G32" i="25"/>
  <c r="O30" i="26"/>
  <c r="J30" i="26"/>
  <c r="N30" i="26"/>
  <c r="I30" i="26"/>
  <c r="Q30" i="26"/>
  <c r="BO30" i="26"/>
  <c r="BR30" i="26" s="1"/>
  <c r="BV30" i="26" s="1"/>
  <c r="P30" i="26"/>
  <c r="L30" i="26"/>
  <c r="M30" i="26"/>
  <c r="AK57" i="7"/>
  <c r="BE57" i="7"/>
  <c r="AX57" i="7"/>
  <c r="H36" i="26"/>
  <c r="L36" i="26"/>
  <c r="K36" i="26"/>
  <c r="O36" i="26"/>
  <c r="J36" i="26"/>
  <c r="N36" i="26"/>
  <c r="I36" i="26"/>
  <c r="Q36" i="26"/>
  <c r="O42" i="28"/>
  <c r="H42" i="28"/>
  <c r="J42" i="28"/>
  <c r="P42" i="28"/>
  <c r="Q42" i="28"/>
  <c r="N42" i="28"/>
  <c r="K42" i="28"/>
  <c r="M42" i="28"/>
  <c r="I56" i="28"/>
  <c r="K56" i="28"/>
  <c r="N56" i="28"/>
  <c r="P56" i="28"/>
  <c r="Q56" i="28"/>
  <c r="J56" i="28"/>
  <c r="L56" i="28"/>
  <c r="V33" i="26"/>
  <c r="AE61" i="28"/>
  <c r="BK53" i="28"/>
  <c r="N36" i="24"/>
  <c r="J80" i="24"/>
  <c r="H80" i="24"/>
  <c r="J76" i="24"/>
  <c r="H76" i="24"/>
  <c r="J72" i="24"/>
  <c r="H72" i="24"/>
  <c r="G45" i="25"/>
  <c r="J22" i="26"/>
  <c r="L22" i="26"/>
  <c r="BO22" i="26"/>
  <c r="BR22" i="26" s="1"/>
  <c r="BV22" i="26" s="1"/>
  <c r="O22" i="26"/>
  <c r="AJ57" i="7"/>
  <c r="AJ72" i="7" s="1"/>
  <c r="AL57" i="7"/>
  <c r="AL72" i="7" s="1"/>
  <c r="AT57" i="7"/>
  <c r="AT72" i="7" s="1"/>
  <c r="U55" i="25"/>
  <c r="O13" i="28"/>
  <c r="J13" i="28"/>
  <c r="L13" i="28"/>
  <c r="N13" i="28"/>
  <c r="K13" i="28"/>
  <c r="P13" i="28"/>
  <c r="J12" i="28"/>
  <c r="BO39" i="28"/>
  <c r="BR39" i="28" s="1"/>
  <c r="BV39" i="28" s="1"/>
  <c r="G46" i="28"/>
  <c r="AD55" i="25"/>
  <c r="AL55" i="25"/>
  <c r="AT55" i="25"/>
  <c r="BB55" i="25"/>
  <c r="R55" i="25"/>
  <c r="BK93" i="25"/>
  <c r="BK101" i="25"/>
  <c r="BK102" i="25"/>
  <c r="W27" i="26"/>
  <c r="I60" i="28"/>
  <c r="K60" i="28"/>
  <c r="N60" i="28"/>
  <c r="P60" i="28"/>
  <c r="P24" i="28"/>
  <c r="BG17" i="28"/>
  <c r="J55" i="28"/>
  <c r="P55" i="28"/>
  <c r="H55" i="28"/>
  <c r="Q55" i="28"/>
  <c r="BC28" i="28"/>
  <c r="BC30" i="28" s="1"/>
  <c r="BC31" i="28" s="1"/>
  <c r="AM28" i="28"/>
  <c r="AM30" i="28" s="1"/>
  <c r="AM31" i="28" s="1"/>
  <c r="BE28" i="28"/>
  <c r="BE30" i="28" s="1"/>
  <c r="BE31" i="28" s="1"/>
  <c r="AO28" i="28"/>
  <c r="AO30" i="28" s="1"/>
  <c r="AO31" i="28" s="1"/>
  <c r="G28" i="28"/>
  <c r="AY28" i="28"/>
  <c r="AY30" i="28" s="1"/>
  <c r="AY31" i="28" s="1"/>
  <c r="AI28" i="28"/>
  <c r="AI30" i="28" s="1"/>
  <c r="BA28" i="28"/>
  <c r="BA30" i="28" s="1"/>
  <c r="BA31" i="28" s="1"/>
  <c r="AK28" i="28"/>
  <c r="AK30" i="28" s="1"/>
  <c r="AK31" i="28" s="1"/>
  <c r="AU28" i="28"/>
  <c r="AU30" i="28" s="1"/>
  <c r="AU31" i="28" s="1"/>
  <c r="AE28" i="28"/>
  <c r="AW28" i="28"/>
  <c r="AW30" i="28" s="1"/>
  <c r="AW31" i="28" s="1"/>
  <c r="AG28" i="28"/>
  <c r="AG30" i="28" s="1"/>
  <c r="AG31" i="28" s="1"/>
  <c r="AM73" i="28"/>
  <c r="N24" i="34"/>
  <c r="Q24" i="34"/>
  <c r="O24" i="34"/>
  <c r="AG12" i="7"/>
  <c r="AI12" i="7"/>
  <c r="AK34" i="7"/>
  <c r="AY12" i="7"/>
  <c r="BG34" i="7"/>
  <c r="BH57" i="7"/>
  <c r="AF55" i="25"/>
  <c r="AN55" i="25"/>
  <c r="AV55" i="25"/>
  <c r="BD55" i="25"/>
  <c r="BJ33" i="26"/>
  <c r="BJ39" i="26"/>
  <c r="J27" i="28"/>
  <c r="H27" i="28"/>
  <c r="H13" i="28"/>
  <c r="O12" i="28"/>
  <c r="BO37" i="28"/>
  <c r="P37" i="28"/>
  <c r="N37" i="28"/>
  <c r="L37" i="28"/>
  <c r="Q37" i="28"/>
  <c r="BE73" i="28"/>
  <c r="AS31" i="28"/>
  <c r="AE14" i="28"/>
  <c r="AE17" i="28" s="1"/>
  <c r="AM14" i="28"/>
  <c r="AM17" i="28" s="1"/>
  <c r="AU14" i="28"/>
  <c r="BC14" i="28"/>
  <c r="BC17" i="28" s="1"/>
  <c r="BJ14" i="28"/>
  <c r="BE17" i="28"/>
  <c r="BK27" i="28"/>
  <c r="AU61" i="28"/>
  <c r="BC61" i="28"/>
  <c r="O30" i="33"/>
  <c r="M30" i="33"/>
  <c r="O28" i="33"/>
  <c r="P28" i="33"/>
  <c r="P31" i="33" s="1"/>
  <c r="AO13" i="33"/>
  <c r="AW13" i="33"/>
  <c r="BE13" i="33"/>
  <c r="BA13" i="33"/>
  <c r="AQ13" i="33"/>
  <c r="AI13" i="33"/>
  <c r="AE13" i="33"/>
  <c r="AA13" i="33"/>
  <c r="AY13" i="33"/>
  <c r="AU13" i="33"/>
  <c r="AK13" i="33"/>
  <c r="BI13" i="33"/>
  <c r="BC13" i="33"/>
  <c r="AC13" i="33"/>
  <c r="BG13" i="33"/>
  <c r="AG13" i="33"/>
  <c r="AS13" i="33"/>
  <c r="AM13" i="33"/>
  <c r="AC29" i="33"/>
  <c r="AU29" i="33"/>
  <c r="BE29" i="33"/>
  <c r="AS29" i="33"/>
  <c r="AQ29" i="33"/>
  <c r="AY29" i="33"/>
  <c r="AE29" i="33"/>
  <c r="AO29" i="33"/>
  <c r="BI29" i="33"/>
  <c r="BG29" i="33"/>
  <c r="BC29" i="33"/>
  <c r="BA29" i="33"/>
  <c r="AM29" i="33"/>
  <c r="AI29" i="33"/>
  <c r="AW29" i="33"/>
  <c r="AK29" i="33"/>
  <c r="AG29" i="33"/>
  <c r="AA29" i="33"/>
  <c r="AC17" i="28"/>
  <c r="AG73" i="28"/>
  <c r="AP17" i="28"/>
  <c r="BG14" i="33"/>
  <c r="BC14" i="33"/>
  <c r="AS14" i="33"/>
  <c r="AM14" i="33"/>
  <c r="AG14" i="33"/>
  <c r="AC14" i="33"/>
  <c r="AY14" i="33"/>
  <c r="AO14" i="33"/>
  <c r="AW14" i="33"/>
  <c r="AU14" i="33"/>
  <c r="BE14" i="33"/>
  <c r="BA14" i="33"/>
  <c r="AQ14" i="33"/>
  <c r="AI14" i="33"/>
  <c r="AE14" i="33"/>
  <c r="AA14" i="33"/>
  <c r="AK14" i="33"/>
  <c r="BI14" i="33"/>
  <c r="G14" i="33"/>
  <c r="AO30" i="33"/>
  <c r="AW30" i="33"/>
  <c r="AU30" i="33"/>
  <c r="AK30" i="33"/>
  <c r="BI30" i="33"/>
  <c r="BG30" i="33"/>
  <c r="BE30" i="33"/>
  <c r="BC30" i="33"/>
  <c r="BA30" i="33"/>
  <c r="AS30" i="33"/>
  <c r="AQ30" i="33"/>
  <c r="AM30" i="33"/>
  <c r="AI30" i="33"/>
  <c r="AG30" i="33"/>
  <c r="AA30" i="33"/>
  <c r="AC30" i="33"/>
  <c r="AY30" i="33"/>
  <c r="AE30" i="33"/>
  <c r="AK17" i="28"/>
  <c r="AC73" i="28"/>
  <c r="BD17" i="28"/>
  <c r="BJ30" i="28"/>
  <c r="BJ31" i="28" s="1"/>
  <c r="BE36" i="28"/>
  <c r="AW36" i="28"/>
  <c r="AO36" i="28"/>
  <c r="AG36" i="28"/>
  <c r="BA36" i="28"/>
  <c r="AC36" i="28"/>
  <c r="AC43" i="28" s="1"/>
  <c r="AQ36" i="28"/>
  <c r="BC36" i="28"/>
  <c r="AU36" i="28"/>
  <c r="AM36" i="28"/>
  <c r="AE36" i="28"/>
  <c r="AK36" i="28"/>
  <c r="AY36" i="28"/>
  <c r="AA36" i="28"/>
  <c r="AS36" i="28"/>
  <c r="BG36" i="28"/>
  <c r="AI36" i="28"/>
  <c r="BE41" i="28"/>
  <c r="AW41" i="28"/>
  <c r="AO41" i="28"/>
  <c r="AG41" i="28"/>
  <c r="AQ41" i="28"/>
  <c r="AA41" i="28"/>
  <c r="BC41" i="28"/>
  <c r="AU41" i="28"/>
  <c r="AM41" i="28"/>
  <c r="AE41" i="28"/>
  <c r="AY41" i="28"/>
  <c r="BA41" i="28"/>
  <c r="AS41" i="28"/>
  <c r="AK41" i="28"/>
  <c r="BG41" i="28"/>
  <c r="AI41" i="28"/>
  <c r="BK65" i="28"/>
  <c r="AI73" i="28"/>
  <c r="AO23" i="33"/>
  <c r="AW23" i="33"/>
  <c r="AY23" i="33"/>
  <c r="AU23" i="33"/>
  <c r="AK23" i="33"/>
  <c r="BI23" i="33"/>
  <c r="BG23" i="33"/>
  <c r="BE23" i="33"/>
  <c r="BC23" i="33"/>
  <c r="BA23" i="33"/>
  <c r="AS23" i="33"/>
  <c r="AQ23" i="33"/>
  <c r="AM23" i="33"/>
  <c r="AI23" i="33"/>
  <c r="AG23" i="33"/>
  <c r="AA23" i="33"/>
  <c r="AC23" i="33"/>
  <c r="BE12" i="33"/>
  <c r="BA12" i="33"/>
  <c r="AQ12" i="33"/>
  <c r="AI12" i="33"/>
  <c r="AE12" i="33"/>
  <c r="AA12" i="33"/>
  <c r="AY12" i="33"/>
  <c r="AU12" i="33"/>
  <c r="AK12" i="33"/>
  <c r="BI12" i="33"/>
  <c r="AO12" i="33"/>
  <c r="AW12" i="33"/>
  <c r="BG12" i="33"/>
  <c r="BC12" i="33"/>
  <c r="AS12" i="33"/>
  <c r="AM12" i="33"/>
  <c r="AG12" i="33"/>
  <c r="AC12" i="33"/>
  <c r="R34" i="33"/>
  <c r="AC24" i="33"/>
  <c r="AY24" i="33"/>
  <c r="BI24" i="33"/>
  <c r="BG24" i="33"/>
  <c r="BC24" i="33"/>
  <c r="BA24" i="33"/>
  <c r="AM24" i="33"/>
  <c r="AI24" i="33"/>
  <c r="AE24" i="33"/>
  <c r="AU24" i="33"/>
  <c r="AK24" i="33"/>
  <c r="AS24" i="33"/>
  <c r="AQ24" i="33"/>
  <c r="AO24" i="33"/>
  <c r="AW24" i="33"/>
  <c r="BE24" i="33"/>
  <c r="AA24" i="33"/>
  <c r="AG24" i="33"/>
  <c r="AY28" i="33"/>
  <c r="AE28" i="33"/>
  <c r="AO28" i="33"/>
  <c r="AW28" i="33"/>
  <c r="AU28" i="33"/>
  <c r="AK28" i="33"/>
  <c r="BI28" i="33"/>
  <c r="BG28" i="33"/>
  <c r="BE28" i="33"/>
  <c r="BC28" i="33"/>
  <c r="BA28" i="33"/>
  <c r="AS28" i="33"/>
  <c r="AQ28" i="33"/>
  <c r="AM28" i="33"/>
  <c r="AI28" i="33"/>
  <c r="AG28" i="33"/>
  <c r="AA28" i="33"/>
  <c r="AC28" i="33"/>
  <c r="BN62" i="28"/>
  <c r="BN74" i="28" s="1"/>
  <c r="BT62" i="28"/>
  <c r="BT74" i="28" s="1"/>
  <c r="BV49" i="38"/>
  <c r="BU71" i="25"/>
  <c r="BP88" i="25"/>
  <c r="BU111" i="25"/>
  <c r="BN42" i="26"/>
  <c r="BT42" i="26"/>
  <c r="N21" i="7"/>
  <c r="G20" i="7"/>
  <c r="BS20" i="7" s="1"/>
  <c r="BV20" i="7" s="1"/>
  <c r="S56" i="7"/>
  <c r="S57" i="7" s="1"/>
  <c r="AW19" i="33"/>
  <c r="AE19" i="33"/>
  <c r="BE19" i="33"/>
  <c r="AO19" i="33"/>
  <c r="AY19" i="33"/>
  <c r="AU19" i="33"/>
  <c r="AK19" i="33"/>
  <c r="BI19" i="33"/>
  <c r="BC19" i="33"/>
  <c r="AA19" i="33"/>
  <c r="BG19" i="33"/>
  <c r="BA19" i="33"/>
  <c r="AS19" i="33"/>
  <c r="AQ19" i="33"/>
  <c r="AM19" i="33"/>
  <c r="AI19" i="33"/>
  <c r="AG19" i="33"/>
  <c r="AC19" i="33"/>
  <c r="BF31" i="28"/>
  <c r="AX31" i="28"/>
  <c r="AP31" i="28"/>
  <c r="AH31" i="28"/>
  <c r="Z31" i="28"/>
  <c r="BF62" i="28"/>
  <c r="G33" i="37"/>
  <c r="AA13" i="37"/>
  <c r="AA38" i="37" s="1"/>
  <c r="BI13" i="37"/>
  <c r="BI38" i="37" s="1"/>
  <c r="BE13" i="37"/>
  <c r="BE38" i="37" s="1"/>
  <c r="AC13" i="37"/>
  <c r="AC38" i="37" s="1"/>
  <c r="BA13" i="37"/>
  <c r="BA38" i="37" s="1"/>
  <c r="AQ13" i="37"/>
  <c r="AQ38" i="37" s="1"/>
  <c r="AI13" i="37"/>
  <c r="AI38" i="37" s="1"/>
  <c r="BC13" i="37"/>
  <c r="BC38" i="37" s="1"/>
  <c r="AS13" i="37"/>
  <c r="AS38" i="37" s="1"/>
  <c r="AM13" i="37"/>
  <c r="AM38" i="37" s="1"/>
  <c r="AE13" i="37"/>
  <c r="AE38" i="37" s="1"/>
  <c r="BG13" i="37"/>
  <c r="BG38" i="37" s="1"/>
  <c r="BG41" i="37"/>
  <c r="AG41" i="37"/>
  <c r="BI41" i="37"/>
  <c r="G41" i="37"/>
  <c r="BC41" i="37"/>
  <c r="AS41" i="37"/>
  <c r="AM41" i="37"/>
  <c r="AE41" i="37"/>
  <c r="BE41" i="37"/>
  <c r="AC41" i="37"/>
  <c r="BA41" i="37"/>
  <c r="AQ41" i="37"/>
  <c r="AI41" i="37"/>
  <c r="AA41" i="37"/>
  <c r="BA49" i="37"/>
  <c r="AQ49" i="37"/>
  <c r="AI49" i="37"/>
  <c r="AA49" i="37"/>
  <c r="BC49" i="37"/>
  <c r="AM49" i="37"/>
  <c r="BG49" i="37"/>
  <c r="AG49" i="37"/>
  <c r="BI49" i="37"/>
  <c r="AC49" i="37"/>
  <c r="AS49" i="37"/>
  <c r="AE49" i="37"/>
  <c r="BI50" i="37"/>
  <c r="AC50" i="37"/>
  <c r="BG50" i="37"/>
  <c r="BA50" i="37"/>
  <c r="AQ50" i="37"/>
  <c r="AI50" i="37"/>
  <c r="AA50" i="37"/>
  <c r="G50" i="37"/>
  <c r="Q50" i="37" s="1"/>
  <c r="BC50" i="37"/>
  <c r="AS50" i="37"/>
  <c r="AM50" i="37"/>
  <c r="AE50" i="37"/>
  <c r="AG50" i="37"/>
  <c r="BU46" i="25"/>
  <c r="BN55" i="25"/>
  <c r="BR66" i="25"/>
  <c r="BV59" i="25"/>
  <c r="BV61" i="25"/>
  <c r="BV63" i="25"/>
  <c r="BV65" i="25"/>
  <c r="BV68" i="25"/>
  <c r="BV70" i="25"/>
  <c r="BR78" i="25"/>
  <c r="BQ88" i="25"/>
  <c r="BS42" i="26"/>
  <c r="AE57" i="7"/>
  <c r="BS21" i="7"/>
  <c r="BV21" i="7" s="1"/>
  <c r="X26" i="7"/>
  <c r="Y26" i="7"/>
  <c r="BG81" i="7"/>
  <c r="G44" i="37"/>
  <c r="BC44" i="37"/>
  <c r="AS44" i="37"/>
  <c r="AM44" i="37"/>
  <c r="AE44" i="37"/>
  <c r="BA44" i="37"/>
  <c r="BI44" i="37"/>
  <c r="BE44" i="37"/>
  <c r="AC44" i="37"/>
  <c r="AI44" i="37"/>
  <c r="BG44" i="37"/>
  <c r="AG44" i="37"/>
  <c r="AQ44" i="37"/>
  <c r="AA44" i="37"/>
  <c r="BN88" i="25"/>
  <c r="BT88" i="25"/>
  <c r="BQ42" i="26"/>
  <c r="BU31" i="28"/>
  <c r="BS62" i="28"/>
  <c r="BV37" i="38"/>
  <c r="BR87" i="25"/>
  <c r="BO88" i="25"/>
  <c r="BR106" i="25"/>
  <c r="BV13" i="26"/>
  <c r="AC12" i="7"/>
  <c r="J21" i="7"/>
  <c r="K21" i="7"/>
  <c r="P54" i="7"/>
  <c r="P56" i="7" s="1"/>
  <c r="BC40" i="37"/>
  <c r="AS40" i="37"/>
  <c r="AM40" i="37"/>
  <c r="AE40" i="37"/>
  <c r="AQ40" i="37"/>
  <c r="AI40" i="37"/>
  <c r="AA40" i="37"/>
  <c r="BI40" i="37"/>
  <c r="BE40" i="37"/>
  <c r="AC40" i="37"/>
  <c r="BA40" i="37"/>
  <c r="BG40" i="37"/>
  <c r="AG40" i="37"/>
  <c r="AO20" i="33"/>
  <c r="BI20" i="33"/>
  <c r="BG20" i="33"/>
  <c r="BE20" i="33"/>
  <c r="BC20" i="33"/>
  <c r="BA20" i="33"/>
  <c r="AS20" i="33"/>
  <c r="AQ20" i="33"/>
  <c r="AM20" i="33"/>
  <c r="AI20" i="33"/>
  <c r="AG20" i="33"/>
  <c r="AA20" i="33"/>
  <c r="AW20" i="33"/>
  <c r="AC20" i="33"/>
  <c r="AY20" i="33"/>
  <c r="AU20" i="33"/>
  <c r="AK20" i="33"/>
  <c r="AE20" i="33"/>
  <c r="BH31" i="28"/>
  <c r="BH74" i="28" s="1"/>
  <c r="AZ31" i="28"/>
  <c r="AR31" i="28"/>
  <c r="AR74" i="28" s="1"/>
  <c r="AJ31" i="28"/>
  <c r="AJ74" i="28" s="1"/>
  <c r="AB31" i="28"/>
  <c r="AB74" i="28" s="1"/>
  <c r="R11" i="38"/>
  <c r="M11" i="38"/>
  <c r="N11" i="38"/>
  <c r="BJ11" i="38"/>
  <c r="BF11" i="38"/>
  <c r="BB11" i="38"/>
  <c r="AX11" i="38"/>
  <c r="AT11" i="38"/>
  <c r="AP11" i="38"/>
  <c r="AL11" i="38"/>
  <c r="AH11" i="38"/>
  <c r="AD11" i="38"/>
  <c r="BH11" i="38"/>
  <c r="BD11" i="38"/>
  <c r="AZ11" i="38"/>
  <c r="AV11" i="38"/>
  <c r="AR11" i="38"/>
  <c r="AN11" i="38"/>
  <c r="AJ11" i="38"/>
  <c r="AF11" i="38"/>
  <c r="AB11" i="38"/>
  <c r="BJ23" i="38"/>
  <c r="BF23" i="38"/>
  <c r="BB23" i="38"/>
  <c r="AX23" i="38"/>
  <c r="AT23" i="38"/>
  <c r="AP23" i="38"/>
  <c r="AL23" i="38"/>
  <c r="AH23" i="38"/>
  <c r="AD23" i="38"/>
  <c r="BH23" i="38"/>
  <c r="BD23" i="38"/>
  <c r="AZ23" i="38"/>
  <c r="AV23" i="38"/>
  <c r="AR23" i="38"/>
  <c r="AN23" i="38"/>
  <c r="AJ23" i="38"/>
  <c r="AF23" i="38"/>
  <c r="AB23" i="38"/>
  <c r="O27" i="38"/>
  <c r="K27" i="38"/>
  <c r="BJ47" i="38"/>
  <c r="BF47" i="38"/>
  <c r="BB47" i="38"/>
  <c r="AX47" i="38"/>
  <c r="AT47" i="38"/>
  <c r="AP47" i="38"/>
  <c r="AL47" i="38"/>
  <c r="AH47" i="38"/>
  <c r="AD47" i="38"/>
  <c r="BH47" i="38"/>
  <c r="BD47" i="38"/>
  <c r="AZ47" i="38"/>
  <c r="AV47" i="38"/>
  <c r="AR47" i="38"/>
  <c r="AN47" i="38"/>
  <c r="AJ47" i="38"/>
  <c r="AF47" i="38"/>
  <c r="AB47" i="38"/>
  <c r="BH16" i="38"/>
  <c r="BD16" i="38"/>
  <c r="AZ16" i="38"/>
  <c r="AV16" i="38"/>
  <c r="AR16" i="38"/>
  <c r="AN16" i="38"/>
  <c r="AJ16" i="38"/>
  <c r="AF16" i="38"/>
  <c r="AB16" i="38"/>
  <c r="BJ16" i="38"/>
  <c r="BF16" i="38"/>
  <c r="BB16" i="38"/>
  <c r="AX16" i="38"/>
  <c r="AT16" i="38"/>
  <c r="AP16" i="38"/>
  <c r="AL16" i="38"/>
  <c r="AH16" i="38"/>
  <c r="AD16" i="38"/>
  <c r="BK25" i="38"/>
  <c r="G22" i="38"/>
  <c r="H22" i="38" s="1"/>
  <c r="AB46" i="38"/>
  <c r="BJ46" i="38"/>
  <c r="BF46" i="38"/>
  <c r="BB46" i="38"/>
  <c r="AX46" i="38"/>
  <c r="AT46" i="38"/>
  <c r="AP46" i="38"/>
  <c r="AL46" i="38"/>
  <c r="AH46" i="38"/>
  <c r="AD46" i="38"/>
  <c r="BH46" i="38"/>
  <c r="BD46" i="38"/>
  <c r="AZ46" i="38"/>
  <c r="AV46" i="38"/>
  <c r="AR46" i="38"/>
  <c r="AN46" i="38"/>
  <c r="AJ46" i="38"/>
  <c r="AF46" i="38"/>
  <c r="BJ12" i="38"/>
  <c r="BF12" i="38"/>
  <c r="BB12" i="38"/>
  <c r="AX12" i="38"/>
  <c r="AT12" i="38"/>
  <c r="AP12" i="38"/>
  <c r="AL12" i="38"/>
  <c r="AH12" i="38"/>
  <c r="AD12" i="38"/>
  <c r="BH12" i="38"/>
  <c r="BD12" i="38"/>
  <c r="AZ12" i="38"/>
  <c r="AV12" i="38"/>
  <c r="AR12" i="38"/>
  <c r="AN12" i="38"/>
  <c r="AJ12" i="38"/>
  <c r="AF12" i="38"/>
  <c r="AB12" i="38"/>
  <c r="AB19" i="38"/>
  <c r="BH19" i="38"/>
  <c r="BD19" i="38"/>
  <c r="AZ19" i="38"/>
  <c r="AV19" i="38"/>
  <c r="AR19" i="38"/>
  <c r="AN19" i="38"/>
  <c r="AJ19" i="38"/>
  <c r="AF19" i="38"/>
  <c r="BJ19" i="38"/>
  <c r="BF19" i="38"/>
  <c r="BB19" i="38"/>
  <c r="AX19" i="38"/>
  <c r="AT19" i="38"/>
  <c r="AP19" i="38"/>
  <c r="AL19" i="38"/>
  <c r="AH19" i="38"/>
  <c r="AD19" i="38"/>
  <c r="BJ22" i="38"/>
  <c r="BF22" i="38"/>
  <c r="BB22" i="38"/>
  <c r="AX22" i="38"/>
  <c r="AT22" i="38"/>
  <c r="AP22" i="38"/>
  <c r="AL22" i="38"/>
  <c r="AH22" i="38"/>
  <c r="AD22" i="38"/>
  <c r="AB22" i="38"/>
  <c r="BH22" i="38"/>
  <c r="BD22" i="38"/>
  <c r="BD25" i="38" s="1"/>
  <c r="AZ22" i="38"/>
  <c r="AV22" i="38"/>
  <c r="AR22" i="38"/>
  <c r="AN22" i="38"/>
  <c r="AN25" i="38" s="1"/>
  <c r="AJ22" i="38"/>
  <c r="AF22" i="38"/>
  <c r="BH29" i="38"/>
  <c r="BH37" i="38" s="1"/>
  <c r="BD29" i="38"/>
  <c r="BD37" i="38" s="1"/>
  <c r="AZ29" i="38"/>
  <c r="AZ37" i="38" s="1"/>
  <c r="AV29" i="38"/>
  <c r="AV37" i="38" s="1"/>
  <c r="AR29" i="38"/>
  <c r="AR37" i="38" s="1"/>
  <c r="AN29" i="38"/>
  <c r="AN37" i="38" s="1"/>
  <c r="AJ29" i="38"/>
  <c r="AJ37" i="38" s="1"/>
  <c r="AF29" i="38"/>
  <c r="AF37" i="38" s="1"/>
  <c r="AB29" i="38"/>
  <c r="BJ29" i="38"/>
  <c r="BJ37" i="38" s="1"/>
  <c r="BF29" i="38"/>
  <c r="BF37" i="38" s="1"/>
  <c r="BB29" i="38"/>
  <c r="BB37" i="38" s="1"/>
  <c r="AX29" i="38"/>
  <c r="AX37" i="38" s="1"/>
  <c r="AT29" i="38"/>
  <c r="AT37" i="38" s="1"/>
  <c r="AP29" i="38"/>
  <c r="AP37" i="38" s="1"/>
  <c r="AL29" i="38"/>
  <c r="AL37" i="38" s="1"/>
  <c r="AH29" i="38"/>
  <c r="AH37" i="38" s="1"/>
  <c r="AD29" i="38"/>
  <c r="AD37" i="38" s="1"/>
  <c r="BH45" i="38"/>
  <c r="BD45" i="38"/>
  <c r="AZ45" i="38"/>
  <c r="AV45" i="38"/>
  <c r="AR45" i="38"/>
  <c r="AN45" i="38"/>
  <c r="AJ45" i="38"/>
  <c r="AF45" i="38"/>
  <c r="AB45" i="38"/>
  <c r="BJ45" i="38"/>
  <c r="BF45" i="38"/>
  <c r="BB45" i="38"/>
  <c r="AX45" i="38"/>
  <c r="AT45" i="38"/>
  <c r="AP45" i="38"/>
  <c r="AL45" i="38"/>
  <c r="AH45" i="38"/>
  <c r="AD45" i="38"/>
  <c r="G23" i="38"/>
  <c r="V23" i="38" s="1"/>
  <c r="Z23" i="38" s="1"/>
  <c r="G15" i="38"/>
  <c r="H15" i="38" s="1"/>
  <c r="I15" i="38" s="1"/>
  <c r="BK20" i="38"/>
  <c r="M27" i="38"/>
  <c r="J27" i="38"/>
  <c r="Q27" i="38"/>
  <c r="BO27" i="38"/>
  <c r="BS27" i="38" s="1"/>
  <c r="BW27" i="38" s="1"/>
  <c r="L27" i="38"/>
  <c r="N27" i="38"/>
  <c r="P27" i="38"/>
  <c r="G32" i="38"/>
  <c r="H32" i="38" s="1"/>
  <c r="BK37" i="38"/>
  <c r="Q121" i="32"/>
  <c r="BW46" i="32"/>
  <c r="AA132" i="32"/>
  <c r="U15" i="37"/>
  <c r="Y15" i="37" s="1"/>
  <c r="T15" i="37"/>
  <c r="X15" i="37" s="1"/>
  <c r="S15" i="37"/>
  <c r="W15" i="37" s="1"/>
  <c r="S14" i="37"/>
  <c r="W14" i="37" s="1"/>
  <c r="T14" i="37"/>
  <c r="X14" i="37" s="1"/>
  <c r="U14" i="37"/>
  <c r="Y14" i="37" s="1"/>
  <c r="P25" i="37"/>
  <c r="BN25" i="37"/>
  <c r="BR25" i="37" s="1"/>
  <c r="BV25" i="37" s="1"/>
  <c r="H25" i="37"/>
  <c r="I25" i="37"/>
  <c r="O42" i="37"/>
  <c r="P42" i="37"/>
  <c r="J42" i="37"/>
  <c r="N42" i="37"/>
  <c r="H42" i="37"/>
  <c r="L42" i="37"/>
  <c r="M42" i="37"/>
  <c r="Q42" i="37"/>
  <c r="K42" i="37"/>
  <c r="BN42" i="37"/>
  <c r="BR42" i="37" s="1"/>
  <c r="BV42" i="37" s="1"/>
  <c r="I42" i="37"/>
  <c r="I40" i="37"/>
  <c r="K40" i="37"/>
  <c r="P23" i="37"/>
  <c r="H23" i="37"/>
  <c r="BN23" i="37"/>
  <c r="BR23" i="37" s="1"/>
  <c r="BV23" i="37" s="1"/>
  <c r="I23" i="37"/>
  <c r="BN20" i="37"/>
  <c r="BR20" i="37" s="1"/>
  <c r="BV20" i="37" s="1"/>
  <c r="I20" i="37"/>
  <c r="H20" i="37"/>
  <c r="P20" i="37"/>
  <c r="BN35" i="37"/>
  <c r="BR35" i="37" s="1"/>
  <c r="BV35" i="37" s="1"/>
  <c r="H35" i="37"/>
  <c r="I35" i="37"/>
  <c r="P35" i="37"/>
  <c r="G51" i="38"/>
  <c r="H51" i="38" s="1"/>
  <c r="BK52" i="38"/>
  <c r="BL52" i="38"/>
  <c r="AA53" i="38"/>
  <c r="BK49" i="38"/>
  <c r="G44" i="38"/>
  <c r="G39" i="38"/>
  <c r="G12" i="38"/>
  <c r="BK13" i="38"/>
  <c r="L30" i="38"/>
  <c r="BL36" i="38"/>
  <c r="G18" i="38"/>
  <c r="H18" i="38" s="1"/>
  <c r="I18" i="38" s="1"/>
  <c r="T16" i="38"/>
  <c r="BJ52" i="25"/>
  <c r="BJ55" i="25" s="1"/>
  <c r="BK75" i="25"/>
  <c r="BK77" i="25"/>
  <c r="P24" i="38"/>
  <c r="M24" i="38"/>
  <c r="L24" i="38"/>
  <c r="K24" i="38"/>
  <c r="BO24" i="38"/>
  <c r="BS24" i="38" s="1"/>
  <c r="BW24" i="38" s="1"/>
  <c r="N24" i="38"/>
  <c r="R24" i="38"/>
  <c r="Q24" i="38"/>
  <c r="J24" i="38"/>
  <c r="BO33" i="38"/>
  <c r="BS33" i="38" s="1"/>
  <c r="BW33" i="38" s="1"/>
  <c r="M33" i="38"/>
  <c r="I11" i="38"/>
  <c r="L11" i="38"/>
  <c r="Q11" i="38"/>
  <c r="K11" i="38"/>
  <c r="J11" i="38"/>
  <c r="P11" i="38"/>
  <c r="AE18" i="34"/>
  <c r="AC18" i="34"/>
  <c r="AA18" i="34"/>
  <c r="BE18" i="34"/>
  <c r="AK18" i="34"/>
  <c r="BI18" i="34"/>
  <c r="BG18" i="34"/>
  <c r="BC18" i="34"/>
  <c r="BA18" i="34"/>
  <c r="AY18" i="34"/>
  <c r="AW18" i="34"/>
  <c r="AU18" i="34"/>
  <c r="AS18" i="34"/>
  <c r="AQ18" i="34"/>
  <c r="AO18" i="34"/>
  <c r="AM18" i="34"/>
  <c r="AI18" i="34"/>
  <c r="AG18" i="34"/>
  <c r="BI25" i="34"/>
  <c r="BG25" i="34"/>
  <c r="BC25" i="34"/>
  <c r="BA25" i="34"/>
  <c r="AY25" i="34"/>
  <c r="AW25" i="34"/>
  <c r="AU25" i="34"/>
  <c r="AS25" i="34"/>
  <c r="AQ25" i="34"/>
  <c r="AO25" i="34"/>
  <c r="AM25" i="34"/>
  <c r="AI25" i="34"/>
  <c r="AG25" i="34"/>
  <c r="AE25" i="34"/>
  <c r="AC25" i="34"/>
  <c r="AA25" i="34"/>
  <c r="BE25" i="34"/>
  <c r="AK25" i="34"/>
  <c r="BI35" i="34"/>
  <c r="BG35" i="34"/>
  <c r="BC35" i="34"/>
  <c r="BA35" i="34"/>
  <c r="AY35" i="34"/>
  <c r="AW35" i="34"/>
  <c r="AU35" i="34"/>
  <c r="AS35" i="34"/>
  <c r="AQ35" i="34"/>
  <c r="AO35" i="34"/>
  <c r="AM35" i="34"/>
  <c r="AI35" i="34"/>
  <c r="AG35" i="34"/>
  <c r="AE35" i="34"/>
  <c r="AC35" i="34"/>
  <c r="AA35" i="34"/>
  <c r="BE35" i="34"/>
  <c r="AK35" i="34"/>
  <c r="BI39" i="34"/>
  <c r="BG39" i="34"/>
  <c r="BC39" i="34"/>
  <c r="BA39" i="34"/>
  <c r="AY39" i="34"/>
  <c r="AW39" i="34"/>
  <c r="AU39" i="34"/>
  <c r="AS39" i="34"/>
  <c r="AQ39" i="34"/>
  <c r="AO39" i="34"/>
  <c r="AM39" i="34"/>
  <c r="AI39" i="34"/>
  <c r="AG39" i="34"/>
  <c r="AE39" i="34"/>
  <c r="AC39" i="34"/>
  <c r="AA39" i="34"/>
  <c r="BE39" i="34"/>
  <c r="AK39" i="34"/>
  <c r="BI45" i="34"/>
  <c r="BI46" i="34" s="1"/>
  <c r="BG45" i="34"/>
  <c r="BG46" i="34" s="1"/>
  <c r="BC45" i="34"/>
  <c r="BC46" i="34" s="1"/>
  <c r="BA45" i="34"/>
  <c r="BA46" i="34" s="1"/>
  <c r="AY45" i="34"/>
  <c r="AY46" i="34" s="1"/>
  <c r="AW45" i="34"/>
  <c r="AW46" i="34" s="1"/>
  <c r="AU45" i="34"/>
  <c r="AU46" i="34" s="1"/>
  <c r="AS45" i="34"/>
  <c r="AS46" i="34" s="1"/>
  <c r="AQ45" i="34"/>
  <c r="AQ46" i="34" s="1"/>
  <c r="AO45" i="34"/>
  <c r="AO46" i="34" s="1"/>
  <c r="AM45" i="34"/>
  <c r="AM46" i="34" s="1"/>
  <c r="AI45" i="34"/>
  <c r="AI46" i="34" s="1"/>
  <c r="AG45" i="34"/>
  <c r="AG46" i="34" s="1"/>
  <c r="AE45" i="34"/>
  <c r="AE46" i="34" s="1"/>
  <c r="AC45" i="34"/>
  <c r="AC46" i="34" s="1"/>
  <c r="AA45" i="34"/>
  <c r="BE45" i="34"/>
  <c r="BE46" i="34" s="1"/>
  <c r="AK45" i="34"/>
  <c r="AK46" i="34" s="1"/>
  <c r="BG17" i="34"/>
  <c r="BC17" i="34"/>
  <c r="BA17" i="34"/>
  <c r="AY17" i="34"/>
  <c r="AW17" i="34"/>
  <c r="AU17" i="34"/>
  <c r="AS17" i="34"/>
  <c r="AQ17" i="34"/>
  <c r="AO17" i="34"/>
  <c r="AM17" i="34"/>
  <c r="AI17" i="34"/>
  <c r="AG17" i="34"/>
  <c r="AE17" i="34"/>
  <c r="AC17" i="34"/>
  <c r="AA17" i="34"/>
  <c r="BE17" i="34"/>
  <c r="AK17" i="34"/>
  <c r="BI17" i="34"/>
  <c r="BG21" i="34"/>
  <c r="BC21" i="34"/>
  <c r="BA21" i="34"/>
  <c r="AY21" i="34"/>
  <c r="AW21" i="34"/>
  <c r="AU21" i="34"/>
  <c r="AS21" i="34"/>
  <c r="AQ21" i="34"/>
  <c r="AO21" i="34"/>
  <c r="AM21" i="34"/>
  <c r="AI21" i="34"/>
  <c r="AG21" i="34"/>
  <c r="AE21" i="34"/>
  <c r="AC21" i="34"/>
  <c r="AA21" i="34"/>
  <c r="BE21" i="34"/>
  <c r="AK21" i="34"/>
  <c r="BI21" i="34"/>
  <c r="BE24" i="34"/>
  <c r="AK24" i="34"/>
  <c r="BI24" i="34"/>
  <c r="BG24" i="34"/>
  <c r="BC24" i="34"/>
  <c r="BA24" i="34"/>
  <c r="AY24" i="34"/>
  <c r="AW24" i="34"/>
  <c r="AU24" i="34"/>
  <c r="AS24" i="34"/>
  <c r="AQ24" i="34"/>
  <c r="AO24" i="34"/>
  <c r="AM24" i="34"/>
  <c r="AI24" i="34"/>
  <c r="AG24" i="34"/>
  <c r="AE24" i="34"/>
  <c r="AC24" i="34"/>
  <c r="AA24" i="34"/>
  <c r="BE38" i="34"/>
  <c r="AK38" i="34"/>
  <c r="BI38" i="34"/>
  <c r="BG38" i="34"/>
  <c r="BC38" i="34"/>
  <c r="BA38" i="34"/>
  <c r="AY38" i="34"/>
  <c r="AW38" i="34"/>
  <c r="AU38" i="34"/>
  <c r="AS38" i="34"/>
  <c r="AQ38" i="34"/>
  <c r="AO38" i="34"/>
  <c r="AM38" i="34"/>
  <c r="AI38" i="34"/>
  <c r="AG38" i="34"/>
  <c r="AE38" i="34"/>
  <c r="AC38" i="34"/>
  <c r="AA38" i="34"/>
  <c r="BG26" i="34"/>
  <c r="BC26" i="34"/>
  <c r="BA26" i="34"/>
  <c r="AY26" i="34"/>
  <c r="AW26" i="34"/>
  <c r="AU26" i="34"/>
  <c r="AS26" i="34"/>
  <c r="AQ26" i="34"/>
  <c r="AO26" i="34"/>
  <c r="AM26" i="34"/>
  <c r="AI26" i="34"/>
  <c r="AG26" i="34"/>
  <c r="AE26" i="34"/>
  <c r="AC26" i="34"/>
  <c r="AA26" i="34"/>
  <c r="BE26" i="34"/>
  <c r="AK26" i="34"/>
  <c r="BI26" i="34"/>
  <c r="BI20" i="34"/>
  <c r="BG20" i="34"/>
  <c r="BC20" i="34"/>
  <c r="BA20" i="34"/>
  <c r="AY20" i="34"/>
  <c r="AW20" i="34"/>
  <c r="AU20" i="34"/>
  <c r="AS20" i="34"/>
  <c r="AQ20" i="34"/>
  <c r="AO20" i="34"/>
  <c r="AM20" i="34"/>
  <c r="AI20" i="34"/>
  <c r="AG20" i="34"/>
  <c r="AE20" i="34"/>
  <c r="AC20" i="34"/>
  <c r="AA20" i="34"/>
  <c r="BE20" i="34"/>
  <c r="AK20" i="34"/>
  <c r="BE29" i="34"/>
  <c r="AK29" i="34"/>
  <c r="BI29" i="34"/>
  <c r="BG29" i="34"/>
  <c r="BC29" i="34"/>
  <c r="BA29" i="34"/>
  <c r="AY29" i="34"/>
  <c r="AW29" i="34"/>
  <c r="AU29" i="34"/>
  <c r="AS29" i="34"/>
  <c r="AQ29" i="34"/>
  <c r="AO29" i="34"/>
  <c r="AM29" i="34"/>
  <c r="AI29" i="34"/>
  <c r="AG29" i="34"/>
  <c r="AE29" i="34"/>
  <c r="AC29" i="34"/>
  <c r="AA29" i="34"/>
  <c r="AE37" i="34"/>
  <c r="AC37" i="34"/>
  <c r="AA37" i="34"/>
  <c r="BE37" i="34"/>
  <c r="AK37" i="34"/>
  <c r="BI37" i="34"/>
  <c r="BG37" i="34"/>
  <c r="BC37" i="34"/>
  <c r="BA37" i="34"/>
  <c r="AY37" i="34"/>
  <c r="AW37" i="34"/>
  <c r="AU37" i="34"/>
  <c r="AS37" i="34"/>
  <c r="AQ37" i="34"/>
  <c r="AO37" i="34"/>
  <c r="AM37" i="34"/>
  <c r="AI37" i="34"/>
  <c r="AG37" i="34"/>
  <c r="BE19" i="34"/>
  <c r="AK19" i="34"/>
  <c r="BI19" i="34"/>
  <c r="BG19" i="34"/>
  <c r="BC19" i="34"/>
  <c r="BA19" i="34"/>
  <c r="AY19" i="34"/>
  <c r="AW19" i="34"/>
  <c r="AU19" i="34"/>
  <c r="AS19" i="34"/>
  <c r="AQ19" i="34"/>
  <c r="AO19" i="34"/>
  <c r="AM19" i="34"/>
  <c r="AI19" i="34"/>
  <c r="AG19" i="34"/>
  <c r="AE19" i="34"/>
  <c r="AC19" i="34"/>
  <c r="AA19" i="34"/>
  <c r="AE32" i="34"/>
  <c r="AC32" i="34"/>
  <c r="AA32" i="34"/>
  <c r="BE32" i="34"/>
  <c r="AK32" i="34"/>
  <c r="BI32" i="34"/>
  <c r="BG32" i="34"/>
  <c r="BC32" i="34"/>
  <c r="BA32" i="34"/>
  <c r="AY32" i="34"/>
  <c r="AW32" i="34"/>
  <c r="AU32" i="34"/>
  <c r="AS32" i="34"/>
  <c r="AQ32" i="34"/>
  <c r="AO32" i="34"/>
  <c r="AM32" i="34"/>
  <c r="AI32" i="34"/>
  <c r="AG32" i="34"/>
  <c r="BG36" i="34"/>
  <c r="BC36" i="34"/>
  <c r="BA36" i="34"/>
  <c r="AY36" i="34"/>
  <c r="AW36" i="34"/>
  <c r="AU36" i="34"/>
  <c r="AS36" i="34"/>
  <c r="AQ36" i="34"/>
  <c r="AO36" i="34"/>
  <c r="AM36" i="34"/>
  <c r="AI36" i="34"/>
  <c r="AG36" i="34"/>
  <c r="AE36" i="34"/>
  <c r="AC36" i="34"/>
  <c r="AA36" i="34"/>
  <c r="BE36" i="34"/>
  <c r="AK36" i="34"/>
  <c r="BI36" i="34"/>
  <c r="AE42" i="34"/>
  <c r="AC42" i="34"/>
  <c r="AA42" i="34"/>
  <c r="BE42" i="34"/>
  <c r="AK42" i="34"/>
  <c r="BI42" i="34"/>
  <c r="BG42" i="34"/>
  <c r="BC42" i="34"/>
  <c r="BA42" i="34"/>
  <c r="AY42" i="34"/>
  <c r="AW42" i="34"/>
  <c r="AU42" i="34"/>
  <c r="AS42" i="34"/>
  <c r="AQ42" i="34"/>
  <c r="AO42" i="34"/>
  <c r="AM42" i="34"/>
  <c r="AI42" i="34"/>
  <c r="AG42" i="34"/>
  <c r="BI30" i="34"/>
  <c r="BG30" i="34"/>
  <c r="BC30" i="34"/>
  <c r="BA30" i="34"/>
  <c r="AY30" i="34"/>
  <c r="AW30" i="34"/>
  <c r="AU30" i="34"/>
  <c r="AS30" i="34"/>
  <c r="AQ30" i="34"/>
  <c r="AO30" i="34"/>
  <c r="AM30" i="34"/>
  <c r="AI30" i="34"/>
  <c r="AG30" i="34"/>
  <c r="AE30" i="34"/>
  <c r="AC30" i="34"/>
  <c r="AA30" i="34"/>
  <c r="BE30" i="34"/>
  <c r="AK30" i="34"/>
  <c r="BE43" i="34"/>
  <c r="AK43" i="34"/>
  <c r="BI43" i="34"/>
  <c r="BG43" i="34"/>
  <c r="BC43" i="34"/>
  <c r="BA43" i="34"/>
  <c r="AY43" i="34"/>
  <c r="AW43" i="34"/>
  <c r="AU43" i="34"/>
  <c r="AS43" i="34"/>
  <c r="AQ43" i="34"/>
  <c r="AO43" i="34"/>
  <c r="AM43" i="34"/>
  <c r="AI43" i="34"/>
  <c r="AG43" i="34"/>
  <c r="AE43" i="34"/>
  <c r="AC43" i="34"/>
  <c r="AA43" i="34"/>
  <c r="G17" i="34"/>
  <c r="O17" i="34" s="1"/>
  <c r="N21" i="34"/>
  <c r="L13" i="34"/>
  <c r="J12" i="34"/>
  <c r="Q12" i="34"/>
  <c r="M12" i="34"/>
  <c r="P12" i="34"/>
  <c r="N12" i="34"/>
  <c r="H12" i="34"/>
  <c r="O12" i="34"/>
  <c r="I12" i="34"/>
  <c r="L12" i="34"/>
  <c r="G11" i="34"/>
  <c r="G15" i="34" s="1"/>
  <c r="F33" i="34"/>
  <c r="S29" i="34"/>
  <c r="F44" i="34"/>
  <c r="F56" i="34" s="1"/>
  <c r="U43" i="34"/>
  <c r="T43" i="34"/>
  <c r="K12" i="34"/>
  <c r="BO12" i="34"/>
  <c r="I28" i="33"/>
  <c r="L28" i="33"/>
  <c r="N28" i="33"/>
  <c r="N31" i="33" s="1"/>
  <c r="H28" i="33"/>
  <c r="H31" i="33" s="1"/>
  <c r="L25" i="33"/>
  <c r="P23" i="33"/>
  <c r="G25" i="33"/>
  <c r="O24" i="33"/>
  <c r="P24" i="33"/>
  <c r="M24" i="33"/>
  <c r="N24" i="33"/>
  <c r="BO24" i="33"/>
  <c r="I24" i="33"/>
  <c r="BP15" i="33"/>
  <c r="BR15" i="33" s="1"/>
  <c r="BV15" i="33" s="1"/>
  <c r="I14" i="33"/>
  <c r="BP14" i="33"/>
  <c r="BD12" i="32"/>
  <c r="AP12" i="32"/>
  <c r="AD12" i="32"/>
  <c r="AB12" i="32"/>
  <c r="BF12" i="32"/>
  <c r="BB12" i="32"/>
  <c r="AZ12" i="32"/>
  <c r="AN12" i="32"/>
  <c r="AL12" i="32"/>
  <c r="AJ12" i="32"/>
  <c r="AH12" i="32"/>
  <c r="BJ12" i="32"/>
  <c r="BH12" i="32"/>
  <c r="AX12" i="32"/>
  <c r="AV12" i="32"/>
  <c r="AT12" i="32"/>
  <c r="AF12" i="32"/>
  <c r="AR12" i="32"/>
  <c r="BB21" i="32"/>
  <c r="AN21" i="32"/>
  <c r="BJ21" i="32"/>
  <c r="BD21" i="32"/>
  <c r="AZ21" i="32"/>
  <c r="AX21" i="32"/>
  <c r="AL21" i="32"/>
  <c r="AJ21" i="32"/>
  <c r="AH21" i="32"/>
  <c r="BH21" i="32"/>
  <c r="BF21" i="32"/>
  <c r="AV21" i="32"/>
  <c r="AT21" i="32"/>
  <c r="AR21" i="32"/>
  <c r="AD21" i="32"/>
  <c r="AB21" i="32"/>
  <c r="AP21" i="32"/>
  <c r="AF21" i="32"/>
  <c r="G124" i="32"/>
  <c r="G119" i="32"/>
  <c r="G91" i="32"/>
  <c r="BH14" i="32"/>
  <c r="BF14" i="32"/>
  <c r="AV14" i="32"/>
  <c r="AT14" i="32"/>
  <c r="AR14" i="32"/>
  <c r="AD14" i="32"/>
  <c r="AP14" i="32"/>
  <c r="AB14" i="32"/>
  <c r="BB14" i="32"/>
  <c r="AN14" i="32"/>
  <c r="BJ14" i="32"/>
  <c r="BD14" i="32"/>
  <c r="AZ14" i="32"/>
  <c r="AX14" i="32"/>
  <c r="AL14" i="32"/>
  <c r="AJ14" i="32"/>
  <c r="AH14" i="32"/>
  <c r="AF14" i="32"/>
  <c r="AP20" i="32"/>
  <c r="AF20" i="32"/>
  <c r="BB20" i="32"/>
  <c r="AN20" i="32"/>
  <c r="BJ20" i="32"/>
  <c r="BD20" i="32"/>
  <c r="AZ20" i="32"/>
  <c r="AX20" i="32"/>
  <c r="AL20" i="32"/>
  <c r="AJ20" i="32"/>
  <c r="AH20" i="32"/>
  <c r="BH20" i="32"/>
  <c r="BF20" i="32"/>
  <c r="AV20" i="32"/>
  <c r="AT20" i="32"/>
  <c r="AR20" i="32"/>
  <c r="AD20" i="32"/>
  <c r="AB20" i="32"/>
  <c r="G112" i="32"/>
  <c r="G103" i="32"/>
  <c r="G101" i="32"/>
  <c r="G96" i="32"/>
  <c r="G86" i="32"/>
  <c r="BJ13" i="32"/>
  <c r="BD13" i="32"/>
  <c r="AZ13" i="32"/>
  <c r="AX13" i="32"/>
  <c r="AL13" i="32"/>
  <c r="AJ13" i="32"/>
  <c r="AH13" i="32"/>
  <c r="AF13" i="32"/>
  <c r="BH13" i="32"/>
  <c r="BF13" i="32"/>
  <c r="AV13" i="32"/>
  <c r="AT13" i="32"/>
  <c r="AR13" i="32"/>
  <c r="AD13" i="32"/>
  <c r="AP13" i="32"/>
  <c r="AB13" i="32"/>
  <c r="BB13" i="32"/>
  <c r="AN13" i="32"/>
  <c r="BJ18" i="32"/>
  <c r="BD18" i="32"/>
  <c r="AZ18" i="32"/>
  <c r="AX18" i="32"/>
  <c r="AL18" i="32"/>
  <c r="AJ18" i="32"/>
  <c r="AH18" i="32"/>
  <c r="BH18" i="32"/>
  <c r="BF18" i="32"/>
  <c r="AV18" i="32"/>
  <c r="AT18" i="32"/>
  <c r="AR18" i="32"/>
  <c r="AD18" i="32"/>
  <c r="AB18" i="32"/>
  <c r="AP18" i="32"/>
  <c r="AF18" i="32"/>
  <c r="BB18" i="32"/>
  <c r="AN18" i="32"/>
  <c r="G122" i="32"/>
  <c r="G117" i="32"/>
  <c r="G113" i="32"/>
  <c r="G99" i="32"/>
  <c r="G102" i="32"/>
  <c r="G93" i="32"/>
  <c r="G37" i="32"/>
  <c r="G12" i="32"/>
  <c r="G123" i="32"/>
  <c r="G118" i="32"/>
  <c r="G114" i="32"/>
  <c r="G104" i="32"/>
  <c r="G52" i="32"/>
  <c r="G48" i="32"/>
  <c r="G29" i="32"/>
  <c r="BQ89" i="32"/>
  <c r="BS89" i="32" s="1"/>
  <c r="BW89" i="32" s="1"/>
  <c r="N35" i="32"/>
  <c r="BQ69" i="32"/>
  <c r="BS69" i="32" s="1"/>
  <c r="BW69" i="32" s="1"/>
  <c r="N50" i="32"/>
  <c r="BO126" i="32"/>
  <c r="BQ126" i="32"/>
  <c r="BQ95" i="32"/>
  <c r="BS95" i="32" s="1"/>
  <c r="BW95" i="32" s="1"/>
  <c r="J95" i="32"/>
  <c r="Q95" i="32"/>
  <c r="I95" i="32"/>
  <c r="BQ111" i="32"/>
  <c r="BS111" i="32" s="1"/>
  <c r="BW111" i="32" s="1"/>
  <c r="Q111" i="32"/>
  <c r="I111" i="32"/>
  <c r="J111" i="32"/>
  <c r="J128" i="32"/>
  <c r="BQ128" i="32"/>
  <c r="I128" i="32"/>
  <c r="Q128" i="32"/>
  <c r="BO53" i="32"/>
  <c r="BS53" i="32" s="1"/>
  <c r="BW53" i="32" s="1"/>
  <c r="U121" i="32"/>
  <c r="Y121" i="32" s="1"/>
  <c r="U95" i="32"/>
  <c r="Y95" i="32" s="1"/>
  <c r="T95" i="32"/>
  <c r="X95" i="32" s="1"/>
  <c r="T94" i="32"/>
  <c r="X94" i="32" s="1"/>
  <c r="U94" i="32"/>
  <c r="Y94" i="32" s="1"/>
  <c r="BQ74" i="32"/>
  <c r="BS74" i="32" s="1"/>
  <c r="BW74" i="32" s="1"/>
  <c r="BJ46" i="25"/>
  <c r="BT15" i="25"/>
  <c r="BU15" i="25" s="1"/>
  <c r="BV15" i="25" s="1"/>
  <c r="AL62" i="28"/>
  <c r="BK39" i="28"/>
  <c r="BB17" i="28"/>
  <c r="BB74" i="28" s="1"/>
  <c r="AV17" i="28"/>
  <c r="AU17" i="28"/>
  <c r="AT17" i="28"/>
  <c r="AL17" i="28"/>
  <c r="AD17" i="28"/>
  <c r="Z17" i="28"/>
  <c r="BK13" i="28"/>
  <c r="BK14" i="28" s="1"/>
  <c r="BZ55" i="7"/>
  <c r="J17" i="7"/>
  <c r="O17" i="7"/>
  <c r="N17" i="7"/>
  <c r="I17" i="7"/>
  <c r="M17" i="7"/>
  <c r="P17" i="7"/>
  <c r="Q17" i="7"/>
  <c r="BS17" i="7"/>
  <c r="BV17" i="7" s="1"/>
  <c r="BZ17" i="7" s="1"/>
  <c r="K17" i="7"/>
  <c r="U56" i="7"/>
  <c r="U57" i="7" s="1"/>
  <c r="R38" i="7"/>
  <c r="W38" i="7" s="1"/>
  <c r="T38" i="7"/>
  <c r="Y38" i="7" s="1"/>
  <c r="S38" i="7"/>
  <c r="X38" i="7" s="1"/>
  <c r="N23" i="7"/>
  <c r="J23" i="7"/>
  <c r="O23" i="7"/>
  <c r="Q23" i="7"/>
  <c r="M23" i="7"/>
  <c r="I23" i="7"/>
  <c r="P23" i="7"/>
  <c r="W29" i="7"/>
  <c r="BS16" i="7"/>
  <c r="BV16" i="7" s="1"/>
  <c r="BZ16" i="7" s="1"/>
  <c r="AM44" i="7"/>
  <c r="AS34" i="7"/>
  <c r="BB57" i="7"/>
  <c r="BG44" i="7"/>
  <c r="AA57" i="7"/>
  <c r="BY12" i="7"/>
  <c r="AU57" i="7"/>
  <c r="AM12" i="7"/>
  <c r="AP57" i="7"/>
  <c r="AP72" i="7" s="1"/>
  <c r="BE34" i="7"/>
  <c r="BJ34" i="7"/>
  <c r="BR57" i="7"/>
  <c r="N51" i="32"/>
  <c r="BO51" i="32"/>
  <c r="K30" i="38"/>
  <c r="N30" i="38"/>
  <c r="O30" i="38"/>
  <c r="BO30" i="38"/>
  <c r="BN24" i="37"/>
  <c r="BR24" i="37" s="1"/>
  <c r="BV24" i="37" s="1"/>
  <c r="H24" i="37"/>
  <c r="P24" i="37"/>
  <c r="I24" i="37"/>
  <c r="BQ68" i="32"/>
  <c r="BO30" i="32"/>
  <c r="BS30" i="32" s="1"/>
  <c r="BW30" i="32" s="1"/>
  <c r="BQ100" i="32"/>
  <c r="BS100" i="32" s="1"/>
  <c r="BW100" i="32" s="1"/>
  <c r="N41" i="32"/>
  <c r="BO41" i="32"/>
  <c r="J48" i="38"/>
  <c r="BO48" i="38"/>
  <c r="BS48" i="38" s="1"/>
  <c r="BW48" i="38" s="1"/>
  <c r="M28" i="38"/>
  <c r="K28" i="38"/>
  <c r="J28" i="38"/>
  <c r="O28" i="38"/>
  <c r="L28" i="38"/>
  <c r="P28" i="38"/>
  <c r="N28" i="38"/>
  <c r="P36" i="37"/>
  <c r="H36" i="37"/>
  <c r="BN36" i="37"/>
  <c r="BR36" i="37" s="1"/>
  <c r="BV36" i="37" s="1"/>
  <c r="I36" i="37"/>
  <c r="H26" i="37"/>
  <c r="I26" i="37"/>
  <c r="BN26" i="37"/>
  <c r="BR26" i="37" s="1"/>
  <c r="BV26" i="37" s="1"/>
  <c r="P26" i="37"/>
  <c r="I94" i="32"/>
  <c r="Q94" i="32"/>
  <c r="J94" i="32"/>
  <c r="BQ94" i="32"/>
  <c r="BS94" i="32" s="1"/>
  <c r="BW94" i="32" s="1"/>
  <c r="T37" i="7"/>
  <c r="R37" i="7"/>
  <c r="I35" i="25"/>
  <c r="M36" i="25"/>
  <c r="K36" i="25"/>
  <c r="H36" i="25"/>
  <c r="L36" i="25"/>
  <c r="P36" i="25"/>
  <c r="P42" i="25"/>
  <c r="M42" i="25"/>
  <c r="L43" i="25"/>
  <c r="M43" i="25"/>
  <c r="N43" i="25"/>
  <c r="BP43" i="25"/>
  <c r="BR43" i="25" s="1"/>
  <c r="BV43" i="25" s="1"/>
  <c r="O43" i="25"/>
  <c r="P43" i="25"/>
  <c r="H43" i="25"/>
  <c r="I43" i="25"/>
  <c r="Q43" i="25"/>
  <c r="J43" i="25"/>
  <c r="K43" i="25"/>
  <c r="O62" i="25"/>
  <c r="K62" i="25"/>
  <c r="P62" i="25"/>
  <c r="L62" i="25"/>
  <c r="H62" i="25"/>
  <c r="Q62" i="25"/>
  <c r="M62" i="25"/>
  <c r="I62" i="25"/>
  <c r="N62" i="25"/>
  <c r="J62" i="25"/>
  <c r="P63" i="25"/>
  <c r="O24" i="38"/>
  <c r="I24" i="38"/>
  <c r="M14" i="24"/>
  <c r="L14" i="24"/>
  <c r="P17" i="25"/>
  <c r="O17" i="25"/>
  <c r="I17" i="25"/>
  <c r="Q17" i="25"/>
  <c r="J17" i="25"/>
  <c r="N17" i="25"/>
  <c r="BP21" i="25"/>
  <c r="J39" i="25"/>
  <c r="BP40" i="25"/>
  <c r="BR40" i="25" s="1"/>
  <c r="BV40" i="25" s="1"/>
  <c r="O40" i="25"/>
  <c r="P40" i="25"/>
  <c r="J40" i="25"/>
  <c r="K40" i="25"/>
  <c r="L40" i="25"/>
  <c r="L69" i="25"/>
  <c r="H69" i="25"/>
  <c r="P69" i="25"/>
  <c r="N69" i="25"/>
  <c r="O69" i="25"/>
  <c r="J69" i="25"/>
  <c r="K11" i="7"/>
  <c r="L11" i="7"/>
  <c r="S39" i="24"/>
  <c r="W39" i="24" s="1"/>
  <c r="G39" i="24"/>
  <c r="I24" i="25"/>
  <c r="P24" i="25"/>
  <c r="N24" i="25"/>
  <c r="J24" i="25"/>
  <c r="L24" i="25"/>
  <c r="I65" i="25"/>
  <c r="K65" i="25"/>
  <c r="BS76" i="25"/>
  <c r="BU76" i="25" s="1"/>
  <c r="BV76" i="25" s="1"/>
  <c r="M76" i="25"/>
  <c r="I76" i="25"/>
  <c r="N76" i="25"/>
  <c r="J76" i="25"/>
  <c r="O76" i="25"/>
  <c r="K76" i="25"/>
  <c r="P76" i="25"/>
  <c r="L76" i="25"/>
  <c r="S17" i="25"/>
  <c r="W17" i="25" s="1"/>
  <c r="R17" i="25"/>
  <c r="V17" i="25" s="1"/>
  <c r="U17" i="25"/>
  <c r="Y17" i="25" s="1"/>
  <c r="T17" i="25"/>
  <c r="X17" i="25" s="1"/>
  <c r="G27" i="25"/>
  <c r="S27" i="25"/>
  <c r="W27" i="25" s="1"/>
  <c r="G29" i="25"/>
  <c r="X52" i="25"/>
  <c r="X55" i="25" s="1"/>
  <c r="BP51" i="25"/>
  <c r="BR51" i="25" s="1"/>
  <c r="BV51" i="25" s="1"/>
  <c r="I51" i="25"/>
  <c r="Q51" i="25"/>
  <c r="P51" i="25"/>
  <c r="K51" i="25"/>
  <c r="O75" i="25"/>
  <c r="K75" i="25"/>
  <c r="P75" i="25"/>
  <c r="N75" i="25"/>
  <c r="J75" i="25"/>
  <c r="K77" i="25"/>
  <c r="I77" i="25"/>
  <c r="BS83" i="25"/>
  <c r="BU83" i="25" s="1"/>
  <c r="O83" i="25"/>
  <c r="K83" i="25"/>
  <c r="P83" i="25"/>
  <c r="L83" i="25"/>
  <c r="H83" i="25"/>
  <c r="Q83" i="25"/>
  <c r="M83" i="25"/>
  <c r="I83" i="25"/>
  <c r="N83" i="25"/>
  <c r="J83" i="25"/>
  <c r="P85" i="25"/>
  <c r="L85" i="25"/>
  <c r="H85" i="25"/>
  <c r="N85" i="25"/>
  <c r="J85" i="25"/>
  <c r="I93" i="25"/>
  <c r="M102" i="25"/>
  <c r="I102" i="25"/>
  <c r="N102" i="25"/>
  <c r="P102" i="25"/>
  <c r="L102" i="25"/>
  <c r="H102" i="25"/>
  <c r="BN110" i="25"/>
  <c r="BR110" i="25" s="1"/>
  <c r="BV110" i="25" s="1"/>
  <c r="Q110" i="25"/>
  <c r="M110" i="25"/>
  <c r="I110" i="25"/>
  <c r="N110" i="25"/>
  <c r="J110" i="25"/>
  <c r="O110" i="25"/>
  <c r="K110" i="25"/>
  <c r="P110" i="25"/>
  <c r="L110" i="25"/>
  <c r="H110" i="25"/>
  <c r="J13" i="26"/>
  <c r="O13" i="26"/>
  <c r="K13" i="26"/>
  <c r="P13" i="26"/>
  <c r="L13" i="26"/>
  <c r="Q13" i="26"/>
  <c r="M13" i="26"/>
  <c r="I13" i="26"/>
  <c r="O21" i="26"/>
  <c r="N10" i="7"/>
  <c r="N12" i="7" s="1"/>
  <c r="J10" i="7"/>
  <c r="BT10" i="7"/>
  <c r="BK41" i="24"/>
  <c r="G43" i="24"/>
  <c r="BK62" i="24"/>
  <c r="K50" i="25"/>
  <c r="Q50" i="25"/>
  <c r="N50" i="25"/>
  <c r="BS84" i="25"/>
  <c r="BU84" i="25" s="1"/>
  <c r="BV84" i="25" s="1"/>
  <c r="Q84" i="25"/>
  <c r="N84" i="25"/>
  <c r="J84" i="25"/>
  <c r="L84" i="25"/>
  <c r="P101" i="25"/>
  <c r="N101" i="25"/>
  <c r="J105" i="25"/>
  <c r="V18" i="26"/>
  <c r="X18" i="26"/>
  <c r="L31" i="26"/>
  <c r="J31" i="26"/>
  <c r="M32" i="26"/>
  <c r="L32" i="26"/>
  <c r="Q10" i="7"/>
  <c r="Q12" i="7" s="1"/>
  <c r="BK36" i="7"/>
  <c r="BK112" i="24"/>
  <c r="G30" i="25"/>
  <c r="S30" i="25"/>
  <c r="W30" i="25" s="1"/>
  <c r="T13" i="25"/>
  <c r="X13" i="25" s="1"/>
  <c r="U13" i="25"/>
  <c r="Y13" i="25" s="1"/>
  <c r="R13" i="25"/>
  <c r="V13" i="25" s="1"/>
  <c r="S13" i="25"/>
  <c r="W13" i="25" s="1"/>
  <c r="S16" i="25"/>
  <c r="W16" i="25" s="1"/>
  <c r="R16" i="25"/>
  <c r="V16" i="25" s="1"/>
  <c r="U16" i="25"/>
  <c r="Y16" i="25" s="1"/>
  <c r="T16" i="25"/>
  <c r="X16" i="25" s="1"/>
  <c r="O59" i="25"/>
  <c r="K59" i="25"/>
  <c r="P59" i="25"/>
  <c r="L59" i="25"/>
  <c r="H59" i="25"/>
  <c r="Q59" i="25"/>
  <c r="M59" i="25"/>
  <c r="I59" i="25"/>
  <c r="N59" i="25"/>
  <c r="J59" i="25"/>
  <c r="P64" i="25"/>
  <c r="I64" i="25"/>
  <c r="N70" i="25"/>
  <c r="J70" i="25"/>
  <c r="O70" i="25"/>
  <c r="K70" i="25"/>
  <c r="P70" i="25"/>
  <c r="L70" i="25"/>
  <c r="H70" i="25"/>
  <c r="Q70" i="25"/>
  <c r="M70" i="25"/>
  <c r="I70" i="25"/>
  <c r="BT95" i="25"/>
  <c r="BU95" i="25" s="1"/>
  <c r="BV95" i="25" s="1"/>
  <c r="O95" i="25"/>
  <c r="K95" i="25"/>
  <c r="P95" i="25"/>
  <c r="L95" i="25"/>
  <c r="H95" i="25"/>
  <c r="Q95" i="25"/>
  <c r="M95" i="25"/>
  <c r="I95" i="25"/>
  <c r="N95" i="25"/>
  <c r="J95" i="25"/>
  <c r="BT99" i="25"/>
  <c r="BU99" i="25" s="1"/>
  <c r="BV99" i="25" s="1"/>
  <c r="Q99" i="25"/>
  <c r="M99" i="25"/>
  <c r="I99" i="25"/>
  <c r="N99" i="25"/>
  <c r="J99" i="25"/>
  <c r="O99" i="25"/>
  <c r="K99" i="25"/>
  <c r="P99" i="25"/>
  <c r="L99" i="25"/>
  <c r="H99" i="25"/>
  <c r="J38" i="26"/>
  <c r="BK33" i="7"/>
  <c r="BK34" i="7" s="1"/>
  <c r="G52" i="25"/>
  <c r="G28" i="25"/>
  <c r="S78" i="25"/>
  <c r="R78" i="25"/>
  <c r="U78" i="25"/>
  <c r="P50" i="37"/>
  <c r="S50" i="37"/>
  <c r="T51" i="37"/>
  <c r="BK25" i="24"/>
  <c r="G85" i="24"/>
  <c r="G81" i="25"/>
  <c r="H32" i="37"/>
  <c r="BN32" i="37"/>
  <c r="BR32" i="37" s="1"/>
  <c r="BV32" i="37" s="1"/>
  <c r="I32" i="37"/>
  <c r="P32" i="37"/>
  <c r="G41" i="7"/>
  <c r="BS41" i="7" s="1"/>
  <c r="T41" i="7"/>
  <c r="U41" i="7"/>
  <c r="Y41" i="7" s="1"/>
  <c r="T43" i="7"/>
  <c r="X43" i="7" s="1"/>
  <c r="S43" i="7"/>
  <c r="W43" i="7" s="1"/>
  <c r="K37" i="28"/>
  <c r="J37" i="28"/>
  <c r="AA73" i="28"/>
  <c r="L26" i="26"/>
  <c r="P26" i="26"/>
  <c r="K35" i="26"/>
  <c r="AI57" i="7"/>
  <c r="J22" i="7"/>
  <c r="O22" i="7"/>
  <c r="Q22" i="7"/>
  <c r="M22" i="7"/>
  <c r="H21" i="37"/>
  <c r="BN21" i="37"/>
  <c r="BR21" i="37" s="1"/>
  <c r="BV21" i="37" s="1"/>
  <c r="I21" i="37"/>
  <c r="P21" i="37"/>
  <c r="J28" i="7"/>
  <c r="O28" i="7"/>
  <c r="M28" i="7"/>
  <c r="I28" i="7"/>
  <c r="N28" i="7"/>
  <c r="S40" i="7"/>
  <c r="W40" i="7" s="1"/>
  <c r="G40" i="7"/>
  <c r="BS40" i="7" s="1"/>
  <c r="R28" i="28"/>
  <c r="S28" i="28"/>
  <c r="O26" i="26"/>
  <c r="BV83" i="25"/>
  <c r="BK37" i="7"/>
  <c r="M26" i="7"/>
  <c r="N26" i="7"/>
  <c r="BS26" i="7"/>
  <c r="BV26" i="7" s="1"/>
  <c r="Q20" i="7"/>
  <c r="H15" i="37"/>
  <c r="P15" i="37"/>
  <c r="BN15" i="37"/>
  <c r="I15" i="37"/>
  <c r="O11" i="38"/>
  <c r="J26" i="26"/>
  <c r="N26" i="26"/>
  <c r="BK11" i="34"/>
  <c r="BK15" i="34" s="1"/>
  <c r="BO35" i="38"/>
  <c r="BS35" i="38" s="1"/>
  <c r="BW35" i="38" s="1"/>
  <c r="K31" i="25"/>
  <c r="P31" i="25"/>
  <c r="O31" i="25"/>
  <c r="I31" i="25"/>
  <c r="BP31" i="25"/>
  <c r="BR31" i="25" s="1"/>
  <c r="M31" i="25"/>
  <c r="H31" i="25"/>
  <c r="J31" i="25"/>
  <c r="Q31" i="25"/>
  <c r="L31" i="25"/>
  <c r="N31" i="25"/>
  <c r="O37" i="28"/>
  <c r="M26" i="26"/>
  <c r="G38" i="7"/>
  <c r="V57" i="7"/>
  <c r="AO34" i="7"/>
  <c r="AO72" i="7" s="1"/>
  <c r="W10" i="39" s="1"/>
  <c r="S31" i="25"/>
  <c r="W31" i="25" s="1"/>
  <c r="H33" i="25"/>
  <c r="O33" i="25"/>
  <c r="K33" i="25"/>
  <c r="BK33" i="25"/>
  <c r="BP33" i="25"/>
  <c r="BR33" i="25" s="1"/>
  <c r="Q21" i="24"/>
  <c r="M21" i="24"/>
  <c r="I21" i="24"/>
  <c r="BR71" i="25"/>
  <c r="P33" i="25"/>
  <c r="L33" i="25"/>
  <c r="N21" i="24"/>
  <c r="J21" i="24"/>
  <c r="I21" i="7"/>
  <c r="O21" i="7"/>
  <c r="Q33" i="25"/>
  <c r="M33" i="25"/>
  <c r="O21" i="24"/>
  <c r="K21" i="24"/>
  <c r="I33" i="25"/>
  <c r="N33" i="25"/>
  <c r="P21" i="24"/>
  <c r="L21" i="24"/>
  <c r="M54" i="7"/>
  <c r="M56" i="7" s="1"/>
  <c r="M57" i="7" s="1"/>
  <c r="W57" i="7"/>
  <c r="BV48" i="7"/>
  <c r="X34" i="7"/>
  <c r="P34" i="7"/>
  <c r="BS23" i="7"/>
  <c r="BV23" i="7" s="1"/>
  <c r="K23" i="7"/>
  <c r="P15" i="25"/>
  <c r="O15" i="25"/>
  <c r="J15" i="25"/>
  <c r="K15" i="25"/>
  <c r="H15" i="25"/>
  <c r="I15" i="25"/>
  <c r="M15" i="25"/>
  <c r="N15" i="25"/>
  <c r="Q15" i="25"/>
  <c r="V15" i="25"/>
  <c r="S15" i="25"/>
  <c r="T15" i="25"/>
  <c r="U15" i="25"/>
  <c r="BU14" i="25"/>
  <c r="K14" i="7"/>
  <c r="BS14" i="7"/>
  <c r="BV38" i="24"/>
  <c r="N13" i="24"/>
  <c r="M13" i="24"/>
  <c r="BT13" i="24"/>
  <c r="L13" i="24"/>
  <c r="K13" i="24"/>
  <c r="I13" i="24"/>
  <c r="P13" i="24"/>
  <c r="O13" i="24"/>
  <c r="I66" i="28" l="1"/>
  <c r="K20" i="7"/>
  <c r="H50" i="37"/>
  <c r="Q39" i="25"/>
  <c r="I14" i="24"/>
  <c r="BS74" i="28"/>
  <c r="AO21" i="33"/>
  <c r="Q22" i="28"/>
  <c r="L35" i="34"/>
  <c r="Q20" i="34"/>
  <c r="I20" i="34"/>
  <c r="J36" i="34"/>
  <c r="BU66" i="24"/>
  <c r="T65" i="28"/>
  <c r="X65" i="28" s="1"/>
  <c r="F69" i="28"/>
  <c r="M50" i="37"/>
  <c r="O17" i="26"/>
  <c r="N39" i="25"/>
  <c r="P14" i="24"/>
  <c r="H22" i="28"/>
  <c r="K48" i="24"/>
  <c r="J22" i="28"/>
  <c r="J25" i="28" s="1"/>
  <c r="J35" i="34"/>
  <c r="J40" i="34" s="1"/>
  <c r="O35" i="34"/>
  <c r="O20" i="34"/>
  <c r="BP20" i="34"/>
  <c r="BR20" i="34" s="1"/>
  <c r="BV20" i="34" s="1"/>
  <c r="AN74" i="28"/>
  <c r="N47" i="28"/>
  <c r="BQ47" i="28"/>
  <c r="BR47" i="28" s="1"/>
  <c r="BV47" i="28" s="1"/>
  <c r="BO13" i="28"/>
  <c r="N38" i="34"/>
  <c r="K41" i="25"/>
  <c r="I35" i="24"/>
  <c r="M36" i="34"/>
  <c r="M40" i="34" s="1"/>
  <c r="O15" i="24"/>
  <c r="G55" i="25"/>
  <c r="BP39" i="25"/>
  <c r="BR39" i="25" s="1"/>
  <c r="BV39" i="25" s="1"/>
  <c r="BA21" i="33"/>
  <c r="AC62" i="28"/>
  <c r="AC74" i="28" s="1"/>
  <c r="Q11" i="39" s="1"/>
  <c r="N22" i="28"/>
  <c r="BA72" i="7"/>
  <c r="AC10" i="39" s="1"/>
  <c r="P47" i="28"/>
  <c r="K47" i="28"/>
  <c r="K36" i="34"/>
  <c r="I38" i="34"/>
  <c r="I40" i="34" s="1"/>
  <c r="I15" i="24"/>
  <c r="I68" i="28"/>
  <c r="G68" i="28"/>
  <c r="K50" i="37"/>
  <c r="Q17" i="26"/>
  <c r="BV71" i="25"/>
  <c r="J50" i="37"/>
  <c r="I17" i="26"/>
  <c r="AG21" i="33"/>
  <c r="P22" i="28"/>
  <c r="M20" i="34"/>
  <c r="M47" i="28"/>
  <c r="H35" i="24"/>
  <c r="L15" i="24"/>
  <c r="AA39" i="26"/>
  <c r="G65" i="28"/>
  <c r="BK69" i="28"/>
  <c r="BK48" i="28"/>
  <c r="BK50" i="28" s="1"/>
  <c r="G63" i="24"/>
  <c r="G12" i="37"/>
  <c r="T12" i="37"/>
  <c r="X12" i="37" s="1"/>
  <c r="K37" i="25"/>
  <c r="BA18" i="25"/>
  <c r="M12" i="28"/>
  <c r="M14" i="28" s="1"/>
  <c r="I70" i="32"/>
  <c r="J70" i="32"/>
  <c r="N70" i="32"/>
  <c r="BQ71" i="32"/>
  <c r="BS71" i="32" s="1"/>
  <c r="BW71" i="32" s="1"/>
  <c r="I71" i="32"/>
  <c r="J71" i="32"/>
  <c r="N71" i="32"/>
  <c r="BN12" i="32"/>
  <c r="H34" i="7"/>
  <c r="O12" i="7"/>
  <c r="AA53" i="24"/>
  <c r="W14" i="26"/>
  <c r="W42" i="26" s="1"/>
  <c r="Y14" i="26"/>
  <c r="BK26" i="26"/>
  <c r="BK41" i="25"/>
  <c r="BK62" i="7"/>
  <c r="K12" i="28"/>
  <c r="K14" i="28" s="1"/>
  <c r="I63" i="24"/>
  <c r="I65" i="24" s="1"/>
  <c r="BJ98" i="24"/>
  <c r="X27" i="34"/>
  <c r="R15" i="34"/>
  <c r="R56" i="34" s="1"/>
  <c r="W25" i="38"/>
  <c r="AG18" i="25"/>
  <c r="Q25" i="33"/>
  <c r="H36" i="24"/>
  <c r="BP36" i="24"/>
  <c r="BR36" i="24" s="1"/>
  <c r="BV36" i="24" s="1"/>
  <c r="AL49" i="38"/>
  <c r="AX25" i="38"/>
  <c r="L12" i="28"/>
  <c r="N68" i="32"/>
  <c r="I68" i="32"/>
  <c r="J68" i="32"/>
  <c r="J69" i="32"/>
  <c r="N69" i="32"/>
  <c r="I69" i="32"/>
  <c r="W11" i="34"/>
  <c r="W15" i="34" s="1"/>
  <c r="S15" i="34"/>
  <c r="H51" i="24"/>
  <c r="BN18" i="32"/>
  <c r="BN13" i="32"/>
  <c r="BN21" i="32"/>
  <c r="BB25" i="38"/>
  <c r="Q12" i="28"/>
  <c r="Q14" i="28" s="1"/>
  <c r="T34" i="33"/>
  <c r="H16" i="7"/>
  <c r="AM69" i="7"/>
  <c r="AM72" i="7" s="1"/>
  <c r="V10" i="39" s="1"/>
  <c r="I34" i="7"/>
  <c r="BN20" i="32"/>
  <c r="BN14" i="32"/>
  <c r="BP31" i="33"/>
  <c r="J17" i="26"/>
  <c r="M17" i="26"/>
  <c r="P17" i="26"/>
  <c r="N17" i="26"/>
  <c r="L17" i="26"/>
  <c r="N50" i="37"/>
  <c r="O50" i="37"/>
  <c r="L40" i="37"/>
  <c r="BP50" i="37"/>
  <c r="BR50" i="37" s="1"/>
  <c r="BV50" i="37" s="1"/>
  <c r="L50" i="37"/>
  <c r="AA47" i="37"/>
  <c r="I50" i="37"/>
  <c r="BU52" i="37"/>
  <c r="I61" i="25"/>
  <c r="L61" i="25"/>
  <c r="N61" i="25"/>
  <c r="H61" i="25"/>
  <c r="J61" i="25"/>
  <c r="I23" i="28"/>
  <c r="O23" i="28"/>
  <c r="N23" i="28"/>
  <c r="Q23" i="28"/>
  <c r="P23" i="28"/>
  <c r="BO23" i="28"/>
  <c r="BR23" i="28" s="1"/>
  <c r="BV23" i="28" s="1"/>
  <c r="H23" i="28"/>
  <c r="Q48" i="28"/>
  <c r="I48" i="28"/>
  <c r="H48" i="28"/>
  <c r="L48" i="28"/>
  <c r="J48" i="28"/>
  <c r="O48" i="28"/>
  <c r="N48" i="28"/>
  <c r="M105" i="25"/>
  <c r="I101" i="25"/>
  <c r="K101" i="25"/>
  <c r="N21" i="26"/>
  <c r="P61" i="25"/>
  <c r="P48" i="28"/>
  <c r="J23" i="28"/>
  <c r="O109" i="24"/>
  <c r="N13" i="26"/>
  <c r="H13" i="26"/>
  <c r="BK29" i="26"/>
  <c r="P41" i="25"/>
  <c r="O41" i="25"/>
  <c r="Q41" i="25"/>
  <c r="N51" i="25"/>
  <c r="N52" i="25" s="1"/>
  <c r="N55" i="25" s="1"/>
  <c r="H51" i="25"/>
  <c r="O51" i="25"/>
  <c r="M51" i="25"/>
  <c r="J51" i="25"/>
  <c r="M63" i="25"/>
  <c r="I63" i="25"/>
  <c r="N63" i="25"/>
  <c r="K63" i="25"/>
  <c r="BK36" i="25"/>
  <c r="Q24" i="25"/>
  <c r="BP24" i="25"/>
  <c r="BR24" i="25" s="1"/>
  <c r="BV24" i="25" s="1"/>
  <c r="H24" i="25"/>
  <c r="O24" i="25"/>
  <c r="M24" i="25"/>
  <c r="K24" i="25"/>
  <c r="L90" i="25"/>
  <c r="M90" i="25"/>
  <c r="H90" i="25"/>
  <c r="J90" i="25"/>
  <c r="L32" i="24"/>
  <c r="P32" i="24"/>
  <c r="I32" i="24"/>
  <c r="M32" i="24"/>
  <c r="Q32" i="24"/>
  <c r="K32" i="24"/>
  <c r="BO29" i="28"/>
  <c r="BR29" i="28" s="1"/>
  <c r="BV29" i="28" s="1"/>
  <c r="P29" i="28"/>
  <c r="I29" i="28"/>
  <c r="K29" i="28"/>
  <c r="H29" i="28"/>
  <c r="L29" i="28"/>
  <c r="M93" i="25"/>
  <c r="K93" i="25"/>
  <c r="I38" i="26"/>
  <c r="Q105" i="25"/>
  <c r="M101" i="25"/>
  <c r="O101" i="25"/>
  <c r="M21" i="26"/>
  <c r="O21" i="25"/>
  <c r="K61" i="25"/>
  <c r="N28" i="32"/>
  <c r="AI21" i="33"/>
  <c r="BA47" i="37"/>
  <c r="G25" i="28"/>
  <c r="M48" i="28"/>
  <c r="K25" i="33"/>
  <c r="H40" i="25"/>
  <c r="M40" i="25"/>
  <c r="I40" i="25"/>
  <c r="N40" i="25"/>
  <c r="Q40" i="25"/>
  <c r="P42" i="24"/>
  <c r="I42" i="24"/>
  <c r="X23" i="26"/>
  <c r="M44" i="37"/>
  <c r="J44" i="37"/>
  <c r="P44" i="37"/>
  <c r="R81" i="32"/>
  <c r="R87" i="32" s="1"/>
  <c r="BQ81" i="32"/>
  <c r="BS81" i="32" s="1"/>
  <c r="BW81" i="32" s="1"/>
  <c r="P35" i="26"/>
  <c r="H38" i="26"/>
  <c r="P105" i="25"/>
  <c r="Q101" i="25"/>
  <c r="BT101" i="25"/>
  <c r="BU101" i="25" s="1"/>
  <c r="BV101" i="25" s="1"/>
  <c r="I21" i="26"/>
  <c r="O61" i="25"/>
  <c r="R66" i="7"/>
  <c r="X66" i="7" s="1"/>
  <c r="I44" i="37"/>
  <c r="K39" i="25"/>
  <c r="L39" i="25"/>
  <c r="H39" i="25"/>
  <c r="O39" i="25"/>
  <c r="P39" i="25"/>
  <c r="I39" i="25"/>
  <c r="P36" i="34"/>
  <c r="O36" i="34"/>
  <c r="N36" i="34"/>
  <c r="K29" i="24"/>
  <c r="M29" i="24"/>
  <c r="P29" i="24"/>
  <c r="H29" i="24"/>
  <c r="H15" i="24"/>
  <c r="J15" i="24"/>
  <c r="I33" i="24"/>
  <c r="M33" i="24"/>
  <c r="N33" i="24"/>
  <c r="L33" i="24"/>
  <c r="O33" i="24"/>
  <c r="AA17" i="24"/>
  <c r="K21" i="25"/>
  <c r="J21" i="25"/>
  <c r="I21" i="25"/>
  <c r="Q21" i="25"/>
  <c r="P21" i="25"/>
  <c r="M21" i="25"/>
  <c r="J109" i="24"/>
  <c r="I109" i="24"/>
  <c r="K109" i="24"/>
  <c r="N109" i="24"/>
  <c r="BT109" i="24"/>
  <c r="BU109" i="24" s="1"/>
  <c r="BV109" i="24" s="1"/>
  <c r="L109" i="24"/>
  <c r="N35" i="26"/>
  <c r="N38" i="26"/>
  <c r="L38" i="26"/>
  <c r="K105" i="25"/>
  <c r="H101" i="25"/>
  <c r="BO21" i="26"/>
  <c r="BR21" i="26" s="1"/>
  <c r="BV21" i="26" s="1"/>
  <c r="H21" i="25"/>
  <c r="M61" i="25"/>
  <c r="M51" i="38"/>
  <c r="M52" i="38" s="1"/>
  <c r="R51" i="38"/>
  <c r="R52" i="38" s="1"/>
  <c r="P51" i="38"/>
  <c r="P52" i="38" s="1"/>
  <c r="O44" i="37"/>
  <c r="L15" i="38"/>
  <c r="O15" i="38"/>
  <c r="H109" i="24"/>
  <c r="L23" i="28"/>
  <c r="Z112" i="25"/>
  <c r="J24" i="28"/>
  <c r="K24" i="28"/>
  <c r="L24" i="28"/>
  <c r="Q40" i="37"/>
  <c r="O40" i="37"/>
  <c r="M40" i="37"/>
  <c r="BP40" i="37"/>
  <c r="BP47" i="37" s="1"/>
  <c r="J40" i="37"/>
  <c r="H40" i="37"/>
  <c r="I46" i="38"/>
  <c r="J46" i="38"/>
  <c r="M46" i="38"/>
  <c r="K14" i="24"/>
  <c r="O14" i="24"/>
  <c r="J14" i="24"/>
  <c r="N14" i="24"/>
  <c r="H14" i="24"/>
  <c r="L37" i="24"/>
  <c r="BP37" i="24"/>
  <c r="BR37" i="24" s="1"/>
  <c r="BV37" i="24" s="1"/>
  <c r="R73" i="32"/>
  <c r="BQ73" i="32"/>
  <c r="BS73" i="32" s="1"/>
  <c r="BW73" i="32" s="1"/>
  <c r="T47" i="37"/>
  <c r="X44" i="37"/>
  <c r="X47" i="37" s="1"/>
  <c r="L35" i="26"/>
  <c r="H35" i="26"/>
  <c r="O35" i="26"/>
  <c r="J101" i="25"/>
  <c r="N21" i="25"/>
  <c r="Q61" i="25"/>
  <c r="AT74" i="28"/>
  <c r="H44" i="37"/>
  <c r="N54" i="7"/>
  <c r="N56" i="7" s="1"/>
  <c r="N57" i="7" s="1"/>
  <c r="H54" i="7"/>
  <c r="H56" i="7" s="1"/>
  <c r="H57" i="7" s="1"/>
  <c r="AA31" i="28"/>
  <c r="BP26" i="25"/>
  <c r="BR26" i="25" s="1"/>
  <c r="BV26" i="25" s="1"/>
  <c r="I26" i="25"/>
  <c r="W25" i="33"/>
  <c r="BO22" i="28"/>
  <c r="O22" i="28"/>
  <c r="K22" i="28"/>
  <c r="M23" i="28"/>
  <c r="P109" i="24"/>
  <c r="K69" i="25"/>
  <c r="Q69" i="25"/>
  <c r="I69" i="25"/>
  <c r="M69" i="25"/>
  <c r="P50" i="25"/>
  <c r="P52" i="25" s="1"/>
  <c r="P55" i="25" s="1"/>
  <c r="I50" i="25"/>
  <c r="I52" i="25" s="1"/>
  <c r="I55" i="25" s="1"/>
  <c r="L75" i="25"/>
  <c r="M75" i="25"/>
  <c r="BS75" i="25"/>
  <c r="BU75" i="25" s="1"/>
  <c r="I75" i="25"/>
  <c r="I84" i="25"/>
  <c r="P84" i="25"/>
  <c r="BK17" i="28"/>
  <c r="I23" i="33"/>
  <c r="I25" i="33" s="1"/>
  <c r="L31" i="33"/>
  <c r="AI31" i="28"/>
  <c r="M34" i="7"/>
  <c r="O16" i="7"/>
  <c r="Y25" i="32"/>
  <c r="J23" i="33"/>
  <c r="J25" i="33" s="1"/>
  <c r="G116" i="24"/>
  <c r="AS18" i="25"/>
  <c r="BG18" i="25"/>
  <c r="BK85" i="25"/>
  <c r="BK17" i="25"/>
  <c r="BO112" i="25"/>
  <c r="BK45" i="25"/>
  <c r="L12" i="7"/>
  <c r="BG82" i="7"/>
  <c r="M31" i="33"/>
  <c r="AG72" i="7"/>
  <c r="S10" i="39" s="1"/>
  <c r="AA69" i="7"/>
  <c r="AA72" i="7" s="1"/>
  <c r="P10" i="39" s="1"/>
  <c r="N16" i="7"/>
  <c r="J16" i="7"/>
  <c r="Z25" i="32"/>
  <c r="BK25" i="28"/>
  <c r="H23" i="33"/>
  <c r="H25" i="33" s="1"/>
  <c r="BU34" i="33"/>
  <c r="P12" i="7"/>
  <c r="M97" i="24"/>
  <c r="AK47" i="37"/>
  <c r="BP43" i="28"/>
  <c r="BP62" i="28" s="1"/>
  <c r="BB72" i="7"/>
  <c r="N23" i="33"/>
  <c r="O23" i="33"/>
  <c r="O25" i="33" s="1"/>
  <c r="M23" i="33"/>
  <c r="G30" i="28"/>
  <c r="P97" i="24"/>
  <c r="I16" i="7"/>
  <c r="BK37" i="24"/>
  <c r="AC116" i="24"/>
  <c r="AK116" i="24"/>
  <c r="BK39" i="24"/>
  <c r="AM53" i="24"/>
  <c r="BK50" i="24"/>
  <c r="BK115" i="24"/>
  <c r="BK109" i="24"/>
  <c r="BK49" i="24"/>
  <c r="AA33" i="26"/>
  <c r="Y23" i="26"/>
  <c r="W33" i="26"/>
  <c r="AM27" i="26"/>
  <c r="V27" i="26"/>
  <c r="F42" i="26"/>
  <c r="BK105" i="25"/>
  <c r="BK62" i="25"/>
  <c r="AW18" i="25"/>
  <c r="L24" i="34"/>
  <c r="J24" i="34"/>
  <c r="J38" i="34"/>
  <c r="P38" i="34"/>
  <c r="I24" i="34"/>
  <c r="K38" i="34"/>
  <c r="O38" i="34"/>
  <c r="I29" i="34"/>
  <c r="H24" i="34"/>
  <c r="P24" i="34"/>
  <c r="BP24" i="34"/>
  <c r="L38" i="34"/>
  <c r="J65" i="32"/>
  <c r="N65" i="32"/>
  <c r="W89" i="32"/>
  <c r="I66" i="32"/>
  <c r="N66" i="32"/>
  <c r="J66" i="32"/>
  <c r="R89" i="32"/>
  <c r="BO49" i="32"/>
  <c r="BS49" i="32" s="1"/>
  <c r="BW49" i="32" s="1"/>
  <c r="R49" i="32"/>
  <c r="N64" i="32"/>
  <c r="J64" i="32"/>
  <c r="I127" i="32"/>
  <c r="I131" i="32" s="1"/>
  <c r="H131" i="32"/>
  <c r="Y89" i="32"/>
  <c r="J67" i="32"/>
  <c r="N67" i="32"/>
  <c r="I67" i="32"/>
  <c r="Y127" i="32"/>
  <c r="Y131" i="32" s="1"/>
  <c r="U131" i="32"/>
  <c r="X89" i="32"/>
  <c r="BK73" i="28"/>
  <c r="N43" i="32"/>
  <c r="M34" i="25"/>
  <c r="H12" i="24"/>
  <c r="I19" i="34"/>
  <c r="J19" i="34"/>
  <c r="M19" i="34"/>
  <c r="BP19" i="34"/>
  <c r="BR19" i="34" s="1"/>
  <c r="BV19" i="34" s="1"/>
  <c r="Q19" i="34"/>
  <c r="O19" i="34"/>
  <c r="G49" i="37"/>
  <c r="F51" i="37"/>
  <c r="S64" i="7"/>
  <c r="W64" i="7" s="1"/>
  <c r="G64" i="7"/>
  <c r="J64" i="7" s="1"/>
  <c r="H26" i="34"/>
  <c r="H27" i="34" s="1"/>
  <c r="BP26" i="34"/>
  <c r="BR26" i="34" s="1"/>
  <c r="BV26" i="34" s="1"/>
  <c r="J26" i="34"/>
  <c r="J27" i="34" s="1"/>
  <c r="L26" i="34"/>
  <c r="O26" i="34"/>
  <c r="O27" i="34" s="1"/>
  <c r="Q26" i="34"/>
  <c r="I26" i="34"/>
  <c r="I27" i="34" s="1"/>
  <c r="BP67" i="28"/>
  <c r="BR67" i="28" s="1"/>
  <c r="BV67" i="28" s="1"/>
  <c r="I67" i="28"/>
  <c r="M67" i="28"/>
  <c r="O67" i="28"/>
  <c r="P67" i="28"/>
  <c r="H67" i="28"/>
  <c r="K67" i="28"/>
  <c r="G17" i="24"/>
  <c r="N32" i="26"/>
  <c r="L34" i="25"/>
  <c r="I39" i="28"/>
  <c r="Q67" i="28"/>
  <c r="L12" i="24"/>
  <c r="Q12" i="25"/>
  <c r="Q18" i="25" s="1"/>
  <c r="I12" i="25"/>
  <c r="I18" i="25" s="1"/>
  <c r="J12" i="25"/>
  <c r="G18" i="25"/>
  <c r="H12" i="25"/>
  <c r="H18" i="25" s="1"/>
  <c r="F66" i="25"/>
  <c r="F88" i="25" s="1"/>
  <c r="G58" i="25"/>
  <c r="BK110" i="25"/>
  <c r="BK95" i="25"/>
  <c r="H17" i="25"/>
  <c r="BT17" i="25"/>
  <c r="BU17" i="25" s="1"/>
  <c r="BV17" i="25" s="1"/>
  <c r="L17" i="25"/>
  <c r="M17" i="25"/>
  <c r="K17" i="25"/>
  <c r="H82" i="25"/>
  <c r="BS82" i="25"/>
  <c r="BU82" i="25" s="1"/>
  <c r="BV82" i="25" s="1"/>
  <c r="N82" i="25"/>
  <c r="P82" i="25"/>
  <c r="O82" i="25"/>
  <c r="Q82" i="25"/>
  <c r="BK70" i="25"/>
  <c r="S46" i="34"/>
  <c r="W45" i="34"/>
  <c r="BQ65" i="32"/>
  <c r="BS65" i="32" s="1"/>
  <c r="BW65" i="32" s="1"/>
  <c r="U65" i="7"/>
  <c r="Y65" i="7" s="1"/>
  <c r="T65" i="7"/>
  <c r="X65" i="7" s="1"/>
  <c r="G65" i="7"/>
  <c r="O65" i="7" s="1"/>
  <c r="I37" i="34"/>
  <c r="L37" i="34"/>
  <c r="O37" i="34"/>
  <c r="J37" i="34"/>
  <c r="G40" i="34"/>
  <c r="P37" i="34"/>
  <c r="Q24" i="24"/>
  <c r="N18" i="25"/>
  <c r="BV34" i="7"/>
  <c r="BZ34" i="7" s="1"/>
  <c r="O34" i="25"/>
  <c r="S66" i="7"/>
  <c r="Y66" i="7" s="1"/>
  <c r="BQ82" i="32"/>
  <c r="N39" i="28"/>
  <c r="K13" i="34"/>
  <c r="O13" i="34"/>
  <c r="K37" i="34"/>
  <c r="K40" i="34" s="1"/>
  <c r="R90" i="32"/>
  <c r="BQ90" i="32"/>
  <c r="BS90" i="32" s="1"/>
  <c r="BW90" i="32" s="1"/>
  <c r="J67" i="28"/>
  <c r="BP42" i="25"/>
  <c r="BR42" i="25" s="1"/>
  <c r="BV42" i="25" s="1"/>
  <c r="K42" i="25"/>
  <c r="J37" i="25"/>
  <c r="P37" i="25"/>
  <c r="M37" i="25"/>
  <c r="K64" i="25"/>
  <c r="L64" i="25"/>
  <c r="M64" i="25"/>
  <c r="BK21" i="25"/>
  <c r="M91" i="25"/>
  <c r="N91" i="25"/>
  <c r="K91" i="25"/>
  <c r="BK38" i="25"/>
  <c r="I36" i="25"/>
  <c r="N36" i="25"/>
  <c r="O36" i="25"/>
  <c r="BP36" i="25"/>
  <c r="BR36" i="25" s="1"/>
  <c r="BV36" i="25" s="1"/>
  <c r="Q36" i="25"/>
  <c r="J36" i="25"/>
  <c r="J102" i="25"/>
  <c r="BT102" i="25"/>
  <c r="BU102" i="25" s="1"/>
  <c r="BV102" i="25" s="1"/>
  <c r="O102" i="25"/>
  <c r="Q102" i="25"/>
  <c r="K102" i="25"/>
  <c r="BS85" i="25"/>
  <c r="BU85" i="25" s="1"/>
  <c r="BV85" i="25" s="1"/>
  <c r="Q85" i="25"/>
  <c r="O85" i="25"/>
  <c r="M85" i="25"/>
  <c r="K85" i="25"/>
  <c r="I85" i="25"/>
  <c r="H12" i="7"/>
  <c r="BO26" i="32"/>
  <c r="BS26" i="32" s="1"/>
  <c r="BW26" i="32" s="1"/>
  <c r="N37" i="34"/>
  <c r="M39" i="28"/>
  <c r="J39" i="28"/>
  <c r="L39" i="28"/>
  <c r="H39" i="28"/>
  <c r="H26" i="25"/>
  <c r="Q26" i="25"/>
  <c r="L26" i="25"/>
  <c r="M26" i="25"/>
  <c r="N26" i="34"/>
  <c r="N27" i="34" s="1"/>
  <c r="M27" i="24"/>
  <c r="K27" i="24"/>
  <c r="BK48" i="24"/>
  <c r="L24" i="24"/>
  <c r="K24" i="24"/>
  <c r="I24" i="24"/>
  <c r="H24" i="24"/>
  <c r="O24" i="24"/>
  <c r="J24" i="24"/>
  <c r="BP24" i="24"/>
  <c r="BR24" i="24" s="1"/>
  <c r="BV24" i="24" s="1"/>
  <c r="M12" i="24"/>
  <c r="P12" i="24"/>
  <c r="J32" i="26"/>
  <c r="O32" i="26"/>
  <c r="Q32" i="26"/>
  <c r="P32" i="26"/>
  <c r="BK22" i="26"/>
  <c r="O31" i="26"/>
  <c r="M31" i="26"/>
  <c r="I31" i="26"/>
  <c r="N31" i="26"/>
  <c r="P31" i="26"/>
  <c r="BK13" i="26"/>
  <c r="BK20" i="26"/>
  <c r="V23" i="26"/>
  <c r="BK58" i="24"/>
  <c r="Q31" i="26"/>
  <c r="F44" i="24"/>
  <c r="O26" i="25"/>
  <c r="T64" i="7"/>
  <c r="X64" i="7" s="1"/>
  <c r="P26" i="34"/>
  <c r="P27" i="34" s="1"/>
  <c r="M26" i="34"/>
  <c r="M27" i="34" s="1"/>
  <c r="R55" i="32"/>
  <c r="BO55" i="32"/>
  <c r="BS55" i="32" s="1"/>
  <c r="BW55" i="32" s="1"/>
  <c r="BI72" i="7"/>
  <c r="AG10" i="39" s="1"/>
  <c r="BI82" i="7"/>
  <c r="Q35" i="25"/>
  <c r="J35" i="25"/>
  <c r="K35" i="25"/>
  <c r="N35" i="25"/>
  <c r="N24" i="24"/>
  <c r="M37" i="34"/>
  <c r="N41" i="24"/>
  <c r="O41" i="24"/>
  <c r="M41" i="24"/>
  <c r="K41" i="24"/>
  <c r="BK47" i="24"/>
  <c r="BI53" i="24"/>
  <c r="O42" i="24"/>
  <c r="Q42" i="24"/>
  <c r="H42" i="24"/>
  <c r="J42" i="24"/>
  <c r="J35" i="26"/>
  <c r="I35" i="26"/>
  <c r="M35" i="26"/>
  <c r="Q38" i="26"/>
  <c r="K38" i="26"/>
  <c r="M38" i="26"/>
  <c r="P38" i="26"/>
  <c r="L21" i="26"/>
  <c r="J21" i="26"/>
  <c r="Q21" i="26"/>
  <c r="X39" i="26"/>
  <c r="AA14" i="26"/>
  <c r="BD49" i="38"/>
  <c r="AH25" i="38"/>
  <c r="AC47" i="37"/>
  <c r="AQ47" i="37"/>
  <c r="L34" i="7"/>
  <c r="BQ112" i="25"/>
  <c r="H97" i="24"/>
  <c r="BK38" i="26"/>
  <c r="BK32" i="26"/>
  <c r="BK33" i="26" s="1"/>
  <c r="W39" i="26"/>
  <c r="BK37" i="26"/>
  <c r="BK64" i="25"/>
  <c r="BK35" i="25"/>
  <c r="BK63" i="25"/>
  <c r="BK61" i="25"/>
  <c r="BK43" i="25"/>
  <c r="O37" i="24"/>
  <c r="Q37" i="24"/>
  <c r="M37" i="24"/>
  <c r="I37" i="24"/>
  <c r="H37" i="24"/>
  <c r="J37" i="24"/>
  <c r="P37" i="24"/>
  <c r="K37" i="24"/>
  <c r="K15" i="38"/>
  <c r="N40" i="37"/>
  <c r="AL25" i="38"/>
  <c r="AE47" i="37"/>
  <c r="BC25" i="33"/>
  <c r="N12" i="28"/>
  <c r="O34" i="7"/>
  <c r="J34" i="7"/>
  <c r="Z20" i="38"/>
  <c r="AY53" i="24"/>
  <c r="AK53" i="24"/>
  <c r="X53" i="24"/>
  <c r="BK86" i="25"/>
  <c r="BK84" i="25"/>
  <c r="BK68" i="25"/>
  <c r="Y106" i="25"/>
  <c r="J12" i="7"/>
  <c r="K12" i="7"/>
  <c r="AD74" i="28"/>
  <c r="M25" i="33"/>
  <c r="BO15" i="38"/>
  <c r="BS15" i="38" s="1"/>
  <c r="BW15" i="38" s="1"/>
  <c r="BB49" i="38"/>
  <c r="AN49" i="38"/>
  <c r="AM47" i="37"/>
  <c r="Q31" i="33"/>
  <c r="Y25" i="28"/>
  <c r="V34" i="33"/>
  <c r="BK96" i="24"/>
  <c r="AQ116" i="24"/>
  <c r="BA116" i="24"/>
  <c r="BC53" i="24"/>
  <c r="BK35" i="26"/>
  <c r="BK60" i="25"/>
  <c r="BK58" i="25"/>
  <c r="BK103" i="25"/>
  <c r="BK65" i="25"/>
  <c r="BK40" i="25"/>
  <c r="BK34" i="25"/>
  <c r="G106" i="25"/>
  <c r="J13" i="24"/>
  <c r="H13" i="24"/>
  <c r="Q13" i="24"/>
  <c r="BL23" i="38"/>
  <c r="AS47" i="37"/>
  <c r="AX72" i="7"/>
  <c r="AI53" i="24"/>
  <c r="AS53" i="24"/>
  <c r="BJ88" i="25"/>
  <c r="AK18" i="25"/>
  <c r="AO18" i="25"/>
  <c r="AU18" i="25"/>
  <c r="BK83" i="25"/>
  <c r="BK97" i="25"/>
  <c r="W47" i="37"/>
  <c r="V47" i="37"/>
  <c r="BG47" i="37"/>
  <c r="BI47" i="37"/>
  <c r="BC47" i="37"/>
  <c r="AY47" i="37"/>
  <c r="AW47" i="37"/>
  <c r="AG47" i="37"/>
  <c r="BE47" i="37"/>
  <c r="BE52" i="37" s="1"/>
  <c r="AE22" i="39" s="1"/>
  <c r="AI47" i="37"/>
  <c r="AO47" i="37"/>
  <c r="AU47" i="37"/>
  <c r="AS17" i="33"/>
  <c r="AY17" i="33"/>
  <c r="O31" i="33"/>
  <c r="X25" i="33"/>
  <c r="X34" i="33" s="1"/>
  <c r="J92" i="32"/>
  <c r="J127" i="32"/>
  <c r="J131" i="32" s="1"/>
  <c r="BQ70" i="32"/>
  <c r="BS70" i="32" s="1"/>
  <c r="BW70" i="32" s="1"/>
  <c r="BQ92" i="32"/>
  <c r="BS92" i="32" s="1"/>
  <c r="BW92" i="32" s="1"/>
  <c r="BO56" i="32"/>
  <c r="BS56" i="32" s="1"/>
  <c r="BW56" i="32" s="1"/>
  <c r="Q79" i="32"/>
  <c r="M56" i="32"/>
  <c r="M62" i="32" s="1"/>
  <c r="Q92" i="32"/>
  <c r="BQ67" i="32"/>
  <c r="BS67" i="32" s="1"/>
  <c r="BW67" i="32" s="1"/>
  <c r="BQ66" i="32"/>
  <c r="BS66" i="32" s="1"/>
  <c r="BW66" i="32" s="1"/>
  <c r="BQ127" i="32"/>
  <c r="BS127" i="32" s="1"/>
  <c r="BW127" i="32" s="1"/>
  <c r="AF22" i="32"/>
  <c r="Q127" i="32"/>
  <c r="Q131" i="32" s="1"/>
  <c r="G43" i="37"/>
  <c r="F47" i="37"/>
  <c r="AE21" i="33"/>
  <c r="BV31" i="33"/>
  <c r="N25" i="33"/>
  <c r="J31" i="33"/>
  <c r="Y34" i="33"/>
  <c r="BK40" i="26"/>
  <c r="BK41" i="26" s="1"/>
  <c r="W23" i="26"/>
  <c r="AS116" i="24"/>
  <c r="BK110" i="24"/>
  <c r="X97" i="24"/>
  <c r="Q98" i="25"/>
  <c r="P98" i="25"/>
  <c r="L98" i="25"/>
  <c r="H98" i="25"/>
  <c r="BT98" i="25"/>
  <c r="BU98" i="25" s="1"/>
  <c r="BV98" i="25" s="1"/>
  <c r="O98" i="25"/>
  <c r="K98" i="25"/>
  <c r="I98" i="25"/>
  <c r="J98" i="25"/>
  <c r="M98" i="25"/>
  <c r="N98" i="25"/>
  <c r="V18" i="25"/>
  <c r="J18" i="25"/>
  <c r="Q52" i="25"/>
  <c r="Q55" i="25" s="1"/>
  <c r="P93" i="25"/>
  <c r="N93" i="25"/>
  <c r="BT93" i="25"/>
  <c r="BU93" i="25" s="1"/>
  <c r="N77" i="25"/>
  <c r="P77" i="25"/>
  <c r="G78" i="25"/>
  <c r="V78" i="25" s="1"/>
  <c r="P65" i="25"/>
  <c r="N65" i="25"/>
  <c r="H42" i="25"/>
  <c r="Q42" i="25"/>
  <c r="L42" i="25"/>
  <c r="I34" i="25"/>
  <c r="N34" i="25"/>
  <c r="Q34" i="25"/>
  <c r="AC18" i="25"/>
  <c r="AQ18" i="25"/>
  <c r="N64" i="25"/>
  <c r="O64" i="25"/>
  <c r="I105" i="25"/>
  <c r="BT105" i="25"/>
  <c r="BU105" i="25" s="1"/>
  <c r="BV105" i="25" s="1"/>
  <c r="O84" i="25"/>
  <c r="O50" i="25"/>
  <c r="O52" i="25" s="1"/>
  <c r="O55" i="25" s="1"/>
  <c r="H50" i="25"/>
  <c r="J93" i="25"/>
  <c r="L77" i="25"/>
  <c r="L65" i="25"/>
  <c r="J65" i="25"/>
  <c r="Q65" i="25"/>
  <c r="L63" i="25"/>
  <c r="J63" i="25"/>
  <c r="Q63" i="25"/>
  <c r="J42" i="25"/>
  <c r="I42" i="25"/>
  <c r="O42" i="25"/>
  <c r="P35" i="25"/>
  <c r="L35" i="25"/>
  <c r="BP35" i="25"/>
  <c r="BR35" i="25" s="1"/>
  <c r="BV35" i="25" s="1"/>
  <c r="J34" i="25"/>
  <c r="K34" i="25"/>
  <c r="N26" i="25"/>
  <c r="J26" i="25"/>
  <c r="P26" i="25"/>
  <c r="L91" i="25"/>
  <c r="BT91" i="25"/>
  <c r="BU91" i="25" s="1"/>
  <c r="BV91" i="25" s="1"/>
  <c r="N38" i="25"/>
  <c r="M38" i="25"/>
  <c r="BK25" i="25"/>
  <c r="AI18" i="25"/>
  <c r="BE18" i="25"/>
  <c r="AY18" i="25"/>
  <c r="R18" i="25"/>
  <c r="H64" i="25"/>
  <c r="L105" i="25"/>
  <c r="H84" i="25"/>
  <c r="M84" i="25"/>
  <c r="BP50" i="25"/>
  <c r="L93" i="25"/>
  <c r="Q93" i="25"/>
  <c r="J77" i="25"/>
  <c r="BS77" i="25"/>
  <c r="BU77" i="25" s="1"/>
  <c r="BV77" i="25" s="1"/>
  <c r="J64" i="25"/>
  <c r="Q64" i="25"/>
  <c r="N105" i="25"/>
  <c r="H105" i="25"/>
  <c r="K84" i="25"/>
  <c r="J50" i="25"/>
  <c r="J52" i="25" s="1"/>
  <c r="J55" i="25" s="1"/>
  <c r="M50" i="25"/>
  <c r="H93" i="25"/>
  <c r="O93" i="25"/>
  <c r="M77" i="25"/>
  <c r="H65" i="25"/>
  <c r="O65" i="25"/>
  <c r="H63" i="25"/>
  <c r="O63" i="25"/>
  <c r="N42" i="25"/>
  <c r="H35" i="25"/>
  <c r="M35" i="25"/>
  <c r="P34" i="25"/>
  <c r="H34" i="25"/>
  <c r="K26" i="25"/>
  <c r="BV66" i="25"/>
  <c r="Q91" i="25"/>
  <c r="O12" i="25"/>
  <c r="O18" i="25" s="1"/>
  <c r="AT49" i="38"/>
  <c r="BJ49" i="38"/>
  <c r="I19" i="38"/>
  <c r="BO18" i="38"/>
  <c r="J18" i="38"/>
  <c r="AV49" i="38"/>
  <c r="BL16" i="38"/>
  <c r="K19" i="34"/>
  <c r="N19" i="34"/>
  <c r="AK27" i="26"/>
  <c r="AG27" i="26"/>
  <c r="R19" i="38"/>
  <c r="Z49" i="38"/>
  <c r="Y49" i="38"/>
  <c r="X49" i="38"/>
  <c r="P19" i="34"/>
  <c r="H19" i="34"/>
  <c r="V44" i="34"/>
  <c r="L19" i="34"/>
  <c r="BP21" i="34"/>
  <c r="BR21" i="34" s="1"/>
  <c r="BV21" i="34" s="1"/>
  <c r="X40" i="34"/>
  <c r="BP38" i="34"/>
  <c r="BR38" i="34" s="1"/>
  <c r="BV38" i="34" s="1"/>
  <c r="Q38" i="34"/>
  <c r="H38" i="34"/>
  <c r="BP36" i="34"/>
  <c r="BR36" i="34" s="1"/>
  <c r="BV36" i="34" s="1"/>
  <c r="Q36" i="34"/>
  <c r="H36" i="34"/>
  <c r="N13" i="34"/>
  <c r="I13" i="34"/>
  <c r="H21" i="34"/>
  <c r="Q27" i="34"/>
  <c r="L21" i="34"/>
  <c r="Q21" i="34"/>
  <c r="N35" i="34"/>
  <c r="N40" i="34" s="1"/>
  <c r="H35" i="34"/>
  <c r="Q35" i="34"/>
  <c r="H13" i="34"/>
  <c r="J13" i="34"/>
  <c r="P13" i="34"/>
  <c r="M21" i="34"/>
  <c r="K27" i="34"/>
  <c r="O21" i="34"/>
  <c r="BP37" i="34"/>
  <c r="BR37" i="34" s="1"/>
  <c r="BV37" i="34" s="1"/>
  <c r="Q37" i="34"/>
  <c r="H37" i="34"/>
  <c r="BO13" i="34"/>
  <c r="BR13" i="34" s="1"/>
  <c r="BV13" i="34" s="1"/>
  <c r="J21" i="34"/>
  <c r="I21" i="34"/>
  <c r="P21" i="34"/>
  <c r="G27" i="34"/>
  <c r="P25" i="33"/>
  <c r="I31" i="33"/>
  <c r="BG17" i="33"/>
  <c r="AK17" i="33"/>
  <c r="AM17" i="33"/>
  <c r="AC17" i="33"/>
  <c r="AU17" i="33"/>
  <c r="AI17" i="33"/>
  <c r="AW17" i="33"/>
  <c r="I19" i="33"/>
  <c r="H19" i="33"/>
  <c r="J19" i="33"/>
  <c r="AE17" i="33"/>
  <c r="BE17" i="33"/>
  <c r="I17" i="33"/>
  <c r="L14" i="33"/>
  <c r="L17" i="33" s="1"/>
  <c r="H14" i="33"/>
  <c r="H17" i="33" s="1"/>
  <c r="BG25" i="33"/>
  <c r="AG17" i="33"/>
  <c r="BI17" i="33"/>
  <c r="AA17" i="33"/>
  <c r="BA17" i="33"/>
  <c r="W17" i="33"/>
  <c r="W21" i="33"/>
  <c r="H20" i="33"/>
  <c r="J20" i="33"/>
  <c r="BC17" i="33"/>
  <c r="AQ17" i="33"/>
  <c r="AO17" i="33"/>
  <c r="G17" i="33"/>
  <c r="F31" i="28"/>
  <c r="I13" i="28"/>
  <c r="L63" i="7"/>
  <c r="H63" i="7"/>
  <c r="AU72" i="7"/>
  <c r="Z10" i="39" s="1"/>
  <c r="AY69" i="7"/>
  <c r="AY72" i="7" s="1"/>
  <c r="AB10" i="39" s="1"/>
  <c r="AS69" i="7"/>
  <c r="AS72" i="7" s="1"/>
  <c r="Y10" i="39" s="1"/>
  <c r="H22" i="7"/>
  <c r="L22" i="7"/>
  <c r="F62" i="7"/>
  <c r="BJ69" i="7"/>
  <c r="BJ72" i="7" s="1"/>
  <c r="H64" i="7"/>
  <c r="BH69" i="7"/>
  <c r="BH72" i="7" s="1"/>
  <c r="L20" i="7"/>
  <c r="H20" i="7"/>
  <c r="AI72" i="7"/>
  <c r="T10" i="39" s="1"/>
  <c r="AE72" i="7"/>
  <c r="R10" i="39" s="1"/>
  <c r="AW69" i="7"/>
  <c r="AW72" i="7" s="1"/>
  <c r="AA10" i="39" s="1"/>
  <c r="AC69" i="7"/>
  <c r="AC72" i="7" s="1"/>
  <c r="Q10" i="39" s="1"/>
  <c r="BC69" i="7"/>
  <c r="BC72" i="7" s="1"/>
  <c r="AD10" i="39" s="1"/>
  <c r="H66" i="7"/>
  <c r="L66" i="7"/>
  <c r="L65" i="7"/>
  <c r="H65" i="7"/>
  <c r="Q64" i="32"/>
  <c r="I64" i="32"/>
  <c r="BK26" i="25"/>
  <c r="L96" i="25"/>
  <c r="Q96" i="25"/>
  <c r="O96" i="25"/>
  <c r="P96" i="25"/>
  <c r="K96" i="25"/>
  <c r="N96" i="25"/>
  <c r="BT96" i="25"/>
  <c r="BU96" i="25" s="1"/>
  <c r="BV96" i="25" s="1"/>
  <c r="J96" i="25"/>
  <c r="I96" i="25"/>
  <c r="H96" i="25"/>
  <c r="M96" i="25"/>
  <c r="Q103" i="25"/>
  <c r="L103" i="25"/>
  <c r="P103" i="25"/>
  <c r="BT103" i="25"/>
  <c r="BU103" i="25" s="1"/>
  <c r="BV103" i="25" s="1"/>
  <c r="K103" i="25"/>
  <c r="O103" i="25"/>
  <c r="I103" i="25"/>
  <c r="J103" i="25"/>
  <c r="M103" i="25"/>
  <c r="N103" i="25"/>
  <c r="H103" i="25"/>
  <c r="N86" i="25"/>
  <c r="Q86" i="25"/>
  <c r="I86" i="25"/>
  <c r="P86" i="25"/>
  <c r="H86" i="25"/>
  <c r="K86" i="25"/>
  <c r="BS86" i="25"/>
  <c r="BU86" i="25" s="1"/>
  <c r="BV86" i="25" s="1"/>
  <c r="J86" i="25"/>
  <c r="M86" i="25"/>
  <c r="L86" i="25"/>
  <c r="O86" i="25"/>
  <c r="AA52" i="25"/>
  <c r="AA55" i="25" s="1"/>
  <c r="BK50" i="25"/>
  <c r="BT97" i="25"/>
  <c r="BU97" i="25" s="1"/>
  <c r="BV97" i="25" s="1"/>
  <c r="K97" i="25"/>
  <c r="Q97" i="25"/>
  <c r="O97" i="25"/>
  <c r="H97" i="25"/>
  <c r="J97" i="25"/>
  <c r="L97" i="25"/>
  <c r="I97" i="25"/>
  <c r="N97" i="25"/>
  <c r="P97" i="25"/>
  <c r="M97" i="25"/>
  <c r="I82" i="25"/>
  <c r="J82" i="25"/>
  <c r="Q73" i="25"/>
  <c r="H73" i="25"/>
  <c r="BS73" i="25"/>
  <c r="BU73" i="25" s="1"/>
  <c r="BV73" i="25" s="1"/>
  <c r="M73" i="25"/>
  <c r="J73" i="25"/>
  <c r="I73" i="25"/>
  <c r="O73" i="25"/>
  <c r="O78" i="25" s="1"/>
  <c r="K73" i="25"/>
  <c r="L73" i="25"/>
  <c r="P73" i="25"/>
  <c r="N73" i="25"/>
  <c r="V66" i="25"/>
  <c r="AM106" i="25"/>
  <c r="AU106" i="25"/>
  <c r="AG106" i="25"/>
  <c r="AW106" i="25"/>
  <c r="BI106" i="25"/>
  <c r="AC87" i="25"/>
  <c r="AQ87" i="25"/>
  <c r="AY87" i="25"/>
  <c r="BC87" i="25"/>
  <c r="BF112" i="25"/>
  <c r="BF113" i="25" s="1"/>
  <c r="AP112" i="25"/>
  <c r="AP113" i="25" s="1"/>
  <c r="AE111" i="25"/>
  <c r="AS111" i="25"/>
  <c r="AG111" i="25"/>
  <c r="BG111" i="25"/>
  <c r="BI111" i="25"/>
  <c r="AO52" i="25"/>
  <c r="AO55" i="25" s="1"/>
  <c r="AK52" i="25"/>
  <c r="AK55" i="25" s="1"/>
  <c r="BA52" i="25"/>
  <c r="BA55" i="25" s="1"/>
  <c r="BG52" i="25"/>
  <c r="BG55" i="25" s="1"/>
  <c r="BK59" i="25"/>
  <c r="AM46" i="25"/>
  <c r="AI46" i="25"/>
  <c r="BA46" i="25"/>
  <c r="V46" i="25"/>
  <c r="BC46" i="25"/>
  <c r="AE71" i="25"/>
  <c r="AK71" i="25"/>
  <c r="AS71" i="25"/>
  <c r="AY71" i="25"/>
  <c r="Y71" i="25"/>
  <c r="BB112" i="25"/>
  <c r="BB113" i="25" s="1"/>
  <c r="AL112" i="25"/>
  <c r="AL113" i="25" s="1"/>
  <c r="I41" i="25"/>
  <c r="L41" i="25"/>
  <c r="M41" i="25"/>
  <c r="H41" i="25"/>
  <c r="N41" i="25"/>
  <c r="R87" i="25"/>
  <c r="U87" i="25"/>
  <c r="S87" i="25"/>
  <c r="T87" i="25"/>
  <c r="AA106" i="25"/>
  <c r="BK91" i="25"/>
  <c r="W90" i="25"/>
  <c r="W106" i="25" s="1"/>
  <c r="S106" i="25"/>
  <c r="AA111" i="25"/>
  <c r="BK108" i="25"/>
  <c r="G108" i="25" s="1"/>
  <c r="AA46" i="25"/>
  <c r="BK20" i="25"/>
  <c r="N90" i="25"/>
  <c r="Q90" i="25"/>
  <c r="H75" i="25"/>
  <c r="Q75" i="25"/>
  <c r="BD112" i="25"/>
  <c r="BD113" i="25" s="1"/>
  <c r="AN112" i="25"/>
  <c r="AN113" i="25" s="1"/>
  <c r="Y66" i="25"/>
  <c r="AE106" i="25"/>
  <c r="AS106" i="25"/>
  <c r="BG106" i="25"/>
  <c r="BA106" i="25"/>
  <c r="AM87" i="25"/>
  <c r="AI87" i="25"/>
  <c r="AU87" i="25"/>
  <c r="BE87" i="25"/>
  <c r="BK69" i="25"/>
  <c r="BK44" i="25"/>
  <c r="AK111" i="25"/>
  <c r="AY111" i="25"/>
  <c r="BE111" i="25"/>
  <c r="BA111" i="25"/>
  <c r="AG52" i="25"/>
  <c r="AG55" i="25" s="1"/>
  <c r="AC52" i="25"/>
  <c r="AC55" i="25" s="1"/>
  <c r="AS52" i="25"/>
  <c r="AS55" i="25" s="1"/>
  <c r="AY52" i="25"/>
  <c r="AY55" i="25" s="1"/>
  <c r="BE52" i="25"/>
  <c r="BE55" i="25" s="1"/>
  <c r="AE46" i="25"/>
  <c r="AS46" i="25"/>
  <c r="BG46" i="25"/>
  <c r="Y46" i="25"/>
  <c r="AO71" i="25"/>
  <c r="AC71" i="25"/>
  <c r="AQ71" i="25"/>
  <c r="W71" i="25"/>
  <c r="BE71" i="25"/>
  <c r="G68" i="25"/>
  <c r="H23" i="25"/>
  <c r="Q23" i="25"/>
  <c r="J23" i="25"/>
  <c r="L23" i="25"/>
  <c r="M23" i="25"/>
  <c r="O23" i="25"/>
  <c r="BP23" i="25"/>
  <c r="BR23" i="25" s="1"/>
  <c r="BV23" i="25" s="1"/>
  <c r="K23" i="25"/>
  <c r="I23" i="25"/>
  <c r="P23" i="25"/>
  <c r="N23" i="25"/>
  <c r="AA18" i="25"/>
  <c r="BK12" i="25"/>
  <c r="X90" i="25"/>
  <c r="X106" i="25" s="1"/>
  <c r="T106" i="25"/>
  <c r="V90" i="25"/>
  <c r="V106" i="25" s="1"/>
  <c r="R106" i="25"/>
  <c r="Q92" i="25"/>
  <c r="J92" i="25"/>
  <c r="L92" i="25"/>
  <c r="BT92" i="25"/>
  <c r="BU92" i="25" s="1"/>
  <c r="BV92" i="25" s="1"/>
  <c r="N92" i="25"/>
  <c r="P92" i="25"/>
  <c r="I92" i="25"/>
  <c r="K92" i="25"/>
  <c r="M92" i="25"/>
  <c r="O92" i="25"/>
  <c r="H92" i="25"/>
  <c r="H77" i="25"/>
  <c r="Q77" i="25"/>
  <c r="X66" i="25"/>
  <c r="BK23" i="25"/>
  <c r="AK106" i="25"/>
  <c r="AQ106" i="25"/>
  <c r="AY106" i="25"/>
  <c r="BC106" i="25"/>
  <c r="AE87" i="25"/>
  <c r="AE88" i="25" s="1"/>
  <c r="AS87" i="25"/>
  <c r="AO87" i="25"/>
  <c r="AW87" i="25"/>
  <c r="BI87" i="25"/>
  <c r="AX112" i="25"/>
  <c r="AX113" i="25" s="1"/>
  <c r="AH112" i="25"/>
  <c r="AH113" i="25" s="1"/>
  <c r="AC111" i="25"/>
  <c r="AQ111" i="25"/>
  <c r="AU111" i="25"/>
  <c r="AW111" i="25"/>
  <c r="AQ52" i="25"/>
  <c r="AQ55" i="25" s="1"/>
  <c r="AM52" i="25"/>
  <c r="AM55" i="25" s="1"/>
  <c r="BC52" i="25"/>
  <c r="BC55" i="25" s="1"/>
  <c r="V52" i="25"/>
  <c r="V55" i="25" s="1"/>
  <c r="AW52" i="25"/>
  <c r="AW55" i="25" s="1"/>
  <c r="BK22" i="25"/>
  <c r="AO46" i="25"/>
  <c r="AK46" i="25"/>
  <c r="AU46" i="25"/>
  <c r="AY46" i="25"/>
  <c r="BE46" i="25"/>
  <c r="AG71" i="25"/>
  <c r="AW71" i="25"/>
  <c r="AI71" i="25"/>
  <c r="BI71" i="25"/>
  <c r="V71" i="25"/>
  <c r="X71" i="25"/>
  <c r="AT112" i="25"/>
  <c r="AT113" i="25" s="1"/>
  <c r="AD112" i="25"/>
  <c r="AD113" i="25" s="1"/>
  <c r="Q74" i="25"/>
  <c r="H74" i="25"/>
  <c r="M74" i="25"/>
  <c r="O74" i="25"/>
  <c r="L74" i="25"/>
  <c r="L78" i="25" s="1"/>
  <c r="J74" i="25"/>
  <c r="P74" i="25"/>
  <c r="N74" i="25"/>
  <c r="BS74" i="25"/>
  <c r="BU74" i="25" s="1"/>
  <c r="BV74" i="25" s="1"/>
  <c r="I74" i="25"/>
  <c r="K74" i="25"/>
  <c r="K78" i="25" s="1"/>
  <c r="P91" i="25"/>
  <c r="O91" i="25"/>
  <c r="H91" i="25"/>
  <c r="M100" i="25"/>
  <c r="N100" i="25"/>
  <c r="O100" i="25"/>
  <c r="P100" i="25"/>
  <c r="H100" i="25"/>
  <c r="Q100" i="25"/>
  <c r="I100" i="25"/>
  <c r="J100" i="25"/>
  <c r="BT100" i="25"/>
  <c r="BU100" i="25" s="1"/>
  <c r="BV100" i="25" s="1"/>
  <c r="K100" i="25"/>
  <c r="L100" i="25"/>
  <c r="BV53" i="25"/>
  <c r="BR54" i="25"/>
  <c r="BV54" i="25" s="1"/>
  <c r="BT94" i="25"/>
  <c r="BU94" i="25" s="1"/>
  <c r="BV94" i="25" s="1"/>
  <c r="K94" i="25"/>
  <c r="L94" i="25"/>
  <c r="M94" i="25"/>
  <c r="N94" i="25"/>
  <c r="O94" i="25"/>
  <c r="P94" i="25"/>
  <c r="H94" i="25"/>
  <c r="Q94" i="25"/>
  <c r="I94" i="25"/>
  <c r="J94" i="25"/>
  <c r="H80" i="25"/>
  <c r="L80" i="25"/>
  <c r="P80" i="25"/>
  <c r="BS80" i="25"/>
  <c r="BU80" i="25" s="1"/>
  <c r="BV80" i="25" s="1"/>
  <c r="N80" i="25"/>
  <c r="Q80" i="25"/>
  <c r="I80" i="25"/>
  <c r="J80" i="25"/>
  <c r="M80" i="25"/>
  <c r="O80" i="25"/>
  <c r="K80" i="25"/>
  <c r="AV112" i="25"/>
  <c r="AV113" i="25" s="1"/>
  <c r="AF112" i="25"/>
  <c r="AF113" i="25" s="1"/>
  <c r="W66" i="25"/>
  <c r="BK39" i="25"/>
  <c r="BK37" i="25"/>
  <c r="BK109" i="25"/>
  <c r="G109" i="25" s="1"/>
  <c r="AC106" i="25"/>
  <c r="AI106" i="25"/>
  <c r="AO106" i="25"/>
  <c r="BE106" i="25"/>
  <c r="AA87" i="25"/>
  <c r="AK87" i="25"/>
  <c r="AK88" i="25" s="1"/>
  <c r="AG87" i="25"/>
  <c r="BG87" i="25"/>
  <c r="BA87" i="25"/>
  <c r="BK51" i="25"/>
  <c r="AM111" i="25"/>
  <c r="AI111" i="25"/>
  <c r="AO111" i="25"/>
  <c r="BC111" i="25"/>
  <c r="AI52" i="25"/>
  <c r="AI55" i="25" s="1"/>
  <c r="AE52" i="25"/>
  <c r="AE55" i="25" s="1"/>
  <c r="AU52" i="25"/>
  <c r="AU55" i="25" s="1"/>
  <c r="BI52" i="25"/>
  <c r="BI55" i="25" s="1"/>
  <c r="Y52" i="25"/>
  <c r="Y55" i="25" s="1"/>
  <c r="BK24" i="25"/>
  <c r="AG46" i="25"/>
  <c r="AC46" i="25"/>
  <c r="AQ46" i="25"/>
  <c r="BI46" i="25"/>
  <c r="AW46" i="25"/>
  <c r="X46" i="25"/>
  <c r="AA71" i="25"/>
  <c r="AM71" i="25"/>
  <c r="AU71" i="25"/>
  <c r="BA71" i="25"/>
  <c r="BG71" i="25"/>
  <c r="BC71" i="25"/>
  <c r="AI14" i="26"/>
  <c r="BI14" i="26"/>
  <c r="AU14" i="26"/>
  <c r="BJ42" i="26"/>
  <c r="BU42" i="26"/>
  <c r="Y39" i="26"/>
  <c r="AY27" i="26"/>
  <c r="BC27" i="26"/>
  <c r="AW27" i="26"/>
  <c r="G20" i="26"/>
  <c r="BG14" i="26"/>
  <c r="AE14" i="26"/>
  <c r="H21" i="26"/>
  <c r="K21" i="26"/>
  <c r="K29" i="26"/>
  <c r="H29" i="26"/>
  <c r="P29" i="26"/>
  <c r="P33" i="26" s="1"/>
  <c r="Q29" i="26"/>
  <c r="J29" i="26"/>
  <c r="I29" i="26"/>
  <c r="G33" i="26"/>
  <c r="L29" i="26"/>
  <c r="L33" i="26" s="1"/>
  <c r="M29" i="26"/>
  <c r="N29" i="26"/>
  <c r="O29" i="26"/>
  <c r="AC39" i="26"/>
  <c r="BI39" i="26"/>
  <c r="AU39" i="26"/>
  <c r="AO39" i="26"/>
  <c r="BG39" i="26"/>
  <c r="G12" i="26"/>
  <c r="AU33" i="26"/>
  <c r="AO33" i="26"/>
  <c r="AI33" i="26"/>
  <c r="AS33" i="26"/>
  <c r="AC27" i="26"/>
  <c r="BA27" i="26"/>
  <c r="AE27" i="26"/>
  <c r="X27" i="26"/>
  <c r="BE27" i="26"/>
  <c r="BG27" i="26"/>
  <c r="AS23" i="26"/>
  <c r="BC23" i="26"/>
  <c r="AW23" i="26"/>
  <c r="AQ23" i="26"/>
  <c r="BK12" i="26"/>
  <c r="BA14" i="26"/>
  <c r="AM14" i="26"/>
  <c r="BE14" i="26"/>
  <c r="K16" i="26"/>
  <c r="H16" i="26"/>
  <c r="L16" i="26"/>
  <c r="L18" i="26" s="1"/>
  <c r="M16" i="26"/>
  <c r="N16" i="26"/>
  <c r="O16" i="26"/>
  <c r="P16" i="26"/>
  <c r="P18" i="26" s="1"/>
  <c r="Q16" i="26"/>
  <c r="Q18" i="26" s="1"/>
  <c r="BO16" i="26"/>
  <c r="BR16" i="26" s="1"/>
  <c r="BV16" i="26" s="1"/>
  <c r="I16" i="26"/>
  <c r="I18" i="26" s="1"/>
  <c r="J16" i="26"/>
  <c r="J18" i="26" s="1"/>
  <c r="G18" i="26"/>
  <c r="K37" i="26"/>
  <c r="I37" i="26"/>
  <c r="Q37" i="26"/>
  <c r="BP37" i="26"/>
  <c r="BR37" i="26" s="1"/>
  <c r="BV37" i="26" s="1"/>
  <c r="O37" i="26"/>
  <c r="O39" i="26" s="1"/>
  <c r="J37" i="26"/>
  <c r="J39" i="26" s="1"/>
  <c r="H37" i="26"/>
  <c r="H39" i="26" s="1"/>
  <c r="L37" i="26"/>
  <c r="N37" i="26"/>
  <c r="N39" i="26" s="1"/>
  <c r="P37" i="26"/>
  <c r="M37" i="26"/>
  <c r="K17" i="26"/>
  <c r="H17" i="26"/>
  <c r="Q26" i="26"/>
  <c r="K26" i="26"/>
  <c r="BO26" i="26"/>
  <c r="BR26" i="26" s="1"/>
  <c r="BV26" i="26" s="1"/>
  <c r="H26" i="26"/>
  <c r="I26" i="26"/>
  <c r="K20" i="26"/>
  <c r="H20" i="26"/>
  <c r="G23" i="26"/>
  <c r="BA39" i="26"/>
  <c r="AM39" i="26"/>
  <c r="AG39" i="26"/>
  <c r="AY39" i="26"/>
  <c r="AM33" i="26"/>
  <c r="AG33" i="26"/>
  <c r="X33" i="26"/>
  <c r="BG33" i="26"/>
  <c r="AK33" i="26"/>
  <c r="BK25" i="26"/>
  <c r="BK27" i="26" s="1"/>
  <c r="AQ27" i="26"/>
  <c r="AK23" i="26"/>
  <c r="BI23" i="26"/>
  <c r="AU23" i="26"/>
  <c r="AO23" i="26"/>
  <c r="AI23" i="26"/>
  <c r="AS14" i="26"/>
  <c r="BC14" i="26"/>
  <c r="AW14" i="26"/>
  <c r="BP35" i="26"/>
  <c r="G39" i="26"/>
  <c r="K31" i="26"/>
  <c r="H31" i="26"/>
  <c r="AS39" i="26"/>
  <c r="AE39" i="26"/>
  <c r="BE39" i="26"/>
  <c r="AQ39" i="26"/>
  <c r="AE33" i="26"/>
  <c r="Y33" i="26"/>
  <c r="BE33" i="26"/>
  <c r="AY33" i="26"/>
  <c r="AC33" i="26"/>
  <c r="BI33" i="26"/>
  <c r="AS27" i="26"/>
  <c r="Y27" i="26"/>
  <c r="AU27" i="26"/>
  <c r="AO27" i="26"/>
  <c r="AI27" i="26"/>
  <c r="G25" i="26"/>
  <c r="AC23" i="26"/>
  <c r="BA23" i="26"/>
  <c r="AM23" i="26"/>
  <c r="AG23" i="26"/>
  <c r="AQ14" i="26"/>
  <c r="AK14" i="26"/>
  <c r="X14" i="26"/>
  <c r="AY14" i="26"/>
  <c r="AO14" i="26"/>
  <c r="H40" i="26"/>
  <c r="H41" i="26" s="1"/>
  <c r="K40" i="26"/>
  <c r="K41" i="26" s="1"/>
  <c r="O40" i="26"/>
  <c r="O41" i="26" s="1"/>
  <c r="BP40" i="26"/>
  <c r="I40" i="26"/>
  <c r="I41" i="26" s="1"/>
  <c r="L40" i="26"/>
  <c r="L41" i="26" s="1"/>
  <c r="M40" i="26"/>
  <c r="M41" i="26" s="1"/>
  <c r="N40" i="26"/>
  <c r="N41" i="26" s="1"/>
  <c r="G41" i="26"/>
  <c r="Q40" i="26"/>
  <c r="Q41" i="26" s="1"/>
  <c r="P40" i="26"/>
  <c r="P41" i="26" s="1"/>
  <c r="J40" i="26"/>
  <c r="J41" i="26" s="1"/>
  <c r="K32" i="26"/>
  <c r="H32" i="26"/>
  <c r="BK17" i="26"/>
  <c r="BK18" i="26" s="1"/>
  <c r="AA18" i="26"/>
  <c r="AK39" i="26"/>
  <c r="BC39" i="26"/>
  <c r="AW39" i="26"/>
  <c r="AI39" i="26"/>
  <c r="V39" i="26"/>
  <c r="BK21" i="26"/>
  <c r="BK31" i="26"/>
  <c r="BC33" i="26"/>
  <c r="AW33" i="26"/>
  <c r="AQ33" i="26"/>
  <c r="BA33" i="26"/>
  <c r="BI27" i="26"/>
  <c r="AA23" i="26"/>
  <c r="AY23" i="26"/>
  <c r="AE23" i="26"/>
  <c r="BE23" i="26"/>
  <c r="BG23" i="26"/>
  <c r="AC14" i="26"/>
  <c r="AG14" i="26"/>
  <c r="AU53" i="24"/>
  <c r="BK86" i="24"/>
  <c r="BK35" i="24"/>
  <c r="BK27" i="24"/>
  <c r="I97" i="24"/>
  <c r="BK64" i="24"/>
  <c r="BK65" i="24" s="1"/>
  <c r="I27" i="24"/>
  <c r="L41" i="24"/>
  <c r="P41" i="24"/>
  <c r="AG116" i="24"/>
  <c r="AI116" i="24"/>
  <c r="AY116" i="24"/>
  <c r="BI116" i="24"/>
  <c r="X116" i="24"/>
  <c r="BI66" i="24"/>
  <c r="S41" i="24"/>
  <c r="W41" i="24" s="1"/>
  <c r="BK22" i="24"/>
  <c r="AE53" i="24"/>
  <c r="AQ53" i="24"/>
  <c r="BG53" i="24"/>
  <c r="BK34" i="24"/>
  <c r="BK91" i="24"/>
  <c r="BK33" i="24"/>
  <c r="BK16" i="24"/>
  <c r="BK114" i="24"/>
  <c r="BK14" i="24"/>
  <c r="S42" i="24"/>
  <c r="W42" i="24" s="1"/>
  <c r="S33" i="24"/>
  <c r="W33" i="24" s="1"/>
  <c r="AA44" i="24"/>
  <c r="Y97" i="24"/>
  <c r="AE17" i="24"/>
  <c r="H47" i="24"/>
  <c r="Q47" i="24"/>
  <c r="BP47" i="24"/>
  <c r="BR47" i="24" s="1"/>
  <c r="BV47" i="24" s="1"/>
  <c r="N47" i="24"/>
  <c r="P47" i="24"/>
  <c r="O47" i="24"/>
  <c r="AA116" i="24"/>
  <c r="BK108" i="24"/>
  <c r="AA97" i="24"/>
  <c r="BK89" i="24"/>
  <c r="BK97" i="24" s="1"/>
  <c r="S19" i="24"/>
  <c r="G19" i="24"/>
  <c r="G44" i="24" s="1"/>
  <c r="Q12" i="24"/>
  <c r="J12" i="24"/>
  <c r="I12" i="24"/>
  <c r="O12" i="24"/>
  <c r="BU97" i="24"/>
  <c r="BV97" i="24" s="1"/>
  <c r="Q97" i="24"/>
  <c r="L35" i="24"/>
  <c r="P27" i="24"/>
  <c r="AM116" i="24"/>
  <c r="BC116" i="24"/>
  <c r="W116" i="24"/>
  <c r="AW116" i="24"/>
  <c r="BK85" i="24"/>
  <c r="S27" i="24"/>
  <c r="W27" i="24" s="1"/>
  <c r="V44" i="24"/>
  <c r="AQ44" i="24"/>
  <c r="BG44" i="24"/>
  <c r="AG44" i="24"/>
  <c r="AW44" i="24"/>
  <c r="AC53" i="24"/>
  <c r="Y53" i="24"/>
  <c r="AW53" i="24"/>
  <c r="W53" i="24"/>
  <c r="AM97" i="24"/>
  <c r="BC97" i="24"/>
  <c r="AK97" i="24"/>
  <c r="BA97" i="24"/>
  <c r="W97" i="24"/>
  <c r="AE87" i="24"/>
  <c r="AK87" i="24"/>
  <c r="BA87" i="24"/>
  <c r="AI87" i="24"/>
  <c r="AY87" i="24"/>
  <c r="BK40" i="24"/>
  <c r="AC17" i="24"/>
  <c r="AM17" i="24"/>
  <c r="BC17" i="24"/>
  <c r="AK17" i="24"/>
  <c r="BA17" i="24"/>
  <c r="I49" i="24"/>
  <c r="H49" i="24"/>
  <c r="K49" i="24"/>
  <c r="K53" i="24" s="1"/>
  <c r="J49" i="24"/>
  <c r="O49" i="24"/>
  <c r="L49" i="24"/>
  <c r="Q49" i="24"/>
  <c r="P49" i="24"/>
  <c r="BP27" i="24"/>
  <c r="BR27" i="24" s="1"/>
  <c r="BV27" i="24" s="1"/>
  <c r="O27" i="24"/>
  <c r="J27" i="24"/>
  <c r="H27" i="24"/>
  <c r="N27" i="24"/>
  <c r="Q27" i="24"/>
  <c r="L27" i="24"/>
  <c r="Q23" i="24"/>
  <c r="J23" i="24"/>
  <c r="I23" i="24"/>
  <c r="O23" i="24"/>
  <c r="BP23" i="24"/>
  <c r="BR23" i="24" s="1"/>
  <c r="BV23" i="24" s="1"/>
  <c r="Y13" i="24"/>
  <c r="Y17" i="24" s="1"/>
  <c r="U17" i="24"/>
  <c r="H16" i="24"/>
  <c r="M16" i="24"/>
  <c r="L16" i="24"/>
  <c r="J16" i="24"/>
  <c r="O16" i="24"/>
  <c r="N16" i="24"/>
  <c r="I16" i="24"/>
  <c r="Q16" i="24"/>
  <c r="P16" i="24"/>
  <c r="K16" i="24"/>
  <c r="M15" i="24"/>
  <c r="K15" i="24"/>
  <c r="N15" i="24"/>
  <c r="AA98" i="24"/>
  <c r="BK19" i="24"/>
  <c r="AM44" i="24"/>
  <c r="BC44" i="24"/>
  <c r="X44" i="24"/>
  <c r="AS44" i="24"/>
  <c r="AC97" i="24"/>
  <c r="AI97" i="24"/>
  <c r="AY97" i="24"/>
  <c r="AY98" i="24" s="1"/>
  <c r="AW97" i="24"/>
  <c r="AC87" i="24"/>
  <c r="AG87" i="24"/>
  <c r="AW87" i="24"/>
  <c r="W87" i="24"/>
  <c r="AU87" i="24"/>
  <c r="X87" i="24"/>
  <c r="X98" i="24" s="1"/>
  <c r="BK24" i="24"/>
  <c r="BK15" i="24"/>
  <c r="AI17" i="24"/>
  <c r="AY17" i="24"/>
  <c r="X17" i="24"/>
  <c r="AW17" i="24"/>
  <c r="W17" i="24"/>
  <c r="I41" i="24"/>
  <c r="J41" i="24"/>
  <c r="H41" i="24"/>
  <c r="Q41" i="24"/>
  <c r="M42" i="24"/>
  <c r="K42" i="24"/>
  <c r="BP42" i="24"/>
  <c r="BR42" i="24" s="1"/>
  <c r="BV42" i="24" s="1"/>
  <c r="P33" i="24"/>
  <c r="H33" i="24"/>
  <c r="BP33" i="24"/>
  <c r="BR33" i="24" s="1"/>
  <c r="BV33" i="24" s="1"/>
  <c r="J97" i="24"/>
  <c r="BS97" i="24"/>
  <c r="P23" i="24"/>
  <c r="AE116" i="24"/>
  <c r="Y116" i="24"/>
  <c r="AU116" i="24"/>
  <c r="V116" i="24"/>
  <c r="AO116" i="24"/>
  <c r="BE116" i="24"/>
  <c r="S35" i="24"/>
  <c r="W35" i="24" s="1"/>
  <c r="AC44" i="24"/>
  <c r="AI44" i="24"/>
  <c r="AY44" i="24"/>
  <c r="BI44" i="24"/>
  <c r="AO44" i="24"/>
  <c r="BE44" i="24"/>
  <c r="AG53" i="24"/>
  <c r="V53" i="24"/>
  <c r="AO53" i="24"/>
  <c r="BE53" i="24"/>
  <c r="BK23" i="24"/>
  <c r="AE97" i="24"/>
  <c r="AE98" i="24" s="1"/>
  <c r="AU97" i="24"/>
  <c r="V97" i="24"/>
  <c r="AS97" i="24"/>
  <c r="BI97" i="24"/>
  <c r="S29" i="24"/>
  <c r="W29" i="24" s="1"/>
  <c r="S17" i="24"/>
  <c r="BK71" i="24"/>
  <c r="Y87" i="24"/>
  <c r="AS87" i="24"/>
  <c r="V87" i="24"/>
  <c r="AQ87" i="24"/>
  <c r="BG87" i="24"/>
  <c r="BK12" i="24"/>
  <c r="AU17" i="24"/>
  <c r="AS17" i="24"/>
  <c r="BI17" i="24"/>
  <c r="BP35" i="24"/>
  <c r="BR35" i="24" s="1"/>
  <c r="BV35" i="24" s="1"/>
  <c r="M35" i="24"/>
  <c r="Q35" i="24"/>
  <c r="J35" i="24"/>
  <c r="K35" i="24"/>
  <c r="O35" i="24"/>
  <c r="Q29" i="24"/>
  <c r="BP29" i="24"/>
  <c r="BR29" i="24" s="1"/>
  <c r="BV29" i="24" s="1"/>
  <c r="J29" i="24"/>
  <c r="V13" i="24"/>
  <c r="V17" i="24" s="1"/>
  <c r="R17" i="24"/>
  <c r="AE44" i="24"/>
  <c r="AU44" i="24"/>
  <c r="Y44" i="24"/>
  <c r="AK44" i="24"/>
  <c r="BA44" i="24"/>
  <c r="AG97" i="24"/>
  <c r="AQ97" i="24"/>
  <c r="BG97" i="24"/>
  <c r="AO97" i="24"/>
  <c r="BE97" i="24"/>
  <c r="BI87" i="24"/>
  <c r="AO87" i="24"/>
  <c r="BE87" i="24"/>
  <c r="AM87" i="24"/>
  <c r="BC87" i="24"/>
  <c r="AG17" i="24"/>
  <c r="AQ17" i="24"/>
  <c r="BG17" i="24"/>
  <c r="AO17" i="24"/>
  <c r="BE17" i="24"/>
  <c r="T17" i="24"/>
  <c r="N15" i="38"/>
  <c r="J15" i="38"/>
  <c r="AH49" i="38"/>
  <c r="BH49" i="38"/>
  <c r="AJ25" i="38"/>
  <c r="AZ25" i="38"/>
  <c r="Y13" i="38"/>
  <c r="V20" i="38"/>
  <c r="N51" i="38"/>
  <c r="N52" i="38" s="1"/>
  <c r="Q15" i="38"/>
  <c r="P15" i="38"/>
  <c r="AJ49" i="38"/>
  <c r="AR25" i="38"/>
  <c r="BH25" i="38"/>
  <c r="W49" i="38"/>
  <c r="W13" i="38"/>
  <c r="G42" i="38"/>
  <c r="H39" i="38"/>
  <c r="K39" i="38" s="1"/>
  <c r="K42" i="38" s="1"/>
  <c r="L32" i="38"/>
  <c r="M32" i="38"/>
  <c r="K32" i="38"/>
  <c r="T20" i="38"/>
  <c r="X16" i="38"/>
  <c r="X20" i="38" s="1"/>
  <c r="W17" i="38"/>
  <c r="W20" i="38" s="1"/>
  <c r="W53" i="38" s="1"/>
  <c r="S20" i="38"/>
  <c r="S53" i="38" s="1"/>
  <c r="M47" i="38"/>
  <c r="R47" i="38"/>
  <c r="H23" i="38"/>
  <c r="R45" i="38"/>
  <c r="M45" i="38"/>
  <c r="R46" i="38"/>
  <c r="Y20" i="38"/>
  <c r="H44" i="38"/>
  <c r="K44" i="38" s="1"/>
  <c r="G49" i="38"/>
  <c r="M15" i="38"/>
  <c r="R15" i="38"/>
  <c r="BR34" i="28"/>
  <c r="BV34" i="28" s="1"/>
  <c r="BD74" i="28"/>
  <c r="BK61" i="28"/>
  <c r="AF74" i="28"/>
  <c r="S49" i="37"/>
  <c r="W49" i="37" s="1"/>
  <c r="U49" i="37"/>
  <c r="AO51" i="37"/>
  <c r="AW51" i="37"/>
  <c r="K44" i="37"/>
  <c r="BN44" i="37"/>
  <c r="BR44" i="37" s="1"/>
  <c r="BV44" i="37" s="1"/>
  <c r="Q44" i="37"/>
  <c r="AK51" i="37"/>
  <c r="AU51" i="37"/>
  <c r="W50" i="37"/>
  <c r="Y44" i="37"/>
  <c r="Y47" i="37" s="1"/>
  <c r="AY51" i="37"/>
  <c r="L44" i="37"/>
  <c r="N44" i="37"/>
  <c r="AC51" i="37"/>
  <c r="V51" i="37"/>
  <c r="Q67" i="32"/>
  <c r="Q66" i="32"/>
  <c r="Q65" i="32"/>
  <c r="I65" i="32"/>
  <c r="BO31" i="32"/>
  <c r="BS31" i="32" s="1"/>
  <c r="BW31" i="32" s="1"/>
  <c r="BB22" i="32"/>
  <c r="J27" i="32"/>
  <c r="J33" i="32" s="1"/>
  <c r="N27" i="32"/>
  <c r="I27" i="32"/>
  <c r="I33" i="32" s="1"/>
  <c r="M13" i="32"/>
  <c r="J13" i="32"/>
  <c r="I13" i="32"/>
  <c r="I14" i="32"/>
  <c r="M14" i="32"/>
  <c r="J14" i="32"/>
  <c r="H41" i="28"/>
  <c r="AZ74" i="28"/>
  <c r="M41" i="28"/>
  <c r="P41" i="28"/>
  <c r="L41" i="28"/>
  <c r="BO41" i="28"/>
  <c r="BR41" i="28" s="1"/>
  <c r="BV41" i="28" s="1"/>
  <c r="O41" i="28"/>
  <c r="Q41" i="28"/>
  <c r="J41" i="28"/>
  <c r="BJ62" i="28"/>
  <c r="N41" i="28"/>
  <c r="I41" i="28"/>
  <c r="Q45" i="28"/>
  <c r="I45" i="28"/>
  <c r="N45" i="28"/>
  <c r="F50" i="28"/>
  <c r="O45" i="28"/>
  <c r="L45" i="28"/>
  <c r="R32" i="38"/>
  <c r="L36" i="34"/>
  <c r="L40" i="34" s="1"/>
  <c r="W44" i="34"/>
  <c r="K32" i="34"/>
  <c r="L32" i="34"/>
  <c r="H32" i="34"/>
  <c r="Y22" i="34"/>
  <c r="V33" i="34"/>
  <c r="U44" i="34"/>
  <c r="Y43" i="34"/>
  <c r="V40" i="34"/>
  <c r="T44" i="34"/>
  <c r="T56" i="34" s="1"/>
  <c r="X43" i="34"/>
  <c r="V11" i="34"/>
  <c r="V15" i="34" s="1"/>
  <c r="V22" i="34"/>
  <c r="W40" i="34"/>
  <c r="V27" i="34"/>
  <c r="S33" i="34"/>
  <c r="W29" i="34"/>
  <c r="W27" i="34"/>
  <c r="U46" i="34"/>
  <c r="Y45" i="34"/>
  <c r="Y40" i="34"/>
  <c r="O69" i="24"/>
  <c r="M69" i="24"/>
  <c r="L69" i="24"/>
  <c r="Q69" i="24"/>
  <c r="N69" i="24"/>
  <c r="I69" i="24"/>
  <c r="H69" i="24"/>
  <c r="BS69" i="24"/>
  <c r="BU69" i="24" s="1"/>
  <c r="BV69" i="24" s="1"/>
  <c r="K69" i="24"/>
  <c r="J69" i="24"/>
  <c r="N37" i="25"/>
  <c r="I37" i="25"/>
  <c r="H37" i="25"/>
  <c r="BP37" i="25"/>
  <c r="BR37" i="25" s="1"/>
  <c r="BV37" i="25" s="1"/>
  <c r="O37" i="25"/>
  <c r="L37" i="25"/>
  <c r="O38" i="25"/>
  <c r="K38" i="25"/>
  <c r="BP38" i="25"/>
  <c r="BR38" i="25" s="1"/>
  <c r="BV38" i="25" s="1"/>
  <c r="P38" i="25"/>
  <c r="Q38" i="25"/>
  <c r="J38" i="25"/>
  <c r="L12" i="25"/>
  <c r="K12" i="25"/>
  <c r="P12" i="25"/>
  <c r="P18" i="25" s="1"/>
  <c r="BT12" i="25"/>
  <c r="M12" i="25"/>
  <c r="BP44" i="25"/>
  <c r="BR44" i="25" s="1"/>
  <c r="BV44" i="25" s="1"/>
  <c r="Q44" i="25"/>
  <c r="K44" i="25"/>
  <c r="N44" i="25"/>
  <c r="P44" i="25"/>
  <c r="H44" i="25"/>
  <c r="J44" i="25"/>
  <c r="M44" i="25"/>
  <c r="L44" i="25"/>
  <c r="O44" i="25"/>
  <c r="I44" i="25"/>
  <c r="L97" i="24"/>
  <c r="G65" i="24"/>
  <c r="H63" i="24"/>
  <c r="H65" i="24" s="1"/>
  <c r="BP63" i="24"/>
  <c r="K63" i="24"/>
  <c r="K65" i="24" s="1"/>
  <c r="N63" i="24"/>
  <c r="N65" i="24" s="1"/>
  <c r="M63" i="24"/>
  <c r="M65" i="24" s="1"/>
  <c r="L63" i="24"/>
  <c r="L65" i="24" s="1"/>
  <c r="O63" i="24"/>
  <c r="O65" i="24" s="1"/>
  <c r="P63" i="24"/>
  <c r="P65" i="24" s="1"/>
  <c r="P114" i="24"/>
  <c r="P116" i="24" s="1"/>
  <c r="Q114" i="24"/>
  <c r="Q116" i="24" s="1"/>
  <c r="I114" i="24"/>
  <c r="I116" i="24" s="1"/>
  <c r="J114" i="24"/>
  <c r="J116" i="24" s="1"/>
  <c r="BT114" i="24"/>
  <c r="M114" i="24"/>
  <c r="M116" i="24" s="1"/>
  <c r="N114" i="24"/>
  <c r="N116" i="24" s="1"/>
  <c r="O114" i="24"/>
  <c r="O116" i="24" s="1"/>
  <c r="H114" i="24"/>
  <c r="K114" i="24"/>
  <c r="L114" i="24"/>
  <c r="I40" i="24"/>
  <c r="BP40" i="24"/>
  <c r="BR40" i="24" s="1"/>
  <c r="BV40" i="24" s="1"/>
  <c r="M40" i="24"/>
  <c r="N40" i="24"/>
  <c r="H40" i="24"/>
  <c r="K40" i="24"/>
  <c r="O40" i="24"/>
  <c r="P40" i="24"/>
  <c r="Q40" i="24"/>
  <c r="J40" i="24"/>
  <c r="L40" i="24"/>
  <c r="N97" i="24"/>
  <c r="BS86" i="24"/>
  <c r="BU86" i="24" s="1"/>
  <c r="BV86" i="24" s="1"/>
  <c r="O86" i="24"/>
  <c r="P86" i="24"/>
  <c r="I86" i="24"/>
  <c r="L86" i="24"/>
  <c r="M86" i="24"/>
  <c r="Q86" i="24"/>
  <c r="H86" i="24"/>
  <c r="J86" i="24"/>
  <c r="K86" i="24"/>
  <c r="N86" i="24"/>
  <c r="H50" i="24"/>
  <c r="N50" i="24"/>
  <c r="I50" i="24"/>
  <c r="P50" i="24"/>
  <c r="Q50" i="24"/>
  <c r="BP50" i="24"/>
  <c r="BR50" i="24" s="1"/>
  <c r="BV50" i="24" s="1"/>
  <c r="M50" i="24"/>
  <c r="O50" i="24"/>
  <c r="L50" i="24"/>
  <c r="K97" i="24"/>
  <c r="Y27" i="34"/>
  <c r="S29" i="32"/>
  <c r="W29" i="32" s="1"/>
  <c r="T29" i="32"/>
  <c r="X29" i="32" s="1"/>
  <c r="U29" i="32"/>
  <c r="Y29" i="32" s="1"/>
  <c r="H29" i="32"/>
  <c r="H33" i="32" s="1"/>
  <c r="V29" i="32"/>
  <c r="Z29" i="32" s="1"/>
  <c r="U114" i="32"/>
  <c r="Y114" i="32" s="1"/>
  <c r="H114" i="32"/>
  <c r="S37" i="32"/>
  <c r="W37" i="32" s="1"/>
  <c r="T37" i="32"/>
  <c r="U37" i="32"/>
  <c r="Y37" i="32" s="1"/>
  <c r="Y38" i="32" s="1"/>
  <c r="H37" i="32"/>
  <c r="V37" i="32"/>
  <c r="Z37" i="32" s="1"/>
  <c r="Z38" i="32" s="1"/>
  <c r="U113" i="32"/>
  <c r="Y113" i="32" s="1"/>
  <c r="H113" i="32"/>
  <c r="U96" i="32"/>
  <c r="Y96" i="32" s="1"/>
  <c r="H96" i="32"/>
  <c r="S91" i="32"/>
  <c r="W91" i="32" s="1"/>
  <c r="H91" i="32"/>
  <c r="U91" i="32"/>
  <c r="Y91" i="32" s="1"/>
  <c r="T91" i="32"/>
  <c r="X91" i="32" s="1"/>
  <c r="N17" i="34"/>
  <c r="AO33" i="34"/>
  <c r="AW33" i="34"/>
  <c r="BK14" i="33"/>
  <c r="BE72" i="7"/>
  <c r="AE10" i="39" s="1"/>
  <c r="BK63" i="7"/>
  <c r="T50" i="28"/>
  <c r="X46" i="28"/>
  <c r="X50" i="28" s="1"/>
  <c r="J79" i="32"/>
  <c r="I79" i="32"/>
  <c r="I22" i="7"/>
  <c r="N22" i="7"/>
  <c r="K22" i="7"/>
  <c r="P22" i="7"/>
  <c r="BS22" i="7"/>
  <c r="BV22" i="7" s="1"/>
  <c r="BO47" i="32"/>
  <c r="Y50" i="28"/>
  <c r="X40" i="32"/>
  <c r="X45" i="32" s="1"/>
  <c r="T45" i="32"/>
  <c r="BQ64" i="32"/>
  <c r="BS64" i="32" s="1"/>
  <c r="BW64" i="32" s="1"/>
  <c r="X54" i="7"/>
  <c r="X56" i="7" s="1"/>
  <c r="X57" i="7" s="1"/>
  <c r="T56" i="7"/>
  <c r="T57" i="7" s="1"/>
  <c r="H25" i="25"/>
  <c r="M25" i="25"/>
  <c r="I25" i="25"/>
  <c r="P25" i="25"/>
  <c r="L25" i="25"/>
  <c r="O25" i="25"/>
  <c r="BP25" i="25"/>
  <c r="BR25" i="25" s="1"/>
  <c r="BV25" i="25" s="1"/>
  <c r="N25" i="25"/>
  <c r="K25" i="25"/>
  <c r="J25" i="25"/>
  <c r="Q25" i="25"/>
  <c r="BP48" i="24"/>
  <c r="I48" i="24"/>
  <c r="J48" i="24"/>
  <c r="Q48" i="24"/>
  <c r="H48" i="24"/>
  <c r="O48" i="24"/>
  <c r="P48" i="24"/>
  <c r="G53" i="24"/>
  <c r="L48" i="24"/>
  <c r="M48" i="24"/>
  <c r="BO17" i="33"/>
  <c r="BR13" i="33"/>
  <c r="X61" i="28"/>
  <c r="W25" i="28"/>
  <c r="I64" i="7"/>
  <c r="M64" i="7"/>
  <c r="Q64" i="7"/>
  <c r="O64" i="7"/>
  <c r="BK44" i="7"/>
  <c r="S48" i="32"/>
  <c r="H48" i="32"/>
  <c r="T48" i="32"/>
  <c r="U48" i="32"/>
  <c r="V48" i="32"/>
  <c r="U118" i="32"/>
  <c r="Y118" i="32" s="1"/>
  <c r="H118" i="32"/>
  <c r="T93" i="32"/>
  <c r="X93" i="32" s="1"/>
  <c r="H93" i="32"/>
  <c r="S93" i="32"/>
  <c r="W93" i="32" s="1"/>
  <c r="H117" i="32"/>
  <c r="U117" i="32"/>
  <c r="Y117" i="32" s="1"/>
  <c r="U101" i="32"/>
  <c r="Y101" i="32" s="1"/>
  <c r="H101" i="32"/>
  <c r="H119" i="32"/>
  <c r="U119" i="32"/>
  <c r="Y119" i="32" s="1"/>
  <c r="AX74" i="28"/>
  <c r="W79" i="32"/>
  <c r="W47" i="32"/>
  <c r="N58" i="32"/>
  <c r="BO58" i="32"/>
  <c r="BS58" i="32" s="1"/>
  <c r="BW58" i="32" s="1"/>
  <c r="K36" i="32"/>
  <c r="K38" i="32" s="1"/>
  <c r="N36" i="32"/>
  <c r="BO36" i="32"/>
  <c r="BS36" i="32" s="1"/>
  <c r="BW36" i="32" s="1"/>
  <c r="X25" i="32"/>
  <c r="X33" i="32" s="1"/>
  <c r="H45" i="32"/>
  <c r="N40" i="32"/>
  <c r="N45" i="32" s="1"/>
  <c r="BO40" i="32"/>
  <c r="W40" i="32"/>
  <c r="W45" i="32" s="1"/>
  <c r="S45" i="32"/>
  <c r="X64" i="32"/>
  <c r="X77" i="32" s="1"/>
  <c r="T77" i="32"/>
  <c r="V50" i="28"/>
  <c r="O39" i="28"/>
  <c r="P39" i="28"/>
  <c r="K39" i="28"/>
  <c r="BP22" i="25"/>
  <c r="BR22" i="25" s="1"/>
  <c r="BV22" i="25" s="1"/>
  <c r="O22" i="25"/>
  <c r="K22" i="25"/>
  <c r="N22" i="25"/>
  <c r="J22" i="25"/>
  <c r="Q22" i="25"/>
  <c r="P22" i="25"/>
  <c r="L22" i="25"/>
  <c r="M22" i="25"/>
  <c r="I22" i="25"/>
  <c r="H22" i="25"/>
  <c r="V61" i="28"/>
  <c r="J40" i="28"/>
  <c r="Q40" i="28"/>
  <c r="L40" i="28"/>
  <c r="K40" i="28"/>
  <c r="I40" i="28"/>
  <c r="H40" i="28"/>
  <c r="BO40" i="28"/>
  <c r="BR40" i="28" s="1"/>
  <c r="BV40" i="28" s="1"/>
  <c r="M40" i="28"/>
  <c r="O40" i="28"/>
  <c r="N40" i="28"/>
  <c r="P40" i="28"/>
  <c r="I71" i="24"/>
  <c r="K71" i="24"/>
  <c r="L71" i="24"/>
  <c r="Q71" i="24"/>
  <c r="P71" i="24"/>
  <c r="O71" i="24"/>
  <c r="N71" i="24"/>
  <c r="M71" i="24"/>
  <c r="J71" i="24"/>
  <c r="BS71" i="24"/>
  <c r="BU71" i="24" s="1"/>
  <c r="BV71" i="24" s="1"/>
  <c r="H71" i="24"/>
  <c r="S30" i="28"/>
  <c r="S31" i="28" s="1"/>
  <c r="W28" i="28"/>
  <c r="W30" i="28" s="1"/>
  <c r="S52" i="32"/>
  <c r="W52" i="32" s="1"/>
  <c r="T52" i="32"/>
  <c r="X52" i="32" s="1"/>
  <c r="U52" i="32"/>
  <c r="Y52" i="32" s="1"/>
  <c r="V52" i="32"/>
  <c r="Z52" i="32" s="1"/>
  <c r="H52" i="32"/>
  <c r="T123" i="32"/>
  <c r="H123" i="32"/>
  <c r="U102" i="32"/>
  <c r="Y102" i="32" s="1"/>
  <c r="H102" i="32"/>
  <c r="U122" i="32"/>
  <c r="Y122" i="32" s="1"/>
  <c r="H122" i="32"/>
  <c r="AP22" i="32"/>
  <c r="S103" i="32"/>
  <c r="W103" i="32" s="1"/>
  <c r="H103" i="32"/>
  <c r="T103" i="32"/>
  <c r="X103" i="32" s="1"/>
  <c r="T124" i="32"/>
  <c r="X124" i="32" s="1"/>
  <c r="H124" i="32"/>
  <c r="BK44" i="37"/>
  <c r="AI25" i="33"/>
  <c r="N14" i="28"/>
  <c r="N57" i="32"/>
  <c r="BO57" i="32"/>
  <c r="BS57" i="32" s="1"/>
  <c r="BW57" i="32" s="1"/>
  <c r="X47" i="32"/>
  <c r="BQ116" i="32"/>
  <c r="BS116" i="32" s="1"/>
  <c r="BW116" i="32" s="1"/>
  <c r="R116" i="32"/>
  <c r="Z40" i="32"/>
  <c r="Z45" i="32" s="1"/>
  <c r="V45" i="32"/>
  <c r="W64" i="32"/>
  <c r="W77" i="32" s="1"/>
  <c r="S77" i="32"/>
  <c r="J47" i="28"/>
  <c r="O47" i="28"/>
  <c r="H47" i="28"/>
  <c r="W50" i="28"/>
  <c r="BP69" i="28"/>
  <c r="BP73" i="28" s="1"/>
  <c r="BR66" i="28"/>
  <c r="Y61" i="28"/>
  <c r="M22" i="28"/>
  <c r="L22" i="28"/>
  <c r="L25" i="28" s="1"/>
  <c r="V25" i="28"/>
  <c r="Q58" i="24"/>
  <c r="I58" i="24"/>
  <c r="J58" i="24"/>
  <c r="O58" i="24"/>
  <c r="N58" i="24"/>
  <c r="M58" i="24"/>
  <c r="L58" i="24"/>
  <c r="BP58" i="24"/>
  <c r="K58" i="24"/>
  <c r="H58" i="24"/>
  <c r="P58" i="24"/>
  <c r="R30" i="28"/>
  <c r="V28" i="28"/>
  <c r="K52" i="25"/>
  <c r="K55" i="25" s="1"/>
  <c r="S104" i="32"/>
  <c r="W104" i="32" s="1"/>
  <c r="T104" i="32"/>
  <c r="X104" i="32" s="1"/>
  <c r="H104" i="32"/>
  <c r="T12" i="32"/>
  <c r="X12" i="32" s="1"/>
  <c r="S12" i="32"/>
  <c r="W12" i="32" s="1"/>
  <c r="V12" i="32"/>
  <c r="Z12" i="32" s="1"/>
  <c r="U12" i="32"/>
  <c r="Y12" i="32" s="1"/>
  <c r="H12" i="32"/>
  <c r="U99" i="32"/>
  <c r="Y99" i="32" s="1"/>
  <c r="H99" i="32"/>
  <c r="H86" i="32"/>
  <c r="S86" i="32"/>
  <c r="W86" i="32" s="1"/>
  <c r="T86" i="32"/>
  <c r="X86" i="32" s="1"/>
  <c r="X87" i="32" s="1"/>
  <c r="U86" i="32"/>
  <c r="Y86" i="32" s="1"/>
  <c r="S112" i="32"/>
  <c r="U112" i="32"/>
  <c r="Y112" i="32" s="1"/>
  <c r="T112" i="32"/>
  <c r="X112" i="32" s="1"/>
  <c r="H112" i="32"/>
  <c r="I39" i="38"/>
  <c r="I42" i="38" s="1"/>
  <c r="BU74" i="28"/>
  <c r="AM51" i="37"/>
  <c r="P40" i="34"/>
  <c r="BS52" i="7"/>
  <c r="BV52" i="7"/>
  <c r="BZ52" i="7" s="1"/>
  <c r="BJ17" i="28"/>
  <c r="V69" i="28"/>
  <c r="V73" i="28" s="1"/>
  <c r="Y79" i="32"/>
  <c r="W35" i="32"/>
  <c r="S38" i="32"/>
  <c r="Y69" i="32"/>
  <c r="Y77" i="32" s="1"/>
  <c r="U77" i="32"/>
  <c r="BK57" i="7"/>
  <c r="H45" i="28"/>
  <c r="G50" i="28"/>
  <c r="BQ45" i="28"/>
  <c r="J45" i="28"/>
  <c r="P45" i="28"/>
  <c r="M45" i="28"/>
  <c r="W25" i="32"/>
  <c r="Y40" i="32"/>
  <c r="Y45" i="32" s="1"/>
  <c r="U45" i="32"/>
  <c r="O54" i="7"/>
  <c r="O56" i="7" s="1"/>
  <c r="O57" i="7" s="1"/>
  <c r="J54" i="7"/>
  <c r="J56" i="7" s="1"/>
  <c r="J57" i="7" s="1"/>
  <c r="G56" i="7"/>
  <c r="G57" i="7" s="1"/>
  <c r="I54" i="7"/>
  <c r="I56" i="7" s="1"/>
  <c r="I57" i="7" s="1"/>
  <c r="BS54" i="7"/>
  <c r="Q54" i="7"/>
  <c r="Q56" i="7" s="1"/>
  <c r="Q57" i="7" s="1"/>
  <c r="K54" i="7"/>
  <c r="K56" i="7" s="1"/>
  <c r="K57" i="7" s="1"/>
  <c r="L54" i="7"/>
  <c r="L56" i="7" s="1"/>
  <c r="L57" i="7" s="1"/>
  <c r="BV32" i="33"/>
  <c r="BR33" i="33"/>
  <c r="BV33" i="33" s="1"/>
  <c r="V30" i="28"/>
  <c r="BO24" i="28"/>
  <c r="BR24" i="28" s="1"/>
  <c r="BV24" i="28" s="1"/>
  <c r="I24" i="28"/>
  <c r="I25" i="28" s="1"/>
  <c r="Q24" i="28"/>
  <c r="Q25" i="28" s="1"/>
  <c r="M24" i="28"/>
  <c r="O24" i="28"/>
  <c r="H24" i="28"/>
  <c r="H25" i="28" s="1"/>
  <c r="T70" i="7"/>
  <c r="S70" i="7"/>
  <c r="F71" i="7"/>
  <c r="R36" i="7"/>
  <c r="G36" i="7"/>
  <c r="U15" i="7"/>
  <c r="Y15" i="7" s="1"/>
  <c r="Y29" i="7" s="1"/>
  <c r="T15" i="7"/>
  <c r="X15" i="7" s="1"/>
  <c r="G15" i="7"/>
  <c r="F29" i="7"/>
  <c r="AH74" i="28"/>
  <c r="G52" i="28"/>
  <c r="O52" i="28" s="1"/>
  <c r="O61" i="28" s="1"/>
  <c r="R25" i="28"/>
  <c r="AG43" i="28"/>
  <c r="AG62" i="28" s="1"/>
  <c r="AG74" i="28" s="1"/>
  <c r="S11" i="39" s="1"/>
  <c r="R69" i="28"/>
  <c r="R73" i="28" s="1"/>
  <c r="Y69" i="28"/>
  <c r="AL74" i="28"/>
  <c r="AM43" i="28"/>
  <c r="AM62" i="28" s="1"/>
  <c r="AM74" i="28" s="1"/>
  <c r="V11" i="39" s="1"/>
  <c r="W61" i="28"/>
  <c r="G15" i="28"/>
  <c r="F16" i="28"/>
  <c r="F17" i="28" s="1"/>
  <c r="T25" i="28"/>
  <c r="S43" i="28"/>
  <c r="S62" i="28" s="1"/>
  <c r="S69" i="28"/>
  <c r="W69" i="28"/>
  <c r="T69" i="28"/>
  <c r="R36" i="28"/>
  <c r="F43" i="28"/>
  <c r="G36" i="28"/>
  <c r="BO14" i="28"/>
  <c r="BO17" i="28" s="1"/>
  <c r="BR13" i="28"/>
  <c r="BF74" i="28"/>
  <c r="BI74" i="28"/>
  <c r="AG11" i="39" s="1"/>
  <c r="W43" i="28"/>
  <c r="J14" i="28"/>
  <c r="X69" i="28"/>
  <c r="G14" i="28"/>
  <c r="P12" i="28"/>
  <c r="P14" i="28" s="1"/>
  <c r="I12" i="28"/>
  <c r="I14" i="28" s="1"/>
  <c r="T71" i="28"/>
  <c r="U71" i="28"/>
  <c r="G71" i="28"/>
  <c r="F72" i="28"/>
  <c r="F73" i="28" s="1"/>
  <c r="S71" i="28"/>
  <c r="AS43" i="28"/>
  <c r="AS62" i="28" s="1"/>
  <c r="AS74" i="28" s="1"/>
  <c r="Y11" i="39" s="1"/>
  <c r="Y12" i="39" s="1"/>
  <c r="AQ43" i="28"/>
  <c r="AQ62" i="28" s="1"/>
  <c r="AQ74" i="28" s="1"/>
  <c r="X11" i="39" s="1"/>
  <c r="X12" i="39" s="1"/>
  <c r="AO43" i="28"/>
  <c r="AO62" i="28" s="1"/>
  <c r="AO74" i="28" s="1"/>
  <c r="W11" i="39" s="1"/>
  <c r="W12" i="39" s="1"/>
  <c r="Z74" i="28"/>
  <c r="BG72" i="7"/>
  <c r="AF10" i="39" s="1"/>
  <c r="AK72" i="7"/>
  <c r="U10" i="39" s="1"/>
  <c r="H60" i="7"/>
  <c r="I60" i="7"/>
  <c r="Q34" i="7"/>
  <c r="N34" i="7"/>
  <c r="BK30" i="34"/>
  <c r="BA33" i="34"/>
  <c r="AD25" i="38"/>
  <c r="AT25" i="38"/>
  <c r="BJ25" i="38"/>
  <c r="BK20" i="33"/>
  <c r="AS51" i="37"/>
  <c r="BG51" i="37"/>
  <c r="AI51" i="37"/>
  <c r="BK41" i="37"/>
  <c r="BI21" i="33"/>
  <c r="AS25" i="33"/>
  <c r="BK23" i="33"/>
  <c r="AA25" i="33"/>
  <c r="AQ25" i="33"/>
  <c r="BE25" i="33"/>
  <c r="AU25" i="33"/>
  <c r="AE25" i="33"/>
  <c r="AI43" i="28"/>
  <c r="AI62" i="28" s="1"/>
  <c r="AY43" i="28"/>
  <c r="AY62" i="28" s="1"/>
  <c r="AY74" i="28" s="1"/>
  <c r="AB11" i="39" s="1"/>
  <c r="AU43" i="28"/>
  <c r="AU62" i="28" s="1"/>
  <c r="AU74" i="28" s="1"/>
  <c r="Z11" i="39" s="1"/>
  <c r="Z12" i="39" s="1"/>
  <c r="BA43" i="28"/>
  <c r="BA62" i="28" s="1"/>
  <c r="BA74" i="28" s="1"/>
  <c r="AC11" i="39" s="1"/>
  <c r="AC12" i="39" s="1"/>
  <c r="BE43" i="28"/>
  <c r="BE62" i="28" s="1"/>
  <c r="BE74" i="28" s="1"/>
  <c r="AE11" i="39" s="1"/>
  <c r="BK29" i="33"/>
  <c r="BK13" i="33"/>
  <c r="L14" i="28"/>
  <c r="N25" i="28"/>
  <c r="P25" i="28"/>
  <c r="BP32" i="25"/>
  <c r="BR32" i="25" s="1"/>
  <c r="BV32" i="25" s="1"/>
  <c r="L32" i="25"/>
  <c r="K32" i="25"/>
  <c r="H32" i="25"/>
  <c r="J32" i="25"/>
  <c r="M32" i="25"/>
  <c r="N32" i="25"/>
  <c r="O32" i="25"/>
  <c r="P32" i="25"/>
  <c r="Q32" i="25"/>
  <c r="I32" i="25"/>
  <c r="U29" i="7"/>
  <c r="BV62" i="7"/>
  <c r="G15" i="32"/>
  <c r="X20" i="7"/>
  <c r="AQ51" i="37"/>
  <c r="I33" i="37"/>
  <c r="BN33" i="37"/>
  <c r="BR33" i="37" s="1"/>
  <c r="BV33" i="37" s="1"/>
  <c r="P33" i="37"/>
  <c r="H33" i="37"/>
  <c r="AM21" i="33"/>
  <c r="BG21" i="33"/>
  <c r="AK21" i="33"/>
  <c r="BE21" i="33"/>
  <c r="BV53" i="38"/>
  <c r="BK28" i="33"/>
  <c r="BK12" i="33"/>
  <c r="AG25" i="33"/>
  <c r="AY25" i="33"/>
  <c r="BG43" i="28"/>
  <c r="BG62" i="28" s="1"/>
  <c r="BG74" i="28" s="1"/>
  <c r="AF11" i="39" s="1"/>
  <c r="AK43" i="28"/>
  <c r="AK62" i="28" s="1"/>
  <c r="AK74" i="28" s="1"/>
  <c r="U11" i="39" s="1"/>
  <c r="BC43" i="28"/>
  <c r="BC62" i="28" s="1"/>
  <c r="I28" i="28"/>
  <c r="I30" i="28" s="1"/>
  <c r="Q28" i="28"/>
  <c r="Q30" i="28" s="1"/>
  <c r="H28" i="28"/>
  <c r="H30" i="28" s="1"/>
  <c r="P28" i="28"/>
  <c r="M28" i="28"/>
  <c r="M30" i="28" s="1"/>
  <c r="BO28" i="28"/>
  <c r="J28" i="28"/>
  <c r="J30" i="28" s="1"/>
  <c r="O28" i="28"/>
  <c r="O30" i="28" s="1"/>
  <c r="N28" i="28"/>
  <c r="N30" i="28" s="1"/>
  <c r="L28" i="28"/>
  <c r="L30" i="28" s="1"/>
  <c r="K28" i="28"/>
  <c r="BS34" i="7"/>
  <c r="H77" i="32"/>
  <c r="R72" i="32"/>
  <c r="R77" i="32" s="1"/>
  <c r="BI51" i="37"/>
  <c r="BC51" i="37"/>
  <c r="BA51" i="37"/>
  <c r="Q41" i="37"/>
  <c r="I41" i="37"/>
  <c r="N41" i="37"/>
  <c r="J41" i="37"/>
  <c r="L41" i="37"/>
  <c r="M41" i="37"/>
  <c r="O41" i="37"/>
  <c r="K41" i="37"/>
  <c r="BN41" i="37"/>
  <c r="BR41" i="37" s="1"/>
  <c r="BV41" i="37" s="1"/>
  <c r="P41" i="37"/>
  <c r="H41" i="37"/>
  <c r="AC21" i="33"/>
  <c r="AQ21" i="33"/>
  <c r="BK19" i="33"/>
  <c r="AA21" i="33"/>
  <c r="AU21" i="33"/>
  <c r="N20" i="7"/>
  <c r="O20" i="7"/>
  <c r="P20" i="7"/>
  <c r="M20" i="7"/>
  <c r="I20" i="7"/>
  <c r="J20" i="7"/>
  <c r="BA25" i="33"/>
  <c r="BI25" i="33"/>
  <c r="AW25" i="33"/>
  <c r="BK41" i="28"/>
  <c r="AE43" i="28"/>
  <c r="AE62" i="28" s="1"/>
  <c r="BR37" i="28"/>
  <c r="BR24" i="34"/>
  <c r="BQ46" i="28"/>
  <c r="BR46" i="28" s="1"/>
  <c r="BV46" i="28" s="1"/>
  <c r="Q46" i="28"/>
  <c r="J46" i="28"/>
  <c r="P46" i="28"/>
  <c r="M46" i="28"/>
  <c r="O46" i="28"/>
  <c r="L46" i="28"/>
  <c r="I46" i="28"/>
  <c r="K46" i="28"/>
  <c r="K50" i="28" s="1"/>
  <c r="H46" i="28"/>
  <c r="N46" i="28"/>
  <c r="H14" i="28"/>
  <c r="M45" i="25"/>
  <c r="I45" i="25"/>
  <c r="H45" i="25"/>
  <c r="L45" i="25"/>
  <c r="N45" i="25"/>
  <c r="J45" i="25"/>
  <c r="Q45" i="25"/>
  <c r="BP45" i="25"/>
  <c r="BR45" i="25" s="1"/>
  <c r="BV45" i="25" s="1"/>
  <c r="P45" i="25"/>
  <c r="O45" i="25"/>
  <c r="K45" i="25"/>
  <c r="BR35" i="34"/>
  <c r="AR22" i="32"/>
  <c r="BH22" i="32"/>
  <c r="AX22" i="32"/>
  <c r="AY33" i="34"/>
  <c r="BK21" i="34"/>
  <c r="AF25" i="38"/>
  <c r="AV25" i="38"/>
  <c r="AP25" i="38"/>
  <c r="BF25" i="38"/>
  <c r="BK40" i="37"/>
  <c r="BK50" i="37"/>
  <c r="AE51" i="37"/>
  <c r="AG51" i="37"/>
  <c r="AA51" i="37"/>
  <c r="BK49" i="37"/>
  <c r="AS21" i="33"/>
  <c r="BC21" i="33"/>
  <c r="AY21" i="33"/>
  <c r="AW21" i="33"/>
  <c r="BK24" i="33"/>
  <c r="AC25" i="33"/>
  <c r="AM25" i="33"/>
  <c r="AK25" i="33"/>
  <c r="BK36" i="28"/>
  <c r="AA43" i="28"/>
  <c r="AA62" i="28" s="1"/>
  <c r="AW43" i="28"/>
  <c r="AW62" i="28" s="1"/>
  <c r="AW74" i="28" s="1"/>
  <c r="AA11" i="39" s="1"/>
  <c r="BK30" i="33"/>
  <c r="AP74" i="28"/>
  <c r="AE30" i="28"/>
  <c r="AE31" i="28" s="1"/>
  <c r="BK28" i="28"/>
  <c r="BK30" i="28" s="1"/>
  <c r="BK31" i="28" s="1"/>
  <c r="G31" i="28"/>
  <c r="O14" i="28"/>
  <c r="BR22" i="28"/>
  <c r="Q13" i="34"/>
  <c r="M13" i="34"/>
  <c r="X63" i="7"/>
  <c r="K63" i="7"/>
  <c r="P63" i="7"/>
  <c r="I63" i="7"/>
  <c r="N63" i="7"/>
  <c r="J63" i="7"/>
  <c r="Y63" i="7"/>
  <c r="Q63" i="7"/>
  <c r="O63" i="7"/>
  <c r="W63" i="7"/>
  <c r="BS63" i="7"/>
  <c r="M63" i="7"/>
  <c r="L51" i="38"/>
  <c r="L52" i="38" s="1"/>
  <c r="O51" i="38"/>
  <c r="O52" i="38" s="1"/>
  <c r="J51" i="38"/>
  <c r="J52" i="38" s="1"/>
  <c r="K51" i="38"/>
  <c r="K52" i="38" s="1"/>
  <c r="Z52" i="38"/>
  <c r="BQ51" i="38"/>
  <c r="BQ52" i="38" s="1"/>
  <c r="I51" i="38"/>
  <c r="I52" i="38" s="1"/>
  <c r="H52" i="38"/>
  <c r="Q51" i="38"/>
  <c r="Q52" i="38" s="1"/>
  <c r="AB49" i="38"/>
  <c r="BL45" i="38"/>
  <c r="AP49" i="38"/>
  <c r="BF49" i="38"/>
  <c r="AH20" i="38"/>
  <c r="AX20" i="38"/>
  <c r="AB20" i="38"/>
  <c r="AR20" i="38"/>
  <c r="BH20" i="38"/>
  <c r="AR13" i="38"/>
  <c r="BH13" i="38"/>
  <c r="AP13" i="38"/>
  <c r="BF13" i="38"/>
  <c r="AB25" i="38"/>
  <c r="BL22" i="38"/>
  <c r="AB13" i="38"/>
  <c r="BL12" i="38"/>
  <c r="G25" i="38"/>
  <c r="U22" i="38"/>
  <c r="Y22" i="38" s="1"/>
  <c r="T22" i="38"/>
  <c r="X22" i="38" s="1"/>
  <c r="V22" i="38"/>
  <c r="Z22" i="38" s="1"/>
  <c r="Z25" i="38" s="1"/>
  <c r="AD20" i="38"/>
  <c r="AT20" i="38"/>
  <c r="BJ20" i="38"/>
  <c r="AN20" i="38"/>
  <c r="BD20" i="38"/>
  <c r="AZ49" i="38"/>
  <c r="AX49" i="38"/>
  <c r="AN13" i="38"/>
  <c r="BD13" i="38"/>
  <c r="AL13" i="38"/>
  <c r="BB13" i="38"/>
  <c r="AB37" i="38"/>
  <c r="BL29" i="38"/>
  <c r="BL19" i="38"/>
  <c r="BL46" i="38"/>
  <c r="AP20" i="38"/>
  <c r="BF20" i="38"/>
  <c r="AJ20" i="38"/>
  <c r="AZ20" i="38"/>
  <c r="AF49" i="38"/>
  <c r="AD49" i="38"/>
  <c r="AJ13" i="38"/>
  <c r="AZ13" i="38"/>
  <c r="AH13" i="38"/>
  <c r="AX13" i="38"/>
  <c r="T23" i="38"/>
  <c r="X23" i="38" s="1"/>
  <c r="U23" i="38"/>
  <c r="Y23" i="38" s="1"/>
  <c r="AL20" i="38"/>
  <c r="BB20" i="38"/>
  <c r="AF20" i="38"/>
  <c r="AV20" i="38"/>
  <c r="BL47" i="38"/>
  <c r="AR49" i="38"/>
  <c r="AF13" i="38"/>
  <c r="AV13" i="38"/>
  <c r="AD13" i="38"/>
  <c r="AT13" i="38"/>
  <c r="BJ13" i="38"/>
  <c r="BO32" i="38"/>
  <c r="BS32" i="38" s="1"/>
  <c r="BW32" i="38" s="1"/>
  <c r="G37" i="38"/>
  <c r="AN22" i="32"/>
  <c r="X51" i="37"/>
  <c r="T51" i="38"/>
  <c r="U51" i="38"/>
  <c r="V52" i="38"/>
  <c r="G52" i="38"/>
  <c r="BK53" i="38"/>
  <c r="O44" i="38"/>
  <c r="N44" i="38"/>
  <c r="J44" i="38"/>
  <c r="N39" i="38"/>
  <c r="N42" i="38" s="1"/>
  <c r="G13" i="38"/>
  <c r="H12" i="38"/>
  <c r="G20" i="38"/>
  <c r="BJ112" i="25"/>
  <c r="BJ113" i="25" s="1"/>
  <c r="BK78" i="25"/>
  <c r="BL11" i="38"/>
  <c r="BK43" i="34"/>
  <c r="BK39" i="34"/>
  <c r="BK38" i="34"/>
  <c r="BK29" i="34"/>
  <c r="AA33" i="34"/>
  <c r="BK17" i="34"/>
  <c r="AA22" i="34"/>
  <c r="AM44" i="34"/>
  <c r="AU44" i="34"/>
  <c r="BC44" i="34"/>
  <c r="BE44" i="34"/>
  <c r="BK19" i="34"/>
  <c r="AI33" i="34"/>
  <c r="AS33" i="34"/>
  <c r="AK33" i="34"/>
  <c r="BK20" i="34"/>
  <c r="BA22" i="34"/>
  <c r="BK26" i="34"/>
  <c r="AG27" i="34"/>
  <c r="AQ27" i="34"/>
  <c r="AY27" i="34"/>
  <c r="BI27" i="34"/>
  <c r="AW22" i="34"/>
  <c r="BE40" i="34"/>
  <c r="AG40" i="34"/>
  <c r="AQ40" i="34"/>
  <c r="AY40" i="34"/>
  <c r="BI40" i="34"/>
  <c r="AI44" i="34"/>
  <c r="AS44" i="34"/>
  <c r="BA44" i="34"/>
  <c r="AK44" i="34"/>
  <c r="AE44" i="34"/>
  <c r="BK36" i="34"/>
  <c r="AG33" i="34"/>
  <c r="AQ33" i="34"/>
  <c r="BI33" i="34"/>
  <c r="BE22" i="34"/>
  <c r="AY22" i="34"/>
  <c r="AE27" i="34"/>
  <c r="AO27" i="34"/>
  <c r="AW27" i="34"/>
  <c r="AW56" i="34" s="1"/>
  <c r="BG27" i="34"/>
  <c r="AU22" i="34"/>
  <c r="AG22" i="34"/>
  <c r="AK40" i="34"/>
  <c r="AE40" i="34"/>
  <c r="AO40" i="34"/>
  <c r="AW40" i="34"/>
  <c r="BG40" i="34"/>
  <c r="BK25" i="34"/>
  <c r="H30" i="34"/>
  <c r="I30" i="34"/>
  <c r="M30" i="34"/>
  <c r="BP30" i="34"/>
  <c r="BR30" i="34" s="1"/>
  <c r="BV30" i="34" s="1"/>
  <c r="N30" i="34"/>
  <c r="L30" i="34"/>
  <c r="K30" i="34"/>
  <c r="J30" i="34"/>
  <c r="P30" i="34"/>
  <c r="Q30" i="34"/>
  <c r="O30" i="34"/>
  <c r="AG44" i="34"/>
  <c r="AQ44" i="34"/>
  <c r="AY44" i="34"/>
  <c r="BI44" i="34"/>
  <c r="BI56" i="34" s="1"/>
  <c r="AC44" i="34"/>
  <c r="AE33" i="34"/>
  <c r="BG33" i="34"/>
  <c r="BG22" i="34"/>
  <c r="AC27" i="34"/>
  <c r="AM27" i="34"/>
  <c r="AM56" i="34" s="1"/>
  <c r="AU27" i="34"/>
  <c r="AU56" i="34" s="1"/>
  <c r="BC27" i="34"/>
  <c r="BE27" i="34"/>
  <c r="AI22" i="34"/>
  <c r="AS22" i="34"/>
  <c r="AK22" i="34"/>
  <c r="AE22" i="34"/>
  <c r="AO22" i="34"/>
  <c r="AC40" i="34"/>
  <c r="AM40" i="34"/>
  <c r="AU40" i="34"/>
  <c r="BC40" i="34"/>
  <c r="BK18" i="34"/>
  <c r="P17" i="34"/>
  <c r="H17" i="34"/>
  <c r="X22" i="34"/>
  <c r="J17" i="34"/>
  <c r="K17" i="34"/>
  <c r="K22" i="34" s="1"/>
  <c r="G22" i="34"/>
  <c r="L17" i="34"/>
  <c r="BP17" i="34"/>
  <c r="I17" i="34"/>
  <c r="W22" i="34"/>
  <c r="M17" i="34"/>
  <c r="Q17" i="34"/>
  <c r="BK42" i="34"/>
  <c r="AA44" i="34"/>
  <c r="BK24" i="34"/>
  <c r="AA27" i="34"/>
  <c r="AA46" i="34"/>
  <c r="BK45" i="34"/>
  <c r="BK35" i="34"/>
  <c r="AA40" i="34"/>
  <c r="AO44" i="34"/>
  <c r="AW44" i="34"/>
  <c r="BG44" i="34"/>
  <c r="BK32" i="34"/>
  <c r="BK37" i="34"/>
  <c r="AC33" i="34"/>
  <c r="AM33" i="34"/>
  <c r="AU33" i="34"/>
  <c r="BC33" i="34"/>
  <c r="BE33" i="34"/>
  <c r="AM22" i="34"/>
  <c r="BC22" i="34"/>
  <c r="AI27" i="34"/>
  <c r="AS27" i="34"/>
  <c r="BA27" i="34"/>
  <c r="BA56" i="34" s="1"/>
  <c r="AK27" i="34"/>
  <c r="AQ22" i="34"/>
  <c r="BI22" i="34"/>
  <c r="AC22" i="34"/>
  <c r="AI40" i="34"/>
  <c r="AS40" i="34"/>
  <c r="BA40" i="34"/>
  <c r="N11" i="34"/>
  <c r="N15" i="34" s="1"/>
  <c r="M11" i="34"/>
  <c r="J11" i="34"/>
  <c r="J15" i="34" s="1"/>
  <c r="Q11" i="34"/>
  <c r="Q15" i="34" s="1"/>
  <c r="I11" i="34"/>
  <c r="I15" i="34" s="1"/>
  <c r="BO11" i="34"/>
  <c r="BR11" i="34" s="1"/>
  <c r="BV11" i="34" s="1"/>
  <c r="H11" i="34"/>
  <c r="H15" i="34" s="1"/>
  <c r="P11" i="34"/>
  <c r="K11" i="34"/>
  <c r="L11" i="34"/>
  <c r="L15" i="34" s="1"/>
  <c r="O11" i="34"/>
  <c r="U33" i="34"/>
  <c r="T33" i="34"/>
  <c r="BR12" i="34"/>
  <c r="BO25" i="33"/>
  <c r="BR24" i="33"/>
  <c r="AO25" i="33"/>
  <c r="BR14" i="33"/>
  <c r="BP17" i="33"/>
  <c r="BP34" i="33" s="1"/>
  <c r="AT22" i="32"/>
  <c r="AH22" i="32"/>
  <c r="AZ22" i="32"/>
  <c r="BQ72" i="32"/>
  <c r="BS72" i="32" s="1"/>
  <c r="BW72" i="32" s="1"/>
  <c r="BL20" i="32"/>
  <c r="AF15" i="32"/>
  <c r="AF132" i="32" s="1"/>
  <c r="R15" i="39" s="1"/>
  <c r="AD22" i="32"/>
  <c r="BF22" i="32"/>
  <c r="AL22" i="32"/>
  <c r="BJ22" i="32"/>
  <c r="BL21" i="32"/>
  <c r="AR15" i="32"/>
  <c r="AX15" i="32"/>
  <c r="AJ15" i="32"/>
  <c r="BB15" i="32"/>
  <c r="AP15" i="32"/>
  <c r="AV22" i="32"/>
  <c r="AJ22" i="32"/>
  <c r="BD22" i="32"/>
  <c r="BL13" i="32"/>
  <c r="AV15" i="32"/>
  <c r="AH15" i="32"/>
  <c r="AZ15" i="32"/>
  <c r="AD15" i="32"/>
  <c r="AB15" i="32"/>
  <c r="AT15" i="32"/>
  <c r="BJ15" i="32"/>
  <c r="AN15" i="32"/>
  <c r="BL14" i="32"/>
  <c r="BH15" i="32"/>
  <c r="AL15" i="32"/>
  <c r="BF15" i="32"/>
  <c r="BD15" i="32"/>
  <c r="BL18" i="32"/>
  <c r="U123" i="32"/>
  <c r="Y123" i="32" s="1"/>
  <c r="K21" i="32"/>
  <c r="Q21" i="32" s="1"/>
  <c r="Z15" i="32"/>
  <c r="BL12" i="32"/>
  <c r="U124" i="32"/>
  <c r="Y124" i="32" s="1"/>
  <c r="R21" i="32"/>
  <c r="J21" i="32"/>
  <c r="P21" i="32" s="1"/>
  <c r="BP21" i="32"/>
  <c r="BS21" i="32" s="1"/>
  <c r="BW21" i="32" s="1"/>
  <c r="I21" i="32"/>
  <c r="N21" i="32" s="1"/>
  <c r="L21" i="32"/>
  <c r="BP17" i="32"/>
  <c r="BS17" i="32" s="1"/>
  <c r="BW17" i="32" s="1"/>
  <c r="J17" i="32"/>
  <c r="I17" i="32"/>
  <c r="BS35" i="32"/>
  <c r="BO131" i="32"/>
  <c r="BS126" i="32"/>
  <c r="BW126" i="32" s="1"/>
  <c r="BS128" i="32"/>
  <c r="BW128" i="32" s="1"/>
  <c r="BQ131" i="32"/>
  <c r="BC74" i="28"/>
  <c r="AD11" i="39" s="1"/>
  <c r="P65" i="7"/>
  <c r="BS65" i="7"/>
  <c r="BV65" i="7" s="1"/>
  <c r="BZ65" i="7" s="1"/>
  <c r="Q65" i="7"/>
  <c r="J65" i="7"/>
  <c r="M65" i="7"/>
  <c r="T30" i="28"/>
  <c r="X30" i="28"/>
  <c r="I41" i="7"/>
  <c r="BV41" i="7"/>
  <c r="BZ41" i="7" s="1"/>
  <c r="H41" i="7"/>
  <c r="BP52" i="25"/>
  <c r="BP55" i="25" s="1"/>
  <c r="BR50" i="25"/>
  <c r="O43" i="24"/>
  <c r="L43" i="24"/>
  <c r="J43" i="24"/>
  <c r="H43" i="24"/>
  <c r="P43" i="24"/>
  <c r="I43" i="24"/>
  <c r="BP43" i="24"/>
  <c r="BR43" i="24" s="1"/>
  <c r="BV43" i="24" s="1"/>
  <c r="N43" i="24"/>
  <c r="M43" i="24"/>
  <c r="K43" i="24"/>
  <c r="Q43" i="24"/>
  <c r="P29" i="25"/>
  <c r="I29" i="25"/>
  <c r="N29" i="25"/>
  <c r="BP29" i="25"/>
  <c r="BR29" i="25" s="1"/>
  <c r="BV29" i="25" s="1"/>
  <c r="O29" i="25"/>
  <c r="H29" i="25"/>
  <c r="L29" i="25"/>
  <c r="Q29" i="25"/>
  <c r="K29" i="25"/>
  <c r="M29" i="25"/>
  <c r="J29" i="25"/>
  <c r="Q66" i="7"/>
  <c r="BS66" i="7"/>
  <c r="O66" i="7"/>
  <c r="P66" i="7"/>
  <c r="I66" i="7"/>
  <c r="J66" i="7"/>
  <c r="M66" i="7"/>
  <c r="N66" i="7"/>
  <c r="K66" i="7"/>
  <c r="BS41" i="32"/>
  <c r="N38" i="7"/>
  <c r="Q38" i="7"/>
  <c r="M38" i="7"/>
  <c r="H38" i="7"/>
  <c r="BS38" i="7"/>
  <c r="I38" i="7"/>
  <c r="G44" i="7"/>
  <c r="P38" i="7"/>
  <c r="J38" i="7"/>
  <c r="O38" i="7"/>
  <c r="BR15" i="37"/>
  <c r="BV15" i="37" s="1"/>
  <c r="U30" i="28"/>
  <c r="U31" i="28" s="1"/>
  <c r="Y30" i="28"/>
  <c r="X41" i="7"/>
  <c r="X44" i="7" s="1"/>
  <c r="T44" i="7"/>
  <c r="BS18" i="38"/>
  <c r="O85" i="24"/>
  <c r="P85" i="24"/>
  <c r="Q85" i="24"/>
  <c r="H85" i="24"/>
  <c r="J85" i="24"/>
  <c r="I85" i="24"/>
  <c r="I87" i="24" s="1"/>
  <c r="K85" i="24"/>
  <c r="L85" i="24"/>
  <c r="BS85" i="24"/>
  <c r="M85" i="24"/>
  <c r="N85" i="24"/>
  <c r="G87" i="24"/>
  <c r="G98" i="24" s="1"/>
  <c r="P30" i="25"/>
  <c r="I30" i="25"/>
  <c r="O30" i="25"/>
  <c r="N30" i="25"/>
  <c r="M30" i="25"/>
  <c r="L30" i="25"/>
  <c r="BP30" i="25"/>
  <c r="BR30" i="25" s="1"/>
  <c r="BV30" i="25" s="1"/>
  <c r="K30" i="25"/>
  <c r="H30" i="25"/>
  <c r="Q30" i="25"/>
  <c r="J30" i="25"/>
  <c r="BR17" i="26"/>
  <c r="P27" i="25"/>
  <c r="I27" i="25"/>
  <c r="J27" i="25"/>
  <c r="Q27" i="25"/>
  <c r="O27" i="25"/>
  <c r="N27" i="25"/>
  <c r="BP27" i="25"/>
  <c r="BR27" i="25" s="1"/>
  <c r="BV27" i="25" s="1"/>
  <c r="L27" i="25"/>
  <c r="H27" i="25"/>
  <c r="K27" i="25"/>
  <c r="M27" i="25"/>
  <c r="BP39" i="24"/>
  <c r="M39" i="24"/>
  <c r="N39" i="24"/>
  <c r="O39" i="24"/>
  <c r="P39" i="24"/>
  <c r="Q39" i="24"/>
  <c r="H39" i="24"/>
  <c r="J39" i="24"/>
  <c r="I39" i="24"/>
  <c r="K39" i="24"/>
  <c r="L39" i="24"/>
  <c r="BS27" i="32"/>
  <c r="BK28" i="25"/>
  <c r="BR29" i="26"/>
  <c r="BO33" i="26"/>
  <c r="BR21" i="25"/>
  <c r="Y37" i="7"/>
  <c r="Y44" i="7" s="1"/>
  <c r="U44" i="7"/>
  <c r="BS82" i="32"/>
  <c r="BS30" i="38"/>
  <c r="BS51" i="32"/>
  <c r="X111" i="25"/>
  <c r="W111" i="25"/>
  <c r="S46" i="25"/>
  <c r="I40" i="7"/>
  <c r="H40" i="7"/>
  <c r="BV40" i="7"/>
  <c r="BZ40" i="7" s="1"/>
  <c r="BS81" i="25"/>
  <c r="Q81" i="25"/>
  <c r="M81" i="25"/>
  <c r="I81" i="25"/>
  <c r="N81" i="25"/>
  <c r="J81" i="25"/>
  <c r="J87" i="25" s="1"/>
  <c r="O81" i="25"/>
  <c r="K81" i="25"/>
  <c r="P81" i="25"/>
  <c r="L81" i="25"/>
  <c r="H81" i="25"/>
  <c r="G87" i="25"/>
  <c r="BP28" i="25"/>
  <c r="BR28" i="25" s="1"/>
  <c r="BV28" i="25" s="1"/>
  <c r="J28" i="25"/>
  <c r="M28" i="25"/>
  <c r="Q28" i="25"/>
  <c r="L28" i="25"/>
  <c r="I28" i="25"/>
  <c r="H28" i="25"/>
  <c r="P28" i="25"/>
  <c r="N28" i="25"/>
  <c r="K28" i="25"/>
  <c r="O28" i="25"/>
  <c r="BT12" i="7"/>
  <c r="BT72" i="7" s="1"/>
  <c r="BV10" i="7"/>
  <c r="W37" i="7"/>
  <c r="S44" i="7"/>
  <c r="BS68" i="32"/>
  <c r="BR88" i="25"/>
  <c r="Y111" i="25"/>
  <c r="V111" i="25"/>
  <c r="K33" i="26"/>
  <c r="BK29" i="25"/>
  <c r="G46" i="25"/>
  <c r="BZ48" i="7"/>
  <c r="Y15" i="25"/>
  <c r="Y18" i="25" s="1"/>
  <c r="U18" i="25"/>
  <c r="X15" i="25"/>
  <c r="X18" i="25" s="1"/>
  <c r="T18" i="25"/>
  <c r="W15" i="25"/>
  <c r="W18" i="25" s="1"/>
  <c r="S18" i="25"/>
  <c r="BV14" i="25"/>
  <c r="BV14" i="7"/>
  <c r="BT17" i="24"/>
  <c r="BU13" i="24"/>
  <c r="I98" i="24" l="1"/>
  <c r="AK56" i="34"/>
  <c r="BG56" i="34"/>
  <c r="AF17" i="39" s="1"/>
  <c r="AG56" i="34"/>
  <c r="K30" i="28"/>
  <c r="K31" i="28" s="1"/>
  <c r="K69" i="28"/>
  <c r="Q63" i="24"/>
  <c r="Q65" i="24" s="1"/>
  <c r="J63" i="24"/>
  <c r="J65" i="24" s="1"/>
  <c r="AS56" i="34"/>
  <c r="Y17" i="39" s="1"/>
  <c r="AA56" i="34"/>
  <c r="AC56" i="34"/>
  <c r="AO56" i="34"/>
  <c r="J39" i="38"/>
  <c r="J42" i="38" s="1"/>
  <c r="BO39" i="38"/>
  <c r="BO42" i="38" s="1"/>
  <c r="W31" i="28"/>
  <c r="O18" i="26"/>
  <c r="J33" i="26"/>
  <c r="BK71" i="25"/>
  <c r="BK39" i="26"/>
  <c r="J69" i="28"/>
  <c r="S56" i="34"/>
  <c r="AI56" i="34"/>
  <c r="AE56" i="34"/>
  <c r="O39" i="38"/>
  <c r="O42" i="38" s="1"/>
  <c r="P39" i="38"/>
  <c r="P42" i="38" s="1"/>
  <c r="N53" i="24"/>
  <c r="N18" i="26"/>
  <c r="O22" i="34"/>
  <c r="G69" i="28"/>
  <c r="N65" i="28"/>
  <c r="N69" i="28" s="1"/>
  <c r="M65" i="28"/>
  <c r="M69" i="28" s="1"/>
  <c r="K65" i="28"/>
  <c r="O65" i="28"/>
  <c r="O69" i="28" s="1"/>
  <c r="BO65" i="28"/>
  <c r="J65" i="28"/>
  <c r="H65" i="28"/>
  <c r="H69" i="28" s="1"/>
  <c r="Q65" i="28"/>
  <c r="Q69" i="28" s="1"/>
  <c r="L65" i="28"/>
  <c r="L69" i="28" s="1"/>
  <c r="P65" i="28"/>
  <c r="P69" i="28" s="1"/>
  <c r="I65" i="28"/>
  <c r="I69" i="28" s="1"/>
  <c r="K15" i="34"/>
  <c r="P15" i="34"/>
  <c r="M15" i="34"/>
  <c r="BE56" i="34"/>
  <c r="AE17" i="39" s="1"/>
  <c r="AY56" i="34"/>
  <c r="L39" i="38"/>
  <c r="L42" i="38" s="1"/>
  <c r="L116" i="24"/>
  <c r="L18" i="25"/>
  <c r="AG98" i="24"/>
  <c r="P39" i="26"/>
  <c r="M33" i="26"/>
  <c r="N77" i="32"/>
  <c r="K25" i="28"/>
  <c r="H116" i="24"/>
  <c r="K87" i="24"/>
  <c r="BC56" i="34"/>
  <c r="AQ56" i="34"/>
  <c r="U56" i="34"/>
  <c r="V56" i="34"/>
  <c r="BK53" i="24"/>
  <c r="K87" i="25"/>
  <c r="M78" i="25"/>
  <c r="J78" i="25"/>
  <c r="J88" i="25" s="1"/>
  <c r="H78" i="25"/>
  <c r="BK18" i="25"/>
  <c r="BP27" i="34"/>
  <c r="AL53" i="38"/>
  <c r="P30" i="28"/>
  <c r="N33" i="26"/>
  <c r="Q48" i="32"/>
  <c r="Q62" i="32" s="1"/>
  <c r="I48" i="32"/>
  <c r="I62" i="32" s="1"/>
  <c r="J48" i="32"/>
  <c r="J62" i="32" s="1"/>
  <c r="N48" i="32"/>
  <c r="BK69" i="7"/>
  <c r="K116" i="24"/>
  <c r="BK17" i="24"/>
  <c r="BK87" i="24"/>
  <c r="BK98" i="24" s="1"/>
  <c r="L39" i="26"/>
  <c r="O15" i="34"/>
  <c r="AA74" i="28"/>
  <c r="P11" i="39" s="1"/>
  <c r="AI74" i="28"/>
  <c r="T11" i="39" s="1"/>
  <c r="T12" i="39" s="1"/>
  <c r="N22" i="34"/>
  <c r="L17" i="24"/>
  <c r="M52" i="25"/>
  <c r="M55" i="25" s="1"/>
  <c r="Y31" i="28"/>
  <c r="BN15" i="32"/>
  <c r="V42" i="26"/>
  <c r="I33" i="26"/>
  <c r="BC52" i="37"/>
  <c r="AD22" i="39" s="1"/>
  <c r="AQ98" i="24"/>
  <c r="H33" i="26"/>
  <c r="M39" i="26"/>
  <c r="O33" i="26"/>
  <c r="I78" i="25"/>
  <c r="L87" i="24"/>
  <c r="L98" i="24" s="1"/>
  <c r="AH10" i="39"/>
  <c r="V12" i="39"/>
  <c r="S12" i="39"/>
  <c r="M18" i="26"/>
  <c r="BE42" i="26"/>
  <c r="AE28" i="39" s="1"/>
  <c r="AF12" i="39"/>
  <c r="BT106" i="25"/>
  <c r="H106" i="25"/>
  <c r="P106" i="25"/>
  <c r="K106" i="25"/>
  <c r="H47" i="37"/>
  <c r="P47" i="37"/>
  <c r="BR40" i="37"/>
  <c r="BV40" i="37" s="1"/>
  <c r="J47" i="37"/>
  <c r="M47" i="37"/>
  <c r="BA52" i="37"/>
  <c r="AC22" i="39" s="1"/>
  <c r="O47" i="37"/>
  <c r="BK51" i="37"/>
  <c r="K47" i="37"/>
  <c r="S33" i="32"/>
  <c r="N47" i="37"/>
  <c r="AA82" i="7"/>
  <c r="H109" i="32"/>
  <c r="K18" i="25"/>
  <c r="I39" i="26"/>
  <c r="H52" i="25"/>
  <c r="H55" i="25" s="1"/>
  <c r="P78" i="25"/>
  <c r="L27" i="34"/>
  <c r="BK66" i="25"/>
  <c r="BS78" i="25"/>
  <c r="Y78" i="25"/>
  <c r="Q22" i="34"/>
  <c r="L52" i="28"/>
  <c r="L61" i="28" s="1"/>
  <c r="H125" i="32"/>
  <c r="M53" i="24"/>
  <c r="AI98" i="24"/>
  <c r="BK44" i="24"/>
  <c r="K17" i="24"/>
  <c r="AA12" i="39"/>
  <c r="AB12" i="39"/>
  <c r="Q106" i="25"/>
  <c r="N78" i="25"/>
  <c r="AG12" i="39"/>
  <c r="O40" i="34"/>
  <c r="V33" i="32"/>
  <c r="W78" i="25"/>
  <c r="P12" i="39"/>
  <c r="J53" i="24"/>
  <c r="O106" i="25"/>
  <c r="BK106" i="25"/>
  <c r="BK23" i="26"/>
  <c r="Z33" i="32"/>
  <c r="Q12" i="39"/>
  <c r="U33" i="32"/>
  <c r="N87" i="25"/>
  <c r="AD12" i="39"/>
  <c r="O25" i="28"/>
  <c r="W33" i="32"/>
  <c r="AE12" i="39"/>
  <c r="J106" i="25"/>
  <c r="N106" i="25"/>
  <c r="Q78" i="25"/>
  <c r="I106" i="25"/>
  <c r="L106" i="25"/>
  <c r="Y33" i="32"/>
  <c r="H87" i="25"/>
  <c r="X78" i="25"/>
  <c r="M87" i="24"/>
  <c r="M98" i="24" s="1"/>
  <c r="U12" i="39"/>
  <c r="S51" i="37"/>
  <c r="N17" i="24"/>
  <c r="H17" i="24"/>
  <c r="AS42" i="26"/>
  <c r="Y28" i="39" s="1"/>
  <c r="Q33" i="26"/>
  <c r="M106" i="25"/>
  <c r="AO88" i="25"/>
  <c r="AO112" i="25" s="1"/>
  <c r="T33" i="32"/>
  <c r="I22" i="34"/>
  <c r="U109" i="32"/>
  <c r="X109" i="32"/>
  <c r="W109" i="32"/>
  <c r="T109" i="32"/>
  <c r="Y109" i="32"/>
  <c r="S109" i="32"/>
  <c r="U21" i="39"/>
  <c r="BK47" i="37"/>
  <c r="W34" i="33"/>
  <c r="K65" i="7"/>
  <c r="I65" i="7"/>
  <c r="N65" i="7"/>
  <c r="P64" i="7"/>
  <c r="L64" i="7"/>
  <c r="M58" i="25"/>
  <c r="M66" i="25" s="1"/>
  <c r="P58" i="25"/>
  <c r="P66" i="25" s="1"/>
  <c r="I58" i="25"/>
  <c r="I66" i="25" s="1"/>
  <c r="L58" i="25"/>
  <c r="L66" i="25" s="1"/>
  <c r="N58" i="25"/>
  <c r="N66" i="25" s="1"/>
  <c r="H58" i="25"/>
  <c r="H66" i="25" s="1"/>
  <c r="Q58" i="25"/>
  <c r="Q66" i="25" s="1"/>
  <c r="J58" i="25"/>
  <c r="J66" i="25" s="1"/>
  <c r="O58" i="25"/>
  <c r="O66" i="25" s="1"/>
  <c r="K58" i="25"/>
  <c r="K66" i="25" s="1"/>
  <c r="P22" i="34"/>
  <c r="H53" i="24"/>
  <c r="I87" i="25"/>
  <c r="Q47" i="37"/>
  <c r="R62" i="32"/>
  <c r="Q39" i="26"/>
  <c r="BK14" i="26"/>
  <c r="AG88" i="25"/>
  <c r="G66" i="25"/>
  <c r="P17" i="24"/>
  <c r="N46" i="25"/>
  <c r="P87" i="25"/>
  <c r="M87" i="25"/>
  <c r="P87" i="24"/>
  <c r="P98" i="24" s="1"/>
  <c r="BS39" i="38"/>
  <c r="BS42" i="38" s="1"/>
  <c r="BV63" i="7"/>
  <c r="T29" i="7"/>
  <c r="N52" i="28"/>
  <c r="N61" i="28" s="1"/>
  <c r="M25" i="28"/>
  <c r="L53" i="24"/>
  <c r="M18" i="25"/>
  <c r="AU52" i="37"/>
  <c r="Z22" i="39" s="1"/>
  <c r="I17" i="24"/>
  <c r="BK116" i="24"/>
  <c r="H23" i="26"/>
  <c r="H87" i="24"/>
  <c r="H98" i="24" s="1"/>
  <c r="BP40" i="34"/>
  <c r="Q49" i="37"/>
  <c r="Q51" i="37" s="1"/>
  <c r="N49" i="37"/>
  <c r="N51" i="37" s="1"/>
  <c r="P49" i="37"/>
  <c r="P51" i="37" s="1"/>
  <c r="BP49" i="37"/>
  <c r="G51" i="37"/>
  <c r="H49" i="37"/>
  <c r="H51" i="37" s="1"/>
  <c r="L49" i="37"/>
  <c r="L51" i="37" s="1"/>
  <c r="I49" i="37"/>
  <c r="I51" i="37" s="1"/>
  <c r="K49" i="37"/>
  <c r="K51" i="37" s="1"/>
  <c r="J49" i="37"/>
  <c r="J51" i="37" s="1"/>
  <c r="M49" i="37"/>
  <c r="M51" i="37" s="1"/>
  <c r="O49" i="37"/>
  <c r="O51" i="37" s="1"/>
  <c r="L87" i="25"/>
  <c r="Q87" i="25"/>
  <c r="O87" i="24"/>
  <c r="O98" i="24" s="1"/>
  <c r="BS131" i="32"/>
  <c r="BW131" i="32" s="1"/>
  <c r="J22" i="34"/>
  <c r="Q44" i="38"/>
  <c r="BO25" i="28"/>
  <c r="N50" i="28"/>
  <c r="X29" i="7"/>
  <c r="AU42" i="26"/>
  <c r="Z28" i="39" s="1"/>
  <c r="K23" i="26"/>
  <c r="K39" i="26"/>
  <c r="N64" i="7"/>
  <c r="K64" i="7"/>
  <c r="BS64" i="7"/>
  <c r="BV64" i="7" s="1"/>
  <c r="BZ64" i="7" s="1"/>
  <c r="O87" i="25"/>
  <c r="BG52" i="37"/>
  <c r="AF22" i="39" s="1"/>
  <c r="P52" i="28"/>
  <c r="P61" i="28" s="1"/>
  <c r="P53" i="24"/>
  <c r="BG98" i="24"/>
  <c r="Y98" i="24"/>
  <c r="M17" i="24"/>
  <c r="O17" i="24"/>
  <c r="BV13" i="33"/>
  <c r="BR17" i="33"/>
  <c r="BV17" i="33" s="1"/>
  <c r="BH132" i="32"/>
  <c r="AF15" i="39" s="1"/>
  <c r="BB132" i="32"/>
  <c r="AC15" i="39" s="1"/>
  <c r="AR132" i="32"/>
  <c r="X15" i="39" s="1"/>
  <c r="AP132" i="32"/>
  <c r="W15" i="39" s="1"/>
  <c r="BQ77" i="32"/>
  <c r="AX132" i="32"/>
  <c r="Y87" i="32"/>
  <c r="J77" i="32"/>
  <c r="U38" i="32"/>
  <c r="G47" i="37"/>
  <c r="L43" i="37"/>
  <c r="L47" i="37" s="1"/>
  <c r="I43" i="37"/>
  <c r="I47" i="37" s="1"/>
  <c r="BN43" i="37"/>
  <c r="AQ52" i="37"/>
  <c r="X22" i="39" s="1"/>
  <c r="AS52" i="37"/>
  <c r="Y22" i="39" s="1"/>
  <c r="AW42" i="26"/>
  <c r="AA28" i="39" s="1"/>
  <c r="Y42" i="26"/>
  <c r="AY42" i="26"/>
  <c r="AB28" i="39" s="1"/>
  <c r="BI42" i="26"/>
  <c r="AG28" i="39" s="1"/>
  <c r="BA42" i="26"/>
  <c r="AC28" i="39" s="1"/>
  <c r="AI42" i="26"/>
  <c r="T28" i="39" s="1"/>
  <c r="N87" i="24"/>
  <c r="N98" i="24" s="1"/>
  <c r="K98" i="24"/>
  <c r="Q87" i="24"/>
  <c r="Q98" i="24" s="1"/>
  <c r="O53" i="24"/>
  <c r="BI98" i="24"/>
  <c r="BI117" i="24" s="1"/>
  <c r="AG26" i="39" s="1"/>
  <c r="J87" i="24"/>
  <c r="J98" i="24" s="1"/>
  <c r="AU98" i="24"/>
  <c r="BI52" i="37"/>
  <c r="AG22" i="39" s="1"/>
  <c r="BS51" i="38"/>
  <c r="BW51" i="38" s="1"/>
  <c r="V38" i="32"/>
  <c r="AT132" i="32"/>
  <c r="Y15" i="39" s="1"/>
  <c r="U87" i="32"/>
  <c r="Q77" i="32"/>
  <c r="V15" i="32"/>
  <c r="W38" i="32"/>
  <c r="T31" i="28"/>
  <c r="M52" i="28"/>
  <c r="M61" i="28" s="1"/>
  <c r="K52" i="28"/>
  <c r="K61" i="28" s="1"/>
  <c r="R31" i="28"/>
  <c r="BO18" i="26"/>
  <c r="AK42" i="26"/>
  <c r="U28" i="39" s="1"/>
  <c r="AM52" i="37"/>
  <c r="V22" i="39" s="1"/>
  <c r="W51" i="37"/>
  <c r="Q40" i="34"/>
  <c r="H22" i="34"/>
  <c r="BK27" i="34"/>
  <c r="M22" i="34"/>
  <c r="L22" i="34"/>
  <c r="H40" i="34"/>
  <c r="BK17" i="33"/>
  <c r="H15" i="7"/>
  <c r="H29" i="7" s="1"/>
  <c r="L15" i="7"/>
  <c r="L29" i="7" s="1"/>
  <c r="F69" i="7"/>
  <c r="F72" i="7" s="1"/>
  <c r="R62" i="7"/>
  <c r="G62" i="7"/>
  <c r="U62" i="7"/>
  <c r="S62" i="7"/>
  <c r="T62" i="7"/>
  <c r="T87" i="32"/>
  <c r="I77" i="32"/>
  <c r="AN132" i="32"/>
  <c r="V15" i="39" s="1"/>
  <c r="P46" i="25"/>
  <c r="BK111" i="25"/>
  <c r="K46" i="25"/>
  <c r="AS88" i="25"/>
  <c r="AS112" i="25" s="1"/>
  <c r="Q109" i="25"/>
  <c r="H109" i="25"/>
  <c r="BN109" i="25"/>
  <c r="BR109" i="25" s="1"/>
  <c r="BV109" i="25" s="1"/>
  <c r="N109" i="25"/>
  <c r="O109" i="25"/>
  <c r="I109" i="25"/>
  <c r="K109" i="25"/>
  <c r="L109" i="25"/>
  <c r="M109" i="25"/>
  <c r="J109" i="25"/>
  <c r="P109" i="25"/>
  <c r="U88" i="25"/>
  <c r="U112" i="25" s="1"/>
  <c r="R88" i="25"/>
  <c r="R112" i="25" s="1"/>
  <c r="S88" i="25"/>
  <c r="S112" i="25" s="1"/>
  <c r="T88" i="25"/>
  <c r="F112" i="25"/>
  <c r="BG88" i="25"/>
  <c r="BG112" i="25" s="1"/>
  <c r="AE112" i="25"/>
  <c r="BE88" i="25"/>
  <c r="BE112" i="25" s="1"/>
  <c r="AC88" i="25"/>
  <c r="BK52" i="25"/>
  <c r="BK55" i="25" s="1"/>
  <c r="P68" i="25"/>
  <c r="P71" i="25" s="1"/>
  <c r="M68" i="25"/>
  <c r="M71" i="25" s="1"/>
  <c r="G71" i="25"/>
  <c r="K68" i="25"/>
  <c r="K71" i="25" s="1"/>
  <c r="Q68" i="25"/>
  <c r="Q71" i="25" s="1"/>
  <c r="J68" i="25"/>
  <c r="J71" i="25" s="1"/>
  <c r="O68" i="25"/>
  <c r="O71" i="25" s="1"/>
  <c r="H68" i="25"/>
  <c r="H71" i="25" s="1"/>
  <c r="N68" i="25"/>
  <c r="N71" i="25" s="1"/>
  <c r="L68" i="25"/>
  <c r="L71" i="25" s="1"/>
  <c r="I68" i="25"/>
  <c r="I71" i="25" s="1"/>
  <c r="T112" i="25"/>
  <c r="AG112" i="25"/>
  <c r="BA88" i="25"/>
  <c r="BA112" i="25" s="1"/>
  <c r="AA88" i="25"/>
  <c r="AA112" i="25" s="1"/>
  <c r="AK112" i="25"/>
  <c r="AM88" i="25"/>
  <c r="AM112" i="25" s="1"/>
  <c r="AQ88" i="25"/>
  <c r="AQ112" i="25" s="1"/>
  <c r="AC112" i="25"/>
  <c r="AW88" i="25"/>
  <c r="AW112" i="25" s="1"/>
  <c r="AI88" i="25"/>
  <c r="AI112" i="25" s="1"/>
  <c r="AY88" i="25"/>
  <c r="AY112" i="25" s="1"/>
  <c r="H108" i="25"/>
  <c r="Q108" i="25"/>
  <c r="L108" i="25"/>
  <c r="BN108" i="25"/>
  <c r="G111" i="25"/>
  <c r="J108" i="25"/>
  <c r="O108" i="25"/>
  <c r="N108" i="25"/>
  <c r="K108" i="25"/>
  <c r="K111" i="25" s="1"/>
  <c r="P108" i="25"/>
  <c r="I108" i="25"/>
  <c r="M108" i="25"/>
  <c r="BI88" i="25"/>
  <c r="BI112" i="25" s="1"/>
  <c r="AU88" i="25"/>
  <c r="AU112" i="25" s="1"/>
  <c r="BC88" i="25"/>
  <c r="BC112" i="25" s="1"/>
  <c r="X42" i="26"/>
  <c r="BO20" i="26"/>
  <c r="O20" i="26"/>
  <c r="O23" i="26" s="1"/>
  <c r="M20" i="26"/>
  <c r="M23" i="26" s="1"/>
  <c r="J20" i="26"/>
  <c r="J23" i="26" s="1"/>
  <c r="Q20" i="26"/>
  <c r="Q23" i="26" s="1"/>
  <c r="N20" i="26"/>
  <c r="N23" i="26" s="1"/>
  <c r="L20" i="26"/>
  <c r="L23" i="26" s="1"/>
  <c r="I20" i="26"/>
  <c r="I23" i="26" s="1"/>
  <c r="P20" i="26"/>
  <c r="P23" i="26" s="1"/>
  <c r="AA42" i="26"/>
  <c r="P28" i="39" s="1"/>
  <c r="BC42" i="26"/>
  <c r="AD28" i="39" s="1"/>
  <c r="O25" i="26"/>
  <c r="O27" i="26" s="1"/>
  <c r="K25" i="26"/>
  <c r="K27" i="26" s="1"/>
  <c r="BO25" i="26"/>
  <c r="H25" i="26"/>
  <c r="H27" i="26" s="1"/>
  <c r="G27" i="26"/>
  <c r="L25" i="26"/>
  <c r="L27" i="26" s="1"/>
  <c r="J25" i="26"/>
  <c r="J27" i="26" s="1"/>
  <c r="Q25" i="26"/>
  <c r="Q27" i="26" s="1"/>
  <c r="P25" i="26"/>
  <c r="P27" i="26" s="1"/>
  <c r="N25" i="26"/>
  <c r="N27" i="26" s="1"/>
  <c r="I25" i="26"/>
  <c r="I27" i="26" s="1"/>
  <c r="M25" i="26"/>
  <c r="M27" i="26" s="1"/>
  <c r="AQ42" i="26"/>
  <c r="X28" i="39" s="1"/>
  <c r="AM42" i="26"/>
  <c r="V28" i="39" s="1"/>
  <c r="BP41" i="26"/>
  <c r="BR40" i="26"/>
  <c r="AG42" i="26"/>
  <c r="S28" i="39" s="1"/>
  <c r="AO42" i="26"/>
  <c r="W28" i="39" s="1"/>
  <c r="BR35" i="26"/>
  <c r="BP39" i="26"/>
  <c r="AE42" i="26"/>
  <c r="R28" i="39" s="1"/>
  <c r="K18" i="26"/>
  <c r="BG42" i="26"/>
  <c r="AF28" i="39" s="1"/>
  <c r="AC42" i="26"/>
  <c r="Q28" i="39" s="1"/>
  <c r="G14" i="26"/>
  <c r="H12" i="26"/>
  <c r="H14" i="26" s="1"/>
  <c r="N12" i="26"/>
  <c r="N14" i="26" s="1"/>
  <c r="L12" i="26"/>
  <c r="L14" i="26" s="1"/>
  <c r="I12" i="26"/>
  <c r="I14" i="26" s="1"/>
  <c r="K12" i="26"/>
  <c r="K14" i="26" s="1"/>
  <c r="P12" i="26"/>
  <c r="P14" i="26" s="1"/>
  <c r="M12" i="26"/>
  <c r="M14" i="26" s="1"/>
  <c r="O12" i="26"/>
  <c r="O14" i="26" s="1"/>
  <c r="Q12" i="26"/>
  <c r="Q14" i="26" s="1"/>
  <c r="J12" i="26"/>
  <c r="J14" i="26" s="1"/>
  <c r="H18" i="26"/>
  <c r="Q53" i="24"/>
  <c r="AC98" i="24"/>
  <c r="L19" i="24"/>
  <c r="L44" i="24" s="1"/>
  <c r="N19" i="24"/>
  <c r="N44" i="24" s="1"/>
  <c r="J19" i="24"/>
  <c r="J44" i="24" s="1"/>
  <c r="O19" i="24"/>
  <c r="O44" i="24" s="1"/>
  <c r="H19" i="24"/>
  <c r="H44" i="24" s="1"/>
  <c r="Q19" i="24"/>
  <c r="Q44" i="24" s="1"/>
  <c r="K19" i="24"/>
  <c r="K44" i="24" s="1"/>
  <c r="I19" i="24"/>
  <c r="I44" i="24" s="1"/>
  <c r="BP19" i="24"/>
  <c r="BR19" i="24" s="1"/>
  <c r="BV19" i="24" s="1"/>
  <c r="M19" i="24"/>
  <c r="M44" i="24" s="1"/>
  <c r="P19" i="24"/>
  <c r="P44" i="24" s="1"/>
  <c r="AW98" i="24"/>
  <c r="BC98" i="24"/>
  <c r="V98" i="24"/>
  <c r="AK98" i="24"/>
  <c r="Q17" i="24"/>
  <c r="I53" i="24"/>
  <c r="AO98" i="24"/>
  <c r="AS98" i="24"/>
  <c r="BA98" i="24"/>
  <c r="J17" i="24"/>
  <c r="W19" i="24"/>
  <c r="W44" i="24" s="1"/>
  <c r="S44" i="24"/>
  <c r="BE98" i="24"/>
  <c r="W98" i="24"/>
  <c r="AM98" i="24"/>
  <c r="T52" i="38"/>
  <c r="X51" i="38"/>
  <c r="X52" i="38" s="1"/>
  <c r="R39" i="38"/>
  <c r="R42" i="38" s="1"/>
  <c r="M39" i="38"/>
  <c r="M42" i="38" s="1"/>
  <c r="H42" i="38"/>
  <c r="Q39" i="38"/>
  <c r="Q42" i="38" s="1"/>
  <c r="U52" i="38"/>
  <c r="Y51" i="38"/>
  <c r="Y52" i="38" s="1"/>
  <c r="R44" i="38"/>
  <c r="R49" i="38" s="1"/>
  <c r="M44" i="38"/>
  <c r="M49" i="38" s="1"/>
  <c r="L44" i="38"/>
  <c r="P44" i="38"/>
  <c r="BO44" i="38"/>
  <c r="BS44" i="38" s="1"/>
  <c r="BW44" i="38" s="1"/>
  <c r="I44" i="38"/>
  <c r="Y25" i="38"/>
  <c r="X25" i="38"/>
  <c r="Q31" i="28"/>
  <c r="BJ74" i="28"/>
  <c r="AY52" i="37"/>
  <c r="AB22" i="39" s="1"/>
  <c r="Y49" i="37"/>
  <c r="Y51" i="37" s="1"/>
  <c r="U51" i="37"/>
  <c r="AO52" i="37"/>
  <c r="W22" i="39" s="1"/>
  <c r="AK52" i="37"/>
  <c r="U22" i="39" s="1"/>
  <c r="AW52" i="37"/>
  <c r="AA22" i="39" s="1"/>
  <c r="M12" i="32"/>
  <c r="I12" i="32"/>
  <c r="AH132" i="32"/>
  <c r="S15" i="39" s="1"/>
  <c r="H62" i="32"/>
  <c r="X48" i="32"/>
  <c r="X62" i="32" s="1"/>
  <c r="T62" i="32"/>
  <c r="Y48" i="32"/>
  <c r="Y62" i="32" s="1"/>
  <c r="U62" i="32"/>
  <c r="Z48" i="32"/>
  <c r="Z62" i="32" s="1"/>
  <c r="V62" i="32"/>
  <c r="W48" i="32"/>
  <c r="W62" i="32" s="1"/>
  <c r="S62" i="32"/>
  <c r="O50" i="28"/>
  <c r="Q50" i="28"/>
  <c r="I50" i="28"/>
  <c r="L50" i="28"/>
  <c r="F62" i="28"/>
  <c r="F74" i="28" s="1"/>
  <c r="BO15" i="34"/>
  <c r="L46" i="25"/>
  <c r="O46" i="25"/>
  <c r="Q46" i="25"/>
  <c r="J46" i="25"/>
  <c r="BU12" i="25"/>
  <c r="BT18" i="25"/>
  <c r="BT112" i="25" s="1"/>
  <c r="BU114" i="24"/>
  <c r="BT116" i="24"/>
  <c r="BT117" i="24" s="1"/>
  <c r="BR63" i="24"/>
  <c r="BP65" i="24"/>
  <c r="BK22" i="34"/>
  <c r="BL15" i="32"/>
  <c r="AR53" i="38"/>
  <c r="X21" i="39" s="1"/>
  <c r="BB53" i="38"/>
  <c r="AC21" i="39" s="1"/>
  <c r="L31" i="28"/>
  <c r="H52" i="28"/>
  <c r="H61" i="28" s="1"/>
  <c r="I52" i="28"/>
  <c r="I61" i="28" s="1"/>
  <c r="I70" i="7"/>
  <c r="I71" i="7" s="1"/>
  <c r="L70" i="7"/>
  <c r="L71" i="7" s="1"/>
  <c r="N70" i="7"/>
  <c r="N71" i="7" s="1"/>
  <c r="BR70" i="7"/>
  <c r="H70" i="7"/>
  <c r="H71" i="7" s="1"/>
  <c r="G71" i="7"/>
  <c r="M70" i="7"/>
  <c r="M71" i="7" s="1"/>
  <c r="O70" i="7"/>
  <c r="O71" i="7" s="1"/>
  <c r="K70" i="7"/>
  <c r="K71" i="7" s="1"/>
  <c r="Q70" i="7"/>
  <c r="Q71" i="7" s="1"/>
  <c r="J70" i="7"/>
  <c r="J71" i="7" s="1"/>
  <c r="P70" i="7"/>
  <c r="P71" i="7" s="1"/>
  <c r="P50" i="28"/>
  <c r="H50" i="28"/>
  <c r="BQ124" i="32"/>
  <c r="BS124" i="32" s="1"/>
  <c r="BW124" i="32" s="1"/>
  <c r="Q124" i="32"/>
  <c r="I124" i="32"/>
  <c r="J124" i="32"/>
  <c r="R102" i="32"/>
  <c r="BQ102" i="32"/>
  <c r="BS102" i="32" s="1"/>
  <c r="BW102" i="32" s="1"/>
  <c r="N52" i="32"/>
  <c r="BO52" i="32"/>
  <c r="BS52" i="32" s="1"/>
  <c r="BW52" i="32" s="1"/>
  <c r="S87" i="32"/>
  <c r="Q93" i="32"/>
  <c r="I93" i="32"/>
  <c r="J93" i="32"/>
  <c r="BQ93" i="32"/>
  <c r="BS93" i="32" s="1"/>
  <c r="BW93" i="32" s="1"/>
  <c r="BR48" i="24"/>
  <c r="BP53" i="24"/>
  <c r="X37" i="32"/>
  <c r="X38" i="32" s="1"/>
  <c r="T38" i="32"/>
  <c r="BK72" i="7"/>
  <c r="BK82" i="7"/>
  <c r="AN53" i="38"/>
  <c r="V21" i="39" s="1"/>
  <c r="M31" i="28"/>
  <c r="I31" i="28"/>
  <c r="AI52" i="37"/>
  <c r="T22" i="39" s="1"/>
  <c r="R43" i="28"/>
  <c r="R62" i="28" s="1"/>
  <c r="V36" i="28"/>
  <c r="V43" i="28" s="1"/>
  <c r="V62" i="28" s="1"/>
  <c r="J50" i="28"/>
  <c r="W112" i="32"/>
  <c r="W125" i="32" s="1"/>
  <c r="S125" i="32"/>
  <c r="Q86" i="32"/>
  <c r="Q87" i="32" s="1"/>
  <c r="BQ86" i="32"/>
  <c r="J86" i="32"/>
  <c r="J87" i="32" s="1"/>
  <c r="I86" i="32"/>
  <c r="I87" i="32" s="1"/>
  <c r="H87" i="32"/>
  <c r="R104" i="32"/>
  <c r="BQ104" i="32"/>
  <c r="BS104" i="32" s="1"/>
  <c r="BW104" i="32" s="1"/>
  <c r="BR58" i="24"/>
  <c r="W87" i="32"/>
  <c r="BS47" i="32"/>
  <c r="J96" i="32"/>
  <c r="I96" i="32"/>
  <c r="BQ96" i="32"/>
  <c r="BS96" i="32" s="1"/>
  <c r="BW96" i="32" s="1"/>
  <c r="Q96" i="32"/>
  <c r="BO29" i="32"/>
  <c r="BS29" i="32" s="1"/>
  <c r="BW29" i="32" s="1"/>
  <c r="N29" i="32"/>
  <c r="AV53" i="38"/>
  <c r="Z21" i="39" s="1"/>
  <c r="O31" i="28"/>
  <c r="J52" i="28"/>
  <c r="J61" i="28" s="1"/>
  <c r="N36" i="7"/>
  <c r="Q36" i="7"/>
  <c r="Q44" i="7" s="1"/>
  <c r="I36" i="7"/>
  <c r="I44" i="7" s="1"/>
  <c r="J36" i="7"/>
  <c r="J44" i="7" s="1"/>
  <c r="O36" i="7"/>
  <c r="O44" i="7" s="1"/>
  <c r="BS36" i="7"/>
  <c r="BV36" i="7" s="1"/>
  <c r="BZ36" i="7" s="1"/>
  <c r="M36" i="7"/>
  <c r="M44" i="7" s="1"/>
  <c r="H36" i="7"/>
  <c r="P36" i="7"/>
  <c r="P44" i="7" s="1"/>
  <c r="S71" i="7"/>
  <c r="W70" i="7"/>
  <c r="W71" i="7" s="1"/>
  <c r="BS56" i="7"/>
  <c r="BS57" i="7" s="1"/>
  <c r="BV54" i="7"/>
  <c r="BQ50" i="28"/>
  <c r="BQ62" i="28" s="1"/>
  <c r="BR45" i="28"/>
  <c r="J99" i="32"/>
  <c r="Q99" i="32"/>
  <c r="BQ99" i="32"/>
  <c r="BS99" i="32" s="1"/>
  <c r="BW99" i="32" s="1"/>
  <c r="I99" i="32"/>
  <c r="V31" i="28"/>
  <c r="BV66" i="28"/>
  <c r="I122" i="32"/>
  <c r="BQ122" i="32"/>
  <c r="BS122" i="32" s="1"/>
  <c r="BW122" i="32" s="1"/>
  <c r="J122" i="32"/>
  <c r="Q122" i="32"/>
  <c r="BQ123" i="32"/>
  <c r="BS123" i="32" s="1"/>
  <c r="BW123" i="32" s="1"/>
  <c r="I123" i="32"/>
  <c r="J123" i="32"/>
  <c r="Q123" i="32"/>
  <c r="R119" i="32"/>
  <c r="BQ119" i="32"/>
  <c r="BS119" i="32" s="1"/>
  <c r="BW119" i="32" s="1"/>
  <c r="R117" i="32"/>
  <c r="BQ117" i="32"/>
  <c r="BS117" i="32" s="1"/>
  <c r="BW117" i="32" s="1"/>
  <c r="R118" i="32"/>
  <c r="BQ118" i="32"/>
  <c r="BS118" i="32" s="1"/>
  <c r="BW118" i="32" s="1"/>
  <c r="BO37" i="32"/>
  <c r="N37" i="32"/>
  <c r="N38" i="32" s="1"/>
  <c r="H38" i="32"/>
  <c r="BQ114" i="32"/>
  <c r="BS114" i="32" s="1"/>
  <c r="BW114" i="32" s="1"/>
  <c r="I114" i="32"/>
  <c r="J114" i="32"/>
  <c r="Q114" i="32"/>
  <c r="N44" i="7"/>
  <c r="BJ53" i="38"/>
  <c r="AG21" i="39" s="1"/>
  <c r="H31" i="28"/>
  <c r="BS15" i="7"/>
  <c r="N15" i="7"/>
  <c r="N29" i="7" s="1"/>
  <c r="Q15" i="7"/>
  <c r="Q29" i="7" s="1"/>
  <c r="I15" i="7"/>
  <c r="I29" i="7" s="1"/>
  <c r="M15" i="7"/>
  <c r="M29" i="7" s="1"/>
  <c r="G29" i="7"/>
  <c r="P15" i="7"/>
  <c r="P29" i="7" s="1"/>
  <c r="K15" i="7"/>
  <c r="K29" i="7" s="1"/>
  <c r="J15" i="7"/>
  <c r="J29" i="7" s="1"/>
  <c r="O15" i="7"/>
  <c r="O29" i="7" s="1"/>
  <c r="R44" i="7"/>
  <c r="W36" i="7"/>
  <c r="W44" i="7" s="1"/>
  <c r="T71" i="7"/>
  <c r="X70" i="7"/>
  <c r="X71" i="7" s="1"/>
  <c r="M50" i="28"/>
  <c r="R103" i="32"/>
  <c r="BQ103" i="32"/>
  <c r="BS103" i="32" s="1"/>
  <c r="BW103" i="32" s="1"/>
  <c r="T125" i="32"/>
  <c r="X123" i="32"/>
  <c r="X125" i="32" s="1"/>
  <c r="BS40" i="32"/>
  <c r="BO45" i="32"/>
  <c r="R101" i="32"/>
  <c r="BQ101" i="32"/>
  <c r="BS101" i="32" s="1"/>
  <c r="BW101" i="32" s="1"/>
  <c r="BO48" i="32"/>
  <c r="BS48" i="32" s="1"/>
  <c r="BW48" i="32" s="1"/>
  <c r="I91" i="32"/>
  <c r="J91" i="32"/>
  <c r="Q91" i="32"/>
  <c r="BQ91" i="32"/>
  <c r="BQ113" i="32"/>
  <c r="BS113" i="32" s="1"/>
  <c r="BW113" i="32" s="1"/>
  <c r="I113" i="32"/>
  <c r="J113" i="32"/>
  <c r="Q113" i="32"/>
  <c r="G61" i="28"/>
  <c r="BO52" i="28"/>
  <c r="Q52" i="28"/>
  <c r="Q61" i="28" s="1"/>
  <c r="BK43" i="28"/>
  <c r="BK62" i="28" s="1"/>
  <c r="BK74" i="28" s="1"/>
  <c r="X25" i="28"/>
  <c r="X31" i="28" s="1"/>
  <c r="U72" i="28"/>
  <c r="U73" i="28" s="1"/>
  <c r="Y71" i="28"/>
  <c r="Y72" i="28" s="1"/>
  <c r="Y73" i="28" s="1"/>
  <c r="Y43" i="28"/>
  <c r="Y62" i="28" s="1"/>
  <c r="U43" i="28"/>
  <c r="U62" i="28" s="1"/>
  <c r="J71" i="28"/>
  <c r="J72" i="28" s="1"/>
  <c r="J73" i="28" s="1"/>
  <c r="I71" i="28"/>
  <c r="I72" i="28" s="1"/>
  <c r="I73" i="28" s="1"/>
  <c r="M71" i="28"/>
  <c r="M72" i="28" s="1"/>
  <c r="BQ71" i="28"/>
  <c r="K71" i="28"/>
  <c r="K72" i="28" s="1"/>
  <c r="K73" i="28" s="1"/>
  <c r="N71" i="28"/>
  <c r="N72" i="28" s="1"/>
  <c r="N73" i="28" s="1"/>
  <c r="G72" i="28"/>
  <c r="G73" i="28" s="1"/>
  <c r="H71" i="28"/>
  <c r="H72" i="28" s="1"/>
  <c r="H73" i="28" s="1"/>
  <c r="O71" i="28"/>
  <c r="O72" i="28" s="1"/>
  <c r="P71" i="28"/>
  <c r="P72" i="28" s="1"/>
  <c r="Q71" i="28"/>
  <c r="Q72" i="28" s="1"/>
  <c r="Q73" i="28" s="1"/>
  <c r="L71" i="28"/>
  <c r="L72" i="28" s="1"/>
  <c r="L73" i="28" s="1"/>
  <c r="BR14" i="28"/>
  <c r="BV14" i="28" s="1"/>
  <c r="BV13" i="28"/>
  <c r="X43" i="28"/>
  <c r="X62" i="28" s="1"/>
  <c r="T43" i="28"/>
  <c r="T62" i="28" s="1"/>
  <c r="W62" i="28"/>
  <c r="G16" i="28"/>
  <c r="G17" i="28" s="1"/>
  <c r="BP15" i="28"/>
  <c r="P15" i="28"/>
  <c r="P16" i="28" s="1"/>
  <c r="P17" i="28" s="1"/>
  <c r="M15" i="28"/>
  <c r="M16" i="28" s="1"/>
  <c r="M17" i="28" s="1"/>
  <c r="L15" i="28"/>
  <c r="L16" i="28" s="1"/>
  <c r="L17" i="28" s="1"/>
  <c r="Q15" i="28"/>
  <c r="Q16" i="28" s="1"/>
  <c r="Q17" i="28" s="1"/>
  <c r="J15" i="28"/>
  <c r="J16" i="28" s="1"/>
  <c r="J17" i="28" s="1"/>
  <c r="I15" i="28"/>
  <c r="I16" i="28" s="1"/>
  <c r="I17" i="28" s="1"/>
  <c r="N15" i="28"/>
  <c r="N16" i="28" s="1"/>
  <c r="N17" i="28" s="1"/>
  <c r="O15" i="28"/>
  <c r="O16" i="28" s="1"/>
  <c r="O17" i="28" s="1"/>
  <c r="K15" i="28"/>
  <c r="K16" i="28" s="1"/>
  <c r="K17" i="28" s="1"/>
  <c r="H15" i="28"/>
  <c r="H16" i="28" s="1"/>
  <c r="H17" i="28" s="1"/>
  <c r="S72" i="28"/>
  <c r="S73" i="28" s="1"/>
  <c r="S74" i="28" s="1"/>
  <c r="W71" i="28"/>
  <c r="W72" i="28" s="1"/>
  <c r="W73" i="28" s="1"/>
  <c r="T72" i="28"/>
  <c r="T73" i="28" s="1"/>
  <c r="X71" i="28"/>
  <c r="X72" i="28" s="1"/>
  <c r="X73" i="28" s="1"/>
  <c r="BO36" i="28"/>
  <c r="P36" i="28"/>
  <c r="P43" i="28" s="1"/>
  <c r="M36" i="28"/>
  <c r="M43" i="28" s="1"/>
  <c r="J36" i="28"/>
  <c r="J43" i="28" s="1"/>
  <c r="Q36" i="28"/>
  <c r="Q43" i="28" s="1"/>
  <c r="O36" i="28"/>
  <c r="O43" i="28" s="1"/>
  <c r="I36" i="28"/>
  <c r="I43" i="28" s="1"/>
  <c r="N36" i="28"/>
  <c r="N43" i="28" s="1"/>
  <c r="G43" i="28"/>
  <c r="G62" i="28" s="1"/>
  <c r="L36" i="28"/>
  <c r="L43" i="28" s="1"/>
  <c r="K36" i="28"/>
  <c r="K43" i="28" s="1"/>
  <c r="H36" i="28"/>
  <c r="H43" i="28" s="1"/>
  <c r="M46" i="25"/>
  <c r="M21" i="32"/>
  <c r="W17" i="39"/>
  <c r="AH53" i="38"/>
  <c r="S21" i="39" s="1"/>
  <c r="AB53" i="38"/>
  <c r="P21" i="39" s="1"/>
  <c r="AE74" i="28"/>
  <c r="R11" i="39" s="1"/>
  <c r="R12" i="39" s="1"/>
  <c r="BR28" i="28"/>
  <c r="BO30" i="28"/>
  <c r="BK25" i="33"/>
  <c r="I46" i="25"/>
  <c r="BV22" i="28"/>
  <c r="BR25" i="28"/>
  <c r="BR40" i="34"/>
  <c r="BV40" i="34" s="1"/>
  <c r="BV35" i="34"/>
  <c r="BV24" i="34"/>
  <c r="BR27" i="34"/>
  <c r="BK21" i="33"/>
  <c r="I20" i="33"/>
  <c r="I21" i="33" s="1"/>
  <c r="I34" i="33" s="1"/>
  <c r="P20" i="33"/>
  <c r="K20" i="33"/>
  <c r="M20" i="33"/>
  <c r="L20" i="33"/>
  <c r="O20" i="33"/>
  <c r="BO20" i="33"/>
  <c r="BR20" i="33" s="1"/>
  <c r="BV20" i="33" s="1"/>
  <c r="Q20" i="33"/>
  <c r="N20" i="33"/>
  <c r="H46" i="25"/>
  <c r="AJ53" i="38"/>
  <c r="T21" i="39" s="1"/>
  <c r="AT53" i="38"/>
  <c r="Y21" i="39" s="1"/>
  <c r="BF53" i="38"/>
  <c r="AE21" i="39" s="1"/>
  <c r="AE23" i="39" s="1"/>
  <c r="J31" i="28"/>
  <c r="P31" i="28"/>
  <c r="BD53" i="38"/>
  <c r="AD21" i="39" s="1"/>
  <c r="BH53" i="38"/>
  <c r="AF21" i="39" s="1"/>
  <c r="AP53" i="38"/>
  <c r="W21" i="39" s="1"/>
  <c r="BV37" i="28"/>
  <c r="N31" i="28"/>
  <c r="L47" i="38"/>
  <c r="K47" i="38"/>
  <c r="J47" i="38"/>
  <c r="Q47" i="38"/>
  <c r="P47" i="38"/>
  <c r="BO47" i="38"/>
  <c r="BS47" i="38" s="1"/>
  <c r="BW47" i="38" s="1"/>
  <c r="O47" i="38"/>
  <c r="I47" i="38"/>
  <c r="N47" i="38"/>
  <c r="T25" i="38"/>
  <c r="U25" i="38"/>
  <c r="V25" i="38"/>
  <c r="AD53" i="38"/>
  <c r="Q21" i="39" s="1"/>
  <c r="Q19" i="38"/>
  <c r="BO19" i="38"/>
  <c r="BS19" i="38" s="1"/>
  <c r="BW19" i="38" s="1"/>
  <c r="P19" i="38"/>
  <c r="O19" i="38"/>
  <c r="K19" i="38"/>
  <c r="L19" i="38"/>
  <c r="M19" i="38"/>
  <c r="N19" i="38"/>
  <c r="BL37" i="38"/>
  <c r="BL25" i="38"/>
  <c r="K46" i="38"/>
  <c r="BO46" i="38"/>
  <c r="BS46" i="38" s="1"/>
  <c r="BW46" i="38" s="1"/>
  <c r="O46" i="38"/>
  <c r="Q46" i="38"/>
  <c r="N46" i="38"/>
  <c r="L46" i="38"/>
  <c r="P46" i="38"/>
  <c r="AZ53" i="38"/>
  <c r="AB21" i="39" s="1"/>
  <c r="BL49" i="38"/>
  <c r="AF53" i="38"/>
  <c r="R21" i="39" s="1"/>
  <c r="AX53" i="38"/>
  <c r="AA21" i="39" s="1"/>
  <c r="BL13" i="38"/>
  <c r="BQ112" i="32"/>
  <c r="I112" i="32"/>
  <c r="Q112" i="32"/>
  <c r="J112" i="32"/>
  <c r="Y125" i="32"/>
  <c r="O21" i="32"/>
  <c r="AZ132" i="32"/>
  <c r="AB15" i="39" s="1"/>
  <c r="I12" i="38"/>
  <c r="I13" i="38" s="1"/>
  <c r="Q12" i="38"/>
  <c r="Q13" i="38" s="1"/>
  <c r="J12" i="38"/>
  <c r="J13" i="38" s="1"/>
  <c r="R12" i="38"/>
  <c r="R13" i="38" s="1"/>
  <c r="N12" i="38"/>
  <c r="N13" i="38" s="1"/>
  <c r="L12" i="38"/>
  <c r="L13" i="38" s="1"/>
  <c r="P12" i="38"/>
  <c r="P13" i="38" s="1"/>
  <c r="M12" i="38"/>
  <c r="M13" i="38" s="1"/>
  <c r="K12" i="38"/>
  <c r="K13" i="38" s="1"/>
  <c r="H13" i="38"/>
  <c r="O12" i="38"/>
  <c r="O13" i="38" s="1"/>
  <c r="BO36" i="38"/>
  <c r="H37" i="38"/>
  <c r="G53" i="38"/>
  <c r="R16" i="38"/>
  <c r="P16" i="38"/>
  <c r="M16" i="38"/>
  <c r="I16" i="38"/>
  <c r="K16" i="38"/>
  <c r="J16" i="38"/>
  <c r="BO16" i="38"/>
  <c r="Q16" i="38"/>
  <c r="N16" i="38"/>
  <c r="O16" i="38"/>
  <c r="L16" i="38"/>
  <c r="AC17" i="39"/>
  <c r="AB17" i="39"/>
  <c r="N43" i="34"/>
  <c r="K43" i="34"/>
  <c r="J43" i="34"/>
  <c r="O43" i="34"/>
  <c r="Q43" i="34"/>
  <c r="Y44" i="34"/>
  <c r="P43" i="34"/>
  <c r="M43" i="34"/>
  <c r="H43" i="34"/>
  <c r="BN43" i="34"/>
  <c r="I43" i="34"/>
  <c r="L43" i="34"/>
  <c r="BK40" i="34"/>
  <c r="AA17" i="39"/>
  <c r="T17" i="39"/>
  <c r="S17" i="39"/>
  <c r="X17" i="39"/>
  <c r="U17" i="39"/>
  <c r="AG17" i="39"/>
  <c r="Q17" i="39"/>
  <c r="V17" i="39"/>
  <c r="R17" i="39"/>
  <c r="Z17" i="39"/>
  <c r="AD17" i="39"/>
  <c r="BP32" i="34"/>
  <c r="BR32" i="34" s="1"/>
  <c r="BV32" i="34" s="1"/>
  <c r="X33" i="34"/>
  <c r="J32" i="34"/>
  <c r="P32" i="34"/>
  <c r="Q32" i="34"/>
  <c r="M32" i="34"/>
  <c r="O32" i="34"/>
  <c r="N32" i="34"/>
  <c r="BK33" i="34"/>
  <c r="BR17" i="34"/>
  <c r="BP22" i="34"/>
  <c r="Y33" i="34"/>
  <c r="BK44" i="34"/>
  <c r="P17" i="39"/>
  <c r="BK46" i="34"/>
  <c r="BV12" i="34"/>
  <c r="BR15" i="34"/>
  <c r="BV15" i="34" s="1"/>
  <c r="BV24" i="33"/>
  <c r="BR25" i="33"/>
  <c r="BV25" i="33" s="1"/>
  <c r="BV14" i="33"/>
  <c r="BJ132" i="32"/>
  <c r="AG15" i="39" s="1"/>
  <c r="AV132" i="32"/>
  <c r="Z15" i="39" s="1"/>
  <c r="AD132" i="32"/>
  <c r="Q15" i="39" s="1"/>
  <c r="AJ132" i="32"/>
  <c r="BF132" i="32"/>
  <c r="BD132" i="32"/>
  <c r="AD15" i="39" s="1"/>
  <c r="AL132" i="32"/>
  <c r="U15" i="39" s="1"/>
  <c r="U125" i="32"/>
  <c r="K20" i="32"/>
  <c r="Q20" i="32" s="1"/>
  <c r="L20" i="32"/>
  <c r="O20" i="32"/>
  <c r="M20" i="32"/>
  <c r="R20" i="32"/>
  <c r="J20" i="32"/>
  <c r="P20" i="32" s="1"/>
  <c r="I20" i="32"/>
  <c r="N20" i="32" s="1"/>
  <c r="BP20" i="32"/>
  <c r="BS20" i="32" s="1"/>
  <c r="BW20" i="32" s="1"/>
  <c r="S15" i="32"/>
  <c r="W15" i="32"/>
  <c r="P13" i="32"/>
  <c r="K13" i="32"/>
  <c r="Q13" i="32" s="1"/>
  <c r="L13" i="32"/>
  <c r="BP13" i="32"/>
  <c r="BS13" i="32" s="1"/>
  <c r="BW13" i="32" s="1"/>
  <c r="O13" i="32"/>
  <c r="R13" i="32"/>
  <c r="N13" i="32"/>
  <c r="Y15" i="32"/>
  <c r="U15" i="32"/>
  <c r="P14" i="32"/>
  <c r="N14" i="32"/>
  <c r="K14" i="32"/>
  <c r="Q14" i="32" s="1"/>
  <c r="L14" i="32"/>
  <c r="O14" i="32"/>
  <c r="R14" i="32"/>
  <c r="BP14" i="32"/>
  <c r="BS14" i="32" s="1"/>
  <c r="BW14" i="32" s="1"/>
  <c r="T15" i="32"/>
  <c r="X15" i="32"/>
  <c r="BW35" i="32"/>
  <c r="BV12" i="7"/>
  <c r="BZ12" i="7" s="1"/>
  <c r="BZ10" i="7"/>
  <c r="X87" i="25"/>
  <c r="V87" i="25"/>
  <c r="Y87" i="25"/>
  <c r="W87" i="25"/>
  <c r="BW41" i="32"/>
  <c r="BV66" i="7"/>
  <c r="BW51" i="32"/>
  <c r="BW82" i="32"/>
  <c r="BR46" i="25"/>
  <c r="BV46" i="25" s="1"/>
  <c r="BV21" i="25"/>
  <c r="BU106" i="25"/>
  <c r="BV106" i="25" s="1"/>
  <c r="BV93" i="25"/>
  <c r="BO23" i="38"/>
  <c r="J23" i="38"/>
  <c r="O23" i="38"/>
  <c r="L23" i="38"/>
  <c r="P23" i="38"/>
  <c r="Q23" i="38"/>
  <c r="R23" i="38"/>
  <c r="N23" i="38"/>
  <c r="K23" i="38"/>
  <c r="I23" i="38"/>
  <c r="H25" i="38"/>
  <c r="BV17" i="26"/>
  <c r="BR18" i="26"/>
  <c r="BV18" i="26" s="1"/>
  <c r="BR52" i="25"/>
  <c r="BV50" i="25"/>
  <c r="BK46" i="25"/>
  <c r="W46" i="25"/>
  <c r="BW68" i="32"/>
  <c r="BW77" i="32" s="1"/>
  <c r="BS77" i="32"/>
  <c r="BR39" i="24"/>
  <c r="BP46" i="25"/>
  <c r="BP112" i="25" s="1"/>
  <c r="H44" i="7"/>
  <c r="BU81" i="25"/>
  <c r="BS87" i="25"/>
  <c r="BW30" i="38"/>
  <c r="BV29" i="26"/>
  <c r="BR33" i="26"/>
  <c r="BW27" i="32"/>
  <c r="BU78" i="25"/>
  <c r="BV78" i="25" s="1"/>
  <c r="BV75" i="25"/>
  <c r="BU85" i="24"/>
  <c r="BS87" i="24"/>
  <c r="BS98" i="24" s="1"/>
  <c r="BS117" i="24" s="1"/>
  <c r="BV38" i="7"/>
  <c r="BK81" i="25"/>
  <c r="BK87" i="25" s="1"/>
  <c r="BZ14" i="7"/>
  <c r="BU17" i="24"/>
  <c r="BV13" i="24"/>
  <c r="AB23" i="39" l="1"/>
  <c r="BK42" i="26"/>
  <c r="P73" i="28"/>
  <c r="L88" i="25"/>
  <c r="K88" i="25"/>
  <c r="O73" i="28"/>
  <c r="M73" i="28"/>
  <c r="I109" i="32"/>
  <c r="BK56" i="34"/>
  <c r="G88" i="25"/>
  <c r="AA116" i="25"/>
  <c r="BR65" i="28"/>
  <c r="BO69" i="28"/>
  <c r="BO73" i="28" s="1"/>
  <c r="AD23" i="39"/>
  <c r="BV27" i="34"/>
  <c r="H88" i="25"/>
  <c r="M88" i="25"/>
  <c r="BK88" i="25"/>
  <c r="BW39" i="38"/>
  <c r="BW42" i="38" s="1"/>
  <c r="G42" i="26"/>
  <c r="D28" i="20" s="1"/>
  <c r="BS44" i="7"/>
  <c r="I88" i="25"/>
  <c r="AE15" i="39"/>
  <c r="AH12" i="39"/>
  <c r="AH11" i="39"/>
  <c r="AH17" i="39"/>
  <c r="AH21" i="39"/>
  <c r="AH28" i="39"/>
  <c r="J109" i="32"/>
  <c r="AG23" i="39"/>
  <c r="AF23" i="39"/>
  <c r="T23" i="39"/>
  <c r="AC23" i="39"/>
  <c r="AA23" i="39"/>
  <c r="X23" i="39"/>
  <c r="BS88" i="25"/>
  <c r="BS112" i="25" s="1"/>
  <c r="Q111" i="25"/>
  <c r="R74" i="28"/>
  <c r="BP44" i="24"/>
  <c r="W23" i="39"/>
  <c r="R109" i="32"/>
  <c r="Q88" i="25"/>
  <c r="G112" i="25"/>
  <c r="P88" i="25"/>
  <c r="BO31" i="28"/>
  <c r="G74" i="28"/>
  <c r="D11" i="20" s="1"/>
  <c r="Y23" i="39"/>
  <c r="Z23" i="39"/>
  <c r="U23" i="39"/>
  <c r="Q109" i="32"/>
  <c r="BI113" i="25"/>
  <c r="AG27" i="39"/>
  <c r="BG113" i="25"/>
  <c r="AF27" i="39"/>
  <c r="BE113" i="25"/>
  <c r="AE27" i="39"/>
  <c r="BC113" i="25"/>
  <c r="AD27" i="39"/>
  <c r="BA113" i="25"/>
  <c r="AC27" i="39"/>
  <c r="AY113" i="25"/>
  <c r="AB27" i="39"/>
  <c r="AW113" i="25"/>
  <c r="AA27" i="39"/>
  <c r="AU113" i="25"/>
  <c r="Z27" i="39"/>
  <c r="AS113" i="25"/>
  <c r="Y27" i="39"/>
  <c r="AQ113" i="25"/>
  <c r="X27" i="39"/>
  <c r="AO113" i="25"/>
  <c r="W27" i="39"/>
  <c r="AM113" i="25"/>
  <c r="V27" i="39"/>
  <c r="AK113" i="25"/>
  <c r="U27" i="39"/>
  <c r="AI113" i="25"/>
  <c r="T27" i="39"/>
  <c r="S27" i="39"/>
  <c r="AG113" i="25"/>
  <c r="AE113" i="25"/>
  <c r="R27" i="39"/>
  <c r="AC113" i="25"/>
  <c r="Q27" i="39"/>
  <c r="AA113" i="25"/>
  <c r="BK112" i="25"/>
  <c r="BK113" i="25" s="1"/>
  <c r="P27" i="39"/>
  <c r="V23" i="39"/>
  <c r="T15" i="39"/>
  <c r="N62" i="28"/>
  <c r="N74" i="28" s="1"/>
  <c r="K11" i="39" s="1"/>
  <c r="F16" i="20"/>
  <c r="F16" i="39"/>
  <c r="AA15" i="39"/>
  <c r="BS52" i="38"/>
  <c r="BP51" i="37"/>
  <c r="BR49" i="37"/>
  <c r="BS69" i="7"/>
  <c r="K42" i="26"/>
  <c r="I111" i="25"/>
  <c r="BZ63" i="7"/>
  <c r="BV69" i="7"/>
  <c r="I42" i="26"/>
  <c r="P111" i="25"/>
  <c r="O88" i="25"/>
  <c r="K112" i="25"/>
  <c r="H27" i="39" s="1"/>
  <c r="K62" i="28"/>
  <c r="K74" i="28" s="1"/>
  <c r="N88" i="25"/>
  <c r="J125" i="32"/>
  <c r="BN47" i="37"/>
  <c r="BR43" i="37"/>
  <c r="M111" i="25"/>
  <c r="M112" i="25" s="1"/>
  <c r="O111" i="25"/>
  <c r="H111" i="25"/>
  <c r="L111" i="25"/>
  <c r="H42" i="26"/>
  <c r="E28" i="39" s="1"/>
  <c r="N42" i="26"/>
  <c r="K28" i="39" s="1"/>
  <c r="I125" i="32"/>
  <c r="N62" i="32"/>
  <c r="P42" i="26"/>
  <c r="M28" i="39" s="1"/>
  <c r="O42" i="26"/>
  <c r="L28" i="39" s="1"/>
  <c r="O62" i="28"/>
  <c r="O74" i="28" s="1"/>
  <c r="L11" i="39" s="1"/>
  <c r="X62" i="7"/>
  <c r="X69" i="7" s="1"/>
  <c r="X72" i="7" s="1"/>
  <c r="T69" i="7"/>
  <c r="T72" i="7" s="1"/>
  <c r="R69" i="7"/>
  <c r="R72" i="7" s="1"/>
  <c r="V62" i="7"/>
  <c r="BX62" i="7"/>
  <c r="G69" i="7"/>
  <c r="M62" i="7"/>
  <c r="M69" i="7" s="1"/>
  <c r="M72" i="7" s="1"/>
  <c r="J10" i="39" s="1"/>
  <c r="L62" i="7"/>
  <c r="L69" i="7" s="1"/>
  <c r="L72" i="7" s="1"/>
  <c r="I62" i="7"/>
  <c r="I69" i="7" s="1"/>
  <c r="I72" i="7" s="1"/>
  <c r="K62" i="7"/>
  <c r="K69" i="7" s="1"/>
  <c r="K72" i="7" s="1"/>
  <c r="J62" i="7"/>
  <c r="J69" i="7" s="1"/>
  <c r="J72" i="7" s="1"/>
  <c r="N62" i="7"/>
  <c r="N69" i="7" s="1"/>
  <c r="N72" i="7" s="1"/>
  <c r="K10" i="39" s="1"/>
  <c r="O62" i="7"/>
  <c r="O69" i="7" s="1"/>
  <c r="O72" i="7" s="1"/>
  <c r="L10" i="39" s="1"/>
  <c r="P62" i="7"/>
  <c r="P69" i="7" s="1"/>
  <c r="P72" i="7" s="1"/>
  <c r="Q62" i="7"/>
  <c r="Q69" i="7" s="1"/>
  <c r="Q72" i="7" s="1"/>
  <c r="N10" i="39" s="1"/>
  <c r="H62" i="7"/>
  <c r="H69" i="7" s="1"/>
  <c r="H72" i="7" s="1"/>
  <c r="E10" i="39" s="1"/>
  <c r="Y62" i="7"/>
  <c r="Y69" i="7" s="1"/>
  <c r="Y72" i="7" s="1"/>
  <c r="U69" i="7"/>
  <c r="U72" i="7" s="1"/>
  <c r="S69" i="7"/>
  <c r="S72" i="7" s="1"/>
  <c r="W62" i="7"/>
  <c r="W69" i="7" s="1"/>
  <c r="W72" i="7" s="1"/>
  <c r="R125" i="32"/>
  <c r="N111" i="25"/>
  <c r="N112" i="25" s="1"/>
  <c r="J111" i="25"/>
  <c r="J112" i="25" s="1"/>
  <c r="BN111" i="25"/>
  <c r="BN112" i="25" s="1"/>
  <c r="BR108" i="25"/>
  <c r="BO23" i="26"/>
  <c r="BR20" i="26"/>
  <c r="L42" i="26"/>
  <c r="BP42" i="26"/>
  <c r="M42" i="26"/>
  <c r="BV35" i="26"/>
  <c r="BR39" i="26"/>
  <c r="BV39" i="26" s="1"/>
  <c r="BR41" i="26"/>
  <c r="BV41" i="26" s="1"/>
  <c r="BV40" i="26"/>
  <c r="Q42" i="26"/>
  <c r="N28" i="39" s="1"/>
  <c r="BO27" i="26"/>
  <c r="BR25" i="26"/>
  <c r="BV25" i="26" s="1"/>
  <c r="J42" i="26"/>
  <c r="G28" i="39" s="1"/>
  <c r="Q125" i="32"/>
  <c r="V132" i="32"/>
  <c r="I62" i="28"/>
  <c r="I74" i="28" s="1"/>
  <c r="F11" i="39" s="1"/>
  <c r="M62" i="28"/>
  <c r="M74" i="28" s="1"/>
  <c r="Q62" i="28"/>
  <c r="Q74" i="28" s="1"/>
  <c r="T132" i="32"/>
  <c r="S132" i="32"/>
  <c r="W132" i="32"/>
  <c r="L62" i="28"/>
  <c r="L74" i="28" s="1"/>
  <c r="I11" i="39" s="1"/>
  <c r="H62" i="28"/>
  <c r="H74" i="28" s="1"/>
  <c r="E11" i="39" s="1"/>
  <c r="J62" i="28"/>
  <c r="J74" i="28" s="1"/>
  <c r="G11" i="39" s="1"/>
  <c r="P62" i="28"/>
  <c r="BV12" i="25"/>
  <c r="BU18" i="25"/>
  <c r="BV18" i="25" s="1"/>
  <c r="BV63" i="24"/>
  <c r="BR65" i="24"/>
  <c r="BV65" i="24" s="1"/>
  <c r="BV114" i="24"/>
  <c r="BU116" i="24"/>
  <c r="BV116" i="24" s="1"/>
  <c r="BS91" i="32"/>
  <c r="BQ109" i="32"/>
  <c r="BS86" i="32"/>
  <c r="BQ87" i="32"/>
  <c r="BV70" i="7"/>
  <c r="BR71" i="7"/>
  <c r="BR72" i="7" s="1"/>
  <c r="BS37" i="32"/>
  <c r="BO38" i="32"/>
  <c r="BV45" i="28"/>
  <c r="BV50" i="28" s="1"/>
  <c r="BR50" i="28"/>
  <c r="BO62" i="32"/>
  <c r="BW40" i="32"/>
  <c r="BW45" i="32" s="1"/>
  <c r="BS45" i="32"/>
  <c r="BS62" i="32"/>
  <c r="BW47" i="32"/>
  <c r="BW62" i="32" s="1"/>
  <c r="BV58" i="24"/>
  <c r="V74" i="28"/>
  <c r="BR53" i="24"/>
  <c r="BV53" i="24" s="1"/>
  <c r="BV48" i="24"/>
  <c r="BV15" i="7"/>
  <c r="BS29" i="7"/>
  <c r="BZ54" i="7"/>
  <c r="BV56" i="7"/>
  <c r="BR52" i="28"/>
  <c r="BO61" i="28"/>
  <c r="X74" i="28"/>
  <c r="Y74" i="28"/>
  <c r="U74" i="28"/>
  <c r="T74" i="28"/>
  <c r="W74" i="28"/>
  <c r="BR36" i="28"/>
  <c r="BO43" i="28"/>
  <c r="BR71" i="28"/>
  <c r="BQ72" i="28"/>
  <c r="BQ73" i="28" s="1"/>
  <c r="BQ74" i="28" s="1"/>
  <c r="BP16" i="28"/>
  <c r="BP17" i="28" s="1"/>
  <c r="BP74" i="28" s="1"/>
  <c r="BR15" i="28"/>
  <c r="BV28" i="28"/>
  <c r="BR30" i="28"/>
  <c r="BV30" i="28" s="1"/>
  <c r="Q19" i="33"/>
  <c r="Q21" i="33" s="1"/>
  <c r="Q34" i="33" s="1"/>
  <c r="N16" i="39" s="1"/>
  <c r="G21" i="33"/>
  <c r="M19" i="33"/>
  <c r="M21" i="33" s="1"/>
  <c r="M34" i="33" s="1"/>
  <c r="J16" i="39" s="1"/>
  <c r="P19" i="33"/>
  <c r="P21" i="33" s="1"/>
  <c r="P34" i="33" s="1"/>
  <c r="M16" i="39" s="1"/>
  <c r="N19" i="33"/>
  <c r="N21" i="33" s="1"/>
  <c r="N34" i="33" s="1"/>
  <c r="K16" i="39" s="1"/>
  <c r="BO19" i="33"/>
  <c r="K19" i="33"/>
  <c r="K21" i="33" s="1"/>
  <c r="K34" i="33" s="1"/>
  <c r="H16" i="39" s="1"/>
  <c r="O19" i="33"/>
  <c r="O21" i="33" s="1"/>
  <c r="O34" i="33" s="1"/>
  <c r="L16" i="39" s="1"/>
  <c r="BV25" i="28"/>
  <c r="J21" i="33"/>
  <c r="J34" i="33" s="1"/>
  <c r="G16" i="39" s="1"/>
  <c r="BO29" i="38"/>
  <c r="BO37" i="38" s="1"/>
  <c r="M29" i="38"/>
  <c r="M37" i="38" s="1"/>
  <c r="Q29" i="38"/>
  <c r="Q37" i="38" s="1"/>
  <c r="N29" i="38"/>
  <c r="N37" i="38" s="1"/>
  <c r="K29" i="38"/>
  <c r="K37" i="38" s="1"/>
  <c r="R29" i="38"/>
  <c r="R37" i="38" s="1"/>
  <c r="O29" i="38"/>
  <c r="O37" i="38" s="1"/>
  <c r="P29" i="38"/>
  <c r="P37" i="38" s="1"/>
  <c r="BQ29" i="38"/>
  <c r="BQ37" i="38" s="1"/>
  <c r="BQ53" i="38" s="1"/>
  <c r="I29" i="38"/>
  <c r="I37" i="38" s="1"/>
  <c r="J29" i="38"/>
  <c r="J37" i="38" s="1"/>
  <c r="L29" i="38"/>
  <c r="L37" i="38" s="1"/>
  <c r="K45" i="38"/>
  <c r="K49" i="38" s="1"/>
  <c r="H49" i="38"/>
  <c r="BO45" i="38"/>
  <c r="O45" i="38"/>
  <c r="O49" i="38" s="1"/>
  <c r="Q45" i="38"/>
  <c r="Q49" i="38" s="1"/>
  <c r="J45" i="38"/>
  <c r="J49" i="38" s="1"/>
  <c r="P45" i="38"/>
  <c r="P49" i="38" s="1"/>
  <c r="N45" i="38"/>
  <c r="N49" i="38" s="1"/>
  <c r="L45" i="38"/>
  <c r="L49" i="38" s="1"/>
  <c r="I45" i="38"/>
  <c r="I49" i="38" s="1"/>
  <c r="I22" i="38"/>
  <c r="I25" i="38" s="1"/>
  <c r="O22" i="38"/>
  <c r="O25" i="38" s="1"/>
  <c r="J22" i="38"/>
  <c r="M22" i="38" s="1"/>
  <c r="R22" i="38"/>
  <c r="R25" i="38" s="1"/>
  <c r="Q22" i="38"/>
  <c r="Q25" i="38" s="1"/>
  <c r="BO22" i="38"/>
  <c r="BS22" i="38" s="1"/>
  <c r="BW22" i="38" s="1"/>
  <c r="P22" i="38"/>
  <c r="P25" i="38" s="1"/>
  <c r="N22" i="38"/>
  <c r="N25" i="38" s="1"/>
  <c r="L22" i="38"/>
  <c r="L25" i="38" s="1"/>
  <c r="K22" i="38"/>
  <c r="K25" i="38" s="1"/>
  <c r="U53" i="38"/>
  <c r="BS112" i="32"/>
  <c r="BW112" i="32" s="1"/>
  <c r="BQ125" i="32"/>
  <c r="V53" i="38"/>
  <c r="T53" i="38"/>
  <c r="BS36" i="38"/>
  <c r="BS16" i="38"/>
  <c r="BR43" i="34"/>
  <c r="BV43" i="34" s="1"/>
  <c r="BN44" i="34"/>
  <c r="BN56" i="34" s="1"/>
  <c r="BV17" i="34"/>
  <c r="BR22" i="34"/>
  <c r="BV22" i="34" s="1"/>
  <c r="M45" i="34"/>
  <c r="M46" i="34" s="1"/>
  <c r="O45" i="34"/>
  <c r="O46" i="34" s="1"/>
  <c r="J45" i="34"/>
  <c r="J46" i="34" s="1"/>
  <c r="J56" i="34" s="1"/>
  <c r="H45" i="34"/>
  <c r="H46" i="34" s="1"/>
  <c r="Y46" i="34"/>
  <c r="Y56" i="34" s="1"/>
  <c r="G46" i="34"/>
  <c r="P45" i="34"/>
  <c r="P46" i="34" s="1"/>
  <c r="X46" i="34"/>
  <c r="N45" i="34"/>
  <c r="N46" i="34" s="1"/>
  <c r="K45" i="34"/>
  <c r="K46" i="34" s="1"/>
  <c r="K56" i="34" s="1"/>
  <c r="W46" i="34"/>
  <c r="BO45" i="34"/>
  <c r="L45" i="34"/>
  <c r="L46" i="34" s="1"/>
  <c r="L56" i="34" s="1"/>
  <c r="Q45" i="34"/>
  <c r="Q46" i="34" s="1"/>
  <c r="I45" i="34"/>
  <c r="I46" i="34" s="1"/>
  <c r="X44" i="34"/>
  <c r="I42" i="34"/>
  <c r="I44" i="34" s="1"/>
  <c r="BP42" i="34"/>
  <c r="L42" i="34"/>
  <c r="L44" i="34" s="1"/>
  <c r="O42" i="34"/>
  <c r="O44" i="34" s="1"/>
  <c r="P42" i="34"/>
  <c r="P44" i="34" s="1"/>
  <c r="N42" i="34"/>
  <c r="N44" i="34" s="1"/>
  <c r="Q42" i="34"/>
  <c r="Q44" i="34" s="1"/>
  <c r="J42" i="34"/>
  <c r="J44" i="34" s="1"/>
  <c r="G44" i="34"/>
  <c r="K42" i="34"/>
  <c r="K44" i="34" s="1"/>
  <c r="H42" i="34"/>
  <c r="H44" i="34" s="1"/>
  <c r="M42" i="34"/>
  <c r="M44" i="34" s="1"/>
  <c r="J29" i="34"/>
  <c r="J33" i="34" s="1"/>
  <c r="O29" i="34"/>
  <c r="O33" i="34" s="1"/>
  <c r="M29" i="34"/>
  <c r="M33" i="34" s="1"/>
  <c r="Q29" i="34"/>
  <c r="Q33" i="34" s="1"/>
  <c r="I33" i="34"/>
  <c r="N29" i="34"/>
  <c r="N33" i="34" s="1"/>
  <c r="L29" i="34"/>
  <c r="L33" i="34" s="1"/>
  <c r="BP29" i="34"/>
  <c r="P29" i="34"/>
  <c r="P33" i="34" s="1"/>
  <c r="W33" i="34"/>
  <c r="K29" i="34"/>
  <c r="K33" i="34" s="1"/>
  <c r="H33" i="34"/>
  <c r="G33" i="34"/>
  <c r="U132" i="32"/>
  <c r="R18" i="32"/>
  <c r="R22" i="32" s="1"/>
  <c r="BP18" i="32"/>
  <c r="J18" i="32"/>
  <c r="L18" i="32"/>
  <c r="L22" i="32" s="1"/>
  <c r="I18" i="32"/>
  <c r="O18" i="32"/>
  <c r="O22" i="32" s="1"/>
  <c r="K18" i="32"/>
  <c r="M18" i="32"/>
  <c r="M22" i="32" s="1"/>
  <c r="BP12" i="32"/>
  <c r="I15" i="32"/>
  <c r="N12" i="32"/>
  <c r="N15" i="32" s="1"/>
  <c r="M15" i="32"/>
  <c r="R12" i="32"/>
  <c r="R15" i="32" s="1"/>
  <c r="J12" i="32"/>
  <c r="O12" i="32"/>
  <c r="O15" i="32" s="1"/>
  <c r="L12" i="32"/>
  <c r="L15" i="32" s="1"/>
  <c r="K12" i="32"/>
  <c r="H15" i="32"/>
  <c r="BU87" i="24"/>
  <c r="BV85" i="24"/>
  <c r="BW52" i="38"/>
  <c r="BV81" i="25"/>
  <c r="BU87" i="25"/>
  <c r="BV39" i="24"/>
  <c r="BR44" i="24"/>
  <c r="BV44" i="24" s="1"/>
  <c r="M23" i="38"/>
  <c r="BV52" i="25"/>
  <c r="BR55" i="25"/>
  <c r="BV55" i="25" s="1"/>
  <c r="Y88" i="25"/>
  <c r="Y112" i="25" s="1"/>
  <c r="W88" i="25"/>
  <c r="W112" i="25" s="1"/>
  <c r="X88" i="25"/>
  <c r="X112" i="25" s="1"/>
  <c r="V88" i="25"/>
  <c r="V112" i="25" s="1"/>
  <c r="BZ38" i="7"/>
  <c r="BZ44" i="7" s="1"/>
  <c r="BV44" i="7"/>
  <c r="BZ66" i="7"/>
  <c r="BV33" i="26"/>
  <c r="BS23" i="38"/>
  <c r="BV17" i="24"/>
  <c r="H56" i="34" l="1"/>
  <c r="I56" i="34"/>
  <c r="W56" i="34"/>
  <c r="P74" i="28"/>
  <c r="M11" i="20" s="1"/>
  <c r="P112" i="25"/>
  <c r="M27" i="20" s="1"/>
  <c r="Q56" i="34"/>
  <c r="X56" i="34"/>
  <c r="O56" i="34"/>
  <c r="L112" i="25"/>
  <c r="N56" i="34"/>
  <c r="P56" i="34"/>
  <c r="M17" i="39" s="1"/>
  <c r="M56" i="34"/>
  <c r="BV65" i="28"/>
  <c r="BR69" i="28"/>
  <c r="BV69" i="28" s="1"/>
  <c r="G56" i="34"/>
  <c r="H112" i="25"/>
  <c r="E27" i="39" s="1"/>
  <c r="I112" i="25"/>
  <c r="F27" i="39" s="1"/>
  <c r="D28" i="39"/>
  <c r="Q112" i="25"/>
  <c r="N27" i="39" s="1"/>
  <c r="AG29" i="39"/>
  <c r="AH27" i="39"/>
  <c r="E28" i="20"/>
  <c r="J28" i="20"/>
  <c r="J28" i="39"/>
  <c r="H28" i="20"/>
  <c r="H28" i="39"/>
  <c r="F28" i="20"/>
  <c r="F28" i="39"/>
  <c r="D11" i="39"/>
  <c r="I28" i="20"/>
  <c r="I28" i="39"/>
  <c r="AA114" i="25"/>
  <c r="E12" i="39"/>
  <c r="L12" i="39"/>
  <c r="G10" i="20"/>
  <c r="G10" i="39"/>
  <c r="G12" i="39" s="1"/>
  <c r="H10" i="20"/>
  <c r="H10" i="39"/>
  <c r="F10" i="20"/>
  <c r="F10" i="39"/>
  <c r="F12" i="39" s="1"/>
  <c r="K12" i="39"/>
  <c r="M10" i="20"/>
  <c r="M10" i="39"/>
  <c r="I10" i="20"/>
  <c r="I10" i="39"/>
  <c r="I12" i="39" s="1"/>
  <c r="H11" i="20"/>
  <c r="H11" i="39"/>
  <c r="M11" i="39"/>
  <c r="N11" i="20"/>
  <c r="N11" i="39"/>
  <c r="J11" i="20"/>
  <c r="J11" i="39"/>
  <c r="J12" i="39" s="1"/>
  <c r="M27" i="39"/>
  <c r="I27" i="20"/>
  <c r="I27" i="39"/>
  <c r="G27" i="20"/>
  <c r="G27" i="39"/>
  <c r="J27" i="20"/>
  <c r="J27" i="39"/>
  <c r="K27" i="20"/>
  <c r="K27" i="39"/>
  <c r="D27" i="20"/>
  <c r="D27" i="39"/>
  <c r="H27" i="20"/>
  <c r="BS72" i="7"/>
  <c r="O112" i="25"/>
  <c r="BR31" i="28"/>
  <c r="BR51" i="37"/>
  <c r="BV51" i="37" s="1"/>
  <c r="BV49" i="37"/>
  <c r="R132" i="32"/>
  <c r="BR47" i="37"/>
  <c r="BV43" i="37"/>
  <c r="BV47" i="37" s="1"/>
  <c r="K28" i="20"/>
  <c r="L28" i="20"/>
  <c r="M28" i="20"/>
  <c r="BO25" i="38"/>
  <c r="E10" i="20"/>
  <c r="K10" i="20"/>
  <c r="G72" i="7"/>
  <c r="D10" i="39" s="1"/>
  <c r="V69" i="7"/>
  <c r="V72" i="7" s="1"/>
  <c r="BX69" i="7"/>
  <c r="BX72" i="7" s="1"/>
  <c r="BY62" i="7"/>
  <c r="G73" i="7"/>
  <c r="BR111" i="25"/>
  <c r="BV111" i="25" s="1"/>
  <c r="BV108" i="25"/>
  <c r="BR23" i="26"/>
  <c r="BV23" i="26" s="1"/>
  <c r="BV20" i="26"/>
  <c r="N28" i="20"/>
  <c r="BR27" i="26"/>
  <c r="BO42" i="26"/>
  <c r="G28" i="20"/>
  <c r="K11" i="20"/>
  <c r="G11" i="20"/>
  <c r="I11" i="20"/>
  <c r="E11" i="20"/>
  <c r="F11" i="20"/>
  <c r="J25" i="38"/>
  <c r="M25" i="38"/>
  <c r="BO62" i="28"/>
  <c r="BO74" i="28" s="1"/>
  <c r="J10" i="20"/>
  <c r="BW86" i="32"/>
  <c r="BW87" i="32" s="1"/>
  <c r="BS87" i="32"/>
  <c r="BW91" i="32"/>
  <c r="BW109" i="32" s="1"/>
  <c r="BS109" i="32"/>
  <c r="L10" i="20"/>
  <c r="BZ15" i="7"/>
  <c r="BV29" i="7"/>
  <c r="BZ29" i="7" s="1"/>
  <c r="BW37" i="32"/>
  <c r="BW38" i="32" s="1"/>
  <c r="BS38" i="32"/>
  <c r="BZ70" i="7"/>
  <c r="BV71" i="7"/>
  <c r="BZ56" i="7"/>
  <c r="BZ57" i="7" s="1"/>
  <c r="BV57" i="7"/>
  <c r="N10" i="20"/>
  <c r="L11" i="20"/>
  <c r="BR61" i="28"/>
  <c r="BV61" i="28" s="1"/>
  <c r="BV52" i="28"/>
  <c r="BV15" i="28"/>
  <c r="BR16" i="28"/>
  <c r="BV36" i="28"/>
  <c r="BR43" i="28"/>
  <c r="BV43" i="28" s="1"/>
  <c r="BV71" i="28"/>
  <c r="BR72" i="28"/>
  <c r="BV31" i="28"/>
  <c r="N16" i="20"/>
  <c r="H16" i="20"/>
  <c r="J16" i="20"/>
  <c r="G16" i="20"/>
  <c r="M16" i="20"/>
  <c r="K16" i="20"/>
  <c r="L16" i="20"/>
  <c r="BR19" i="33"/>
  <c r="BO21" i="33"/>
  <c r="BO34" i="33" s="1"/>
  <c r="L19" i="33"/>
  <c r="L21" i="33" s="1"/>
  <c r="L34" i="33" s="1"/>
  <c r="I16" i="39" s="1"/>
  <c r="H21" i="33"/>
  <c r="H34" i="33" s="1"/>
  <c r="E16" i="39" s="1"/>
  <c r="BS29" i="38"/>
  <c r="BW29" i="38" s="1"/>
  <c r="BS45" i="38"/>
  <c r="BO49" i="38"/>
  <c r="BS125" i="32"/>
  <c r="BW125" i="32" s="1"/>
  <c r="BW36" i="38"/>
  <c r="BW16" i="38"/>
  <c r="F17" i="39"/>
  <c r="G17" i="39"/>
  <c r="BR29" i="34"/>
  <c r="BP33" i="34"/>
  <c r="BR45" i="34"/>
  <c r="BO46" i="34"/>
  <c r="BO56" i="34" s="1"/>
  <c r="E17" i="39"/>
  <c r="I17" i="39"/>
  <c r="K17" i="39"/>
  <c r="J17" i="39"/>
  <c r="BR42" i="34"/>
  <c r="BP44" i="34"/>
  <c r="N17" i="39"/>
  <c r="H17" i="39"/>
  <c r="L17" i="39"/>
  <c r="L132" i="32"/>
  <c r="H15" i="39" s="1"/>
  <c r="M132" i="32"/>
  <c r="I15" i="39" s="1"/>
  <c r="O132" i="32"/>
  <c r="K15" i="39" s="1"/>
  <c r="N18" i="32"/>
  <c r="N22" i="32" s="1"/>
  <c r="BS18" i="32"/>
  <c r="Q12" i="32"/>
  <c r="Q15" i="32" s="1"/>
  <c r="K15" i="32"/>
  <c r="BS12" i="32"/>
  <c r="BP15" i="32"/>
  <c r="Q18" i="32"/>
  <c r="Q22" i="32" s="1"/>
  <c r="K22" i="32"/>
  <c r="P18" i="32"/>
  <c r="P22" i="32" s="1"/>
  <c r="P12" i="32"/>
  <c r="P15" i="32" s="1"/>
  <c r="J15" i="32"/>
  <c r="BV87" i="24"/>
  <c r="BU98" i="24"/>
  <c r="BW23" i="38"/>
  <c r="BS25" i="38"/>
  <c r="BU88" i="25"/>
  <c r="BV87" i="25"/>
  <c r="E27" i="20" l="1"/>
  <c r="BP56" i="34"/>
  <c r="F27" i="20"/>
  <c r="N27" i="20"/>
  <c r="F12" i="20"/>
  <c r="D12" i="39"/>
  <c r="O28" i="39"/>
  <c r="O10" i="39"/>
  <c r="BV62" i="28"/>
  <c r="H12" i="20"/>
  <c r="I12" i="20"/>
  <c r="K18" i="39"/>
  <c r="H18" i="39"/>
  <c r="J12" i="20"/>
  <c r="N12" i="20"/>
  <c r="M12" i="20"/>
  <c r="H12" i="39"/>
  <c r="G12" i="20"/>
  <c r="M12" i="39"/>
  <c r="O16" i="39"/>
  <c r="I18" i="39"/>
  <c r="N12" i="39"/>
  <c r="O11" i="39"/>
  <c r="D17" i="20"/>
  <c r="D17" i="39"/>
  <c r="O17" i="39"/>
  <c r="N15" i="20"/>
  <c r="N15" i="39"/>
  <c r="N18" i="39" s="1"/>
  <c r="L27" i="20"/>
  <c r="L27" i="39"/>
  <c r="E12" i="20"/>
  <c r="K12" i="20"/>
  <c r="G80" i="7"/>
  <c r="D10" i="20"/>
  <c r="D12" i="20" s="1"/>
  <c r="BY69" i="7"/>
  <c r="BZ62" i="7"/>
  <c r="BZ69" i="7" s="1"/>
  <c r="BR112" i="25"/>
  <c r="BV27" i="26"/>
  <c r="BR42" i="26"/>
  <c r="BV42" i="26" s="1"/>
  <c r="O28" i="20"/>
  <c r="O10" i="20"/>
  <c r="L12" i="20"/>
  <c r="BW37" i="38"/>
  <c r="BV72" i="7"/>
  <c r="BZ71" i="7"/>
  <c r="O11" i="20"/>
  <c r="BR62" i="28"/>
  <c r="BV72" i="28"/>
  <c r="BR73" i="28"/>
  <c r="BV73" i="28" s="1"/>
  <c r="BR17" i="28"/>
  <c r="BV17" i="28" s="1"/>
  <c r="BV16" i="28"/>
  <c r="BV19" i="33"/>
  <c r="BR21" i="33"/>
  <c r="E16" i="20"/>
  <c r="I16" i="20"/>
  <c r="BW45" i="38"/>
  <c r="BW49" i="38" s="1"/>
  <c r="BS49" i="38"/>
  <c r="BS37" i="38"/>
  <c r="H17" i="20"/>
  <c r="J17" i="20"/>
  <c r="BV29" i="34"/>
  <c r="BR33" i="34"/>
  <c r="BV33" i="34" s="1"/>
  <c r="F17" i="20"/>
  <c r="BV42" i="34"/>
  <c r="BR44" i="34"/>
  <c r="BV44" i="34" s="1"/>
  <c r="E17" i="20"/>
  <c r="L17" i="20"/>
  <c r="I17" i="20"/>
  <c r="BR46" i="34"/>
  <c r="BR56" i="34" s="1"/>
  <c r="BV45" i="34"/>
  <c r="M17" i="20"/>
  <c r="N17" i="20"/>
  <c r="K17" i="20"/>
  <c r="G17" i="20"/>
  <c r="P132" i="32"/>
  <c r="L15" i="39" s="1"/>
  <c r="L18" i="39" s="1"/>
  <c r="H15" i="20"/>
  <c r="I15" i="20"/>
  <c r="K15" i="20"/>
  <c r="BW18" i="32"/>
  <c r="BW12" i="32"/>
  <c r="BS15" i="32"/>
  <c r="BW15" i="32" s="1"/>
  <c r="Q132" i="32"/>
  <c r="M15" i="39" s="1"/>
  <c r="M18" i="39" s="1"/>
  <c r="K132" i="32"/>
  <c r="G15" i="39" s="1"/>
  <c r="G18" i="39" s="1"/>
  <c r="BV88" i="25"/>
  <c r="BU112" i="25"/>
  <c r="BV98" i="24"/>
  <c r="BU117" i="24"/>
  <c r="BW25" i="38"/>
  <c r="N18" i="20" l="1"/>
  <c r="O27" i="20"/>
  <c r="O12" i="39"/>
  <c r="O27" i="39"/>
  <c r="BV112" i="25"/>
  <c r="O12" i="20"/>
  <c r="BY72" i="7"/>
  <c r="BZ72" i="7" s="1"/>
  <c r="BR74" i="28"/>
  <c r="BV74" i="28" s="1"/>
  <c r="O16" i="20"/>
  <c r="BR34" i="33"/>
  <c r="BV34" i="33" s="1"/>
  <c r="BV21" i="33"/>
  <c r="L15" i="20"/>
  <c r="L18" i="20" s="1"/>
  <c r="I18" i="20"/>
  <c r="K18" i="20"/>
  <c r="H18" i="20"/>
  <c r="BV46" i="34"/>
  <c r="BV56" i="34" s="1"/>
  <c r="O17" i="20"/>
  <c r="G15" i="20"/>
  <c r="G18" i="20" s="1"/>
  <c r="M15" i="20"/>
  <c r="M18" i="20" s="1"/>
  <c r="BO25" i="32" l="1"/>
  <c r="BO33" i="32" s="1"/>
  <c r="N25" i="32"/>
  <c r="N33" i="32" l="1"/>
  <c r="N132" i="32" s="1"/>
  <c r="BS25" i="32"/>
  <c r="BS33" i="32" s="1"/>
  <c r="BO132" i="32"/>
  <c r="J15" i="39" l="1"/>
  <c r="J18" i="39" s="1"/>
  <c r="J15" i="20"/>
  <c r="J18" i="20" s="1"/>
  <c r="BW25" i="32"/>
  <c r="BW33" i="32" s="1"/>
  <c r="AB19" i="32" l="1"/>
  <c r="BL19" i="32" l="1"/>
  <c r="BN19" i="32"/>
  <c r="AB22" i="32"/>
  <c r="H19" i="32"/>
  <c r="BQ19" i="32" s="1"/>
  <c r="BQ22" i="32" s="1"/>
  <c r="BQ132" i="32" s="1"/>
  <c r="BK22" i="32"/>
  <c r="AB132" i="32" l="1"/>
  <c r="BN22" i="32"/>
  <c r="BL22" i="32"/>
  <c r="BL132" i="32" s="1"/>
  <c r="BK132" i="32"/>
  <c r="G22" i="32"/>
  <c r="P15" i="39" l="1"/>
  <c r="AH15" i="39" s="1"/>
  <c r="BN132" i="32"/>
  <c r="Y22" i="32"/>
  <c r="Y132" i="32" s="1"/>
  <c r="X22" i="32"/>
  <c r="X132" i="32" s="1"/>
  <c r="J19" i="32"/>
  <c r="J22" i="32" s="1"/>
  <c r="J132" i="32" s="1"/>
  <c r="F15" i="39" s="1"/>
  <c r="Z22" i="32"/>
  <c r="Z132" i="32" s="1"/>
  <c r="I19" i="32"/>
  <c r="I22" i="32" s="1"/>
  <c r="I132" i="32" s="1"/>
  <c r="E15" i="39" s="1"/>
  <c r="E18" i="39" s="1"/>
  <c r="H22" i="32"/>
  <c r="H132" i="32" s="1"/>
  <c r="F18" i="39" l="1"/>
  <c r="O18" i="39" s="1"/>
  <c r="O15" i="39"/>
  <c r="D15" i="20"/>
  <c r="D15" i="39"/>
  <c r="N133" i="32"/>
  <c r="E15" i="20"/>
  <c r="E18" i="20" s="1"/>
  <c r="BP22" i="32"/>
  <c r="BP132" i="32" s="1"/>
  <c r="BS19" i="32"/>
  <c r="F15" i="20"/>
  <c r="G62" i="32"/>
  <c r="G132" i="32" s="1"/>
  <c r="F18" i="20" l="1"/>
  <c r="O15" i="20"/>
  <c r="BW19" i="32"/>
  <c r="BS22" i="32"/>
  <c r="O18" i="20" l="1"/>
  <c r="BS132" i="32"/>
  <c r="BW22" i="32"/>
  <c r="BW132" i="32" s="1"/>
  <c r="BL17" i="38"/>
  <c r="BL20" i="38" s="1"/>
  <c r="BL53" i="38" s="1"/>
  <c r="O17" i="38" l="1"/>
  <c r="O20" i="38" s="1"/>
  <c r="O53" i="38" s="1"/>
  <c r="K21" i="39" s="1"/>
  <c r="R17" i="38"/>
  <c r="R20" i="38" s="1"/>
  <c r="R53" i="38" s="1"/>
  <c r="N21" i="39" s="1"/>
  <c r="P17" i="38"/>
  <c r="P20" i="38" s="1"/>
  <c r="P53" i="38" s="1"/>
  <c r="L21" i="39" s="1"/>
  <c r="K17" i="38"/>
  <c r="K20" i="38" s="1"/>
  <c r="K53" i="38" s="1"/>
  <c r="G21" i="39" s="1"/>
  <c r="N17" i="38"/>
  <c r="N20" i="38" s="1"/>
  <c r="N53" i="38" s="1"/>
  <c r="J21" i="39" s="1"/>
  <c r="J17" i="38"/>
  <c r="J20" i="38" s="1"/>
  <c r="J53" i="38" s="1"/>
  <c r="F21" i="39" s="1"/>
  <c r="M17" i="38"/>
  <c r="M20" i="38" s="1"/>
  <c r="M53" i="38" s="1"/>
  <c r="I21" i="39" s="1"/>
  <c r="BO17" i="38"/>
  <c r="I17" i="38"/>
  <c r="I20" i="38" s="1"/>
  <c r="I53" i="38" s="1"/>
  <c r="E21" i="39" s="1"/>
  <c r="H20" i="38"/>
  <c r="Q17" i="38"/>
  <c r="Q20" i="38" s="1"/>
  <c r="Q53" i="38" s="1"/>
  <c r="M21" i="39" s="1"/>
  <c r="L17" i="38"/>
  <c r="L20" i="38" s="1"/>
  <c r="L53" i="38" s="1"/>
  <c r="H21" i="20" l="1"/>
  <c r="H21" i="39"/>
  <c r="I21" i="20"/>
  <c r="L21" i="20"/>
  <c r="M21" i="20"/>
  <c r="BS17" i="38"/>
  <c r="BO20" i="38"/>
  <c r="BO53" i="38" s="1"/>
  <c r="G21" i="20"/>
  <c r="K21" i="20"/>
  <c r="X53" i="38"/>
  <c r="H53" i="38"/>
  <c r="Y53" i="38"/>
  <c r="Z53" i="38"/>
  <c r="J21" i="20"/>
  <c r="E21" i="20"/>
  <c r="F21" i="20"/>
  <c r="N21" i="20"/>
  <c r="O21" i="39" l="1"/>
  <c r="D21" i="20"/>
  <c r="D21" i="39"/>
  <c r="O21" i="20"/>
  <c r="BW17" i="38"/>
  <c r="BS20" i="38"/>
  <c r="BW20" i="38" l="1"/>
  <c r="BS53" i="38"/>
  <c r="BW53" i="38" s="1"/>
  <c r="BK12" i="37"/>
  <c r="O12" i="37" l="1"/>
  <c r="P12" i="37"/>
  <c r="K12" i="37"/>
  <c r="BP12" i="37"/>
  <c r="I12" i="37"/>
  <c r="L12" i="37"/>
  <c r="M12" i="37"/>
  <c r="Q12" i="37"/>
  <c r="H12" i="37"/>
  <c r="J12" i="37"/>
  <c r="N12" i="37"/>
  <c r="BR12" i="37" l="1"/>
  <c r="BP38" i="37"/>
  <c r="BP52" i="37" s="1"/>
  <c r="BV12" i="37" l="1"/>
  <c r="AA52" i="37"/>
  <c r="P22" i="39" s="1"/>
  <c r="AC52" i="37"/>
  <c r="Q22" i="39" s="1"/>
  <c r="Q23" i="39" s="1"/>
  <c r="Z52" i="37"/>
  <c r="V52" i="37"/>
  <c r="AD52" i="37"/>
  <c r="R52" i="37"/>
  <c r="AB52" i="37"/>
  <c r="AF52" i="37"/>
  <c r="AE52" i="37"/>
  <c r="R22" i="39" s="1"/>
  <c r="R23" i="39" s="1"/>
  <c r="AG13" i="37"/>
  <c r="BJ13" i="37"/>
  <c r="BK13" i="37" l="1"/>
  <c r="AG38" i="37"/>
  <c r="F13" i="37"/>
  <c r="T13" i="37" s="1"/>
  <c r="BJ38" i="37"/>
  <c r="P23" i="39"/>
  <c r="AG52" i="37"/>
  <c r="S22" i="39" s="1"/>
  <c r="U13" i="37"/>
  <c r="F38" i="37"/>
  <c r="G13" i="37"/>
  <c r="G38" i="37" s="1"/>
  <c r="BJ52" i="37"/>
  <c r="S13" i="37" l="1"/>
  <c r="BK38" i="37"/>
  <c r="BK52" i="37" s="1"/>
  <c r="S23" i="39"/>
  <c r="AH23" i="39" s="1"/>
  <c r="AH22" i="39"/>
  <c r="X13" i="37"/>
  <c r="X38" i="37" s="1"/>
  <c r="X52" i="37" s="1"/>
  <c r="T38" i="37"/>
  <c r="T52" i="37" s="1"/>
  <c r="W13" i="37"/>
  <c r="W38" i="37" s="1"/>
  <c r="W52" i="37" s="1"/>
  <c r="S38" i="37"/>
  <c r="S52" i="37" s="1"/>
  <c r="Y13" i="37"/>
  <c r="Y38" i="37" s="1"/>
  <c r="Y52" i="37" s="1"/>
  <c r="U38" i="37"/>
  <c r="U52" i="37" s="1"/>
  <c r="K13" i="37"/>
  <c r="O13" i="37"/>
  <c r="J13" i="37"/>
  <c r="N13" i="37"/>
  <c r="I13" i="37"/>
  <c r="M13" i="37"/>
  <c r="Q13" i="37"/>
  <c r="H13" i="37"/>
  <c r="L13" i="37"/>
  <c r="P13" i="37"/>
  <c r="G52" i="37"/>
  <c r="D22" i="39" s="1"/>
  <c r="D23" i="39" s="1"/>
  <c r="BN13" i="37"/>
  <c r="BN38" i="37" s="1"/>
  <c r="F52" i="37"/>
  <c r="H38" i="37" l="1"/>
  <c r="H52" i="37" s="1"/>
  <c r="L38" i="37"/>
  <c r="L52" i="37" s="1"/>
  <c r="M38" i="37"/>
  <c r="M52" i="37" s="1"/>
  <c r="J38" i="37"/>
  <c r="J52" i="37" s="1"/>
  <c r="P38" i="37"/>
  <c r="P52" i="37" s="1"/>
  <c r="Q38" i="37"/>
  <c r="Q52" i="37" s="1"/>
  <c r="N38" i="37"/>
  <c r="N52" i="37" s="1"/>
  <c r="K38" i="37"/>
  <c r="K52" i="37" s="1"/>
  <c r="I38" i="37"/>
  <c r="I52" i="37" s="1"/>
  <c r="O38" i="37"/>
  <c r="O52" i="37" s="1"/>
  <c r="D22" i="20"/>
  <c r="D23" i="20" s="1"/>
  <c r="BR13" i="37"/>
  <c r="BR38" i="37" s="1"/>
  <c r="BN52" i="37"/>
  <c r="N22" i="20" l="1"/>
  <c r="N22" i="39"/>
  <c r="N23" i="39" s="1"/>
  <c r="L22" i="20"/>
  <c r="L23" i="20" s="1"/>
  <c r="L22" i="39"/>
  <c r="L23" i="39" s="1"/>
  <c r="G22" i="20"/>
  <c r="G23" i="20" s="1"/>
  <c r="G22" i="39"/>
  <c r="G23" i="39" s="1"/>
  <c r="J22" i="20"/>
  <c r="J23" i="20" s="1"/>
  <c r="J22" i="39"/>
  <c r="J23" i="39" s="1"/>
  <c r="H22" i="20"/>
  <c r="H23" i="20" s="1"/>
  <c r="H22" i="39"/>
  <c r="H23" i="39" s="1"/>
  <c r="K22" i="20"/>
  <c r="K23" i="20" s="1"/>
  <c r="K22" i="39"/>
  <c r="K23" i="39" s="1"/>
  <c r="I22" i="20"/>
  <c r="I23" i="20" s="1"/>
  <c r="I22" i="39"/>
  <c r="I23" i="39" s="1"/>
  <c r="F22" i="20"/>
  <c r="F23" i="20" s="1"/>
  <c r="F22" i="39"/>
  <c r="F23" i="39" s="1"/>
  <c r="M22" i="20"/>
  <c r="M23" i="20" s="1"/>
  <c r="M22" i="39"/>
  <c r="E22" i="20"/>
  <c r="E23" i="20" s="1"/>
  <c r="E22" i="39"/>
  <c r="E23" i="39" s="1"/>
  <c r="BV13" i="37"/>
  <c r="BV38" i="37" s="1"/>
  <c r="BR52" i="37"/>
  <c r="BV52" i="37" s="1"/>
  <c r="N23" i="20"/>
  <c r="O22" i="20" l="1"/>
  <c r="O22" i="39"/>
  <c r="M23" i="39"/>
  <c r="O23" i="20"/>
  <c r="AT31" i="33"/>
  <c r="AT34" i="33" s="1"/>
  <c r="BB31" i="33"/>
  <c r="BB34" i="33" s="1"/>
  <c r="AN31" i="33"/>
  <c r="AN34" i="33" s="1"/>
  <c r="AE31" i="33"/>
  <c r="AE34" i="33" s="1"/>
  <c r="R16" i="39" s="1"/>
  <c r="R18" i="39" s="1"/>
  <c r="AB31" i="33"/>
  <c r="AB34" i="33" s="1"/>
  <c r="BH31" i="33"/>
  <c r="BH34" i="33" s="1"/>
  <c r="AV31" i="33"/>
  <c r="AV34" i="33" s="1"/>
  <c r="AH31" i="33"/>
  <c r="AH34" i="33" s="1"/>
  <c r="AJ31" i="33"/>
  <c r="AJ34" i="33" s="1"/>
  <c r="AR31" i="33"/>
  <c r="AR34" i="33" s="1"/>
  <c r="AY31" i="33"/>
  <c r="AY34" i="33" s="1"/>
  <c r="AB16" i="39" s="1"/>
  <c r="AB18" i="39" s="1"/>
  <c r="BA31" i="33"/>
  <c r="BA34" i="33" s="1"/>
  <c r="AC16" i="39" s="1"/>
  <c r="AC18" i="39" s="1"/>
  <c r="BC31" i="33"/>
  <c r="BC34" i="33" s="1"/>
  <c r="AD16" i="39" s="1"/>
  <c r="AD18" i="39" s="1"/>
  <c r="AC31" i="33"/>
  <c r="AC34" i="33" s="1"/>
  <c r="Q16" i="39" s="1"/>
  <c r="Q18" i="39" s="1"/>
  <c r="AK31" i="33"/>
  <c r="AK34" i="33" s="1"/>
  <c r="U16" i="39" s="1"/>
  <c r="U18" i="39" s="1"/>
  <c r="AA31" i="33"/>
  <c r="AA34" i="33" s="1"/>
  <c r="P16" i="39" s="1"/>
  <c r="AM31" i="33"/>
  <c r="AM34" i="33" s="1"/>
  <c r="V16" i="39" s="1"/>
  <c r="V18" i="39" s="1"/>
  <c r="AF31" i="33"/>
  <c r="AF34" i="33" s="1"/>
  <c r="AD31" i="33"/>
  <c r="AD34" i="33" s="1"/>
  <c r="BF31" i="33"/>
  <c r="BF34" i="33" s="1"/>
  <c r="AZ31" i="33"/>
  <c r="AZ34" i="33" s="1"/>
  <c r="AL31" i="33"/>
  <c r="AL34" i="33" s="1"/>
  <c r="AX31" i="33"/>
  <c r="AX34" i="33" s="1"/>
  <c r="AI31" i="33"/>
  <c r="AI34" i="33" s="1"/>
  <c r="T16" i="39" s="1"/>
  <c r="T18" i="39" s="1"/>
  <c r="AG31" i="33"/>
  <c r="AG34" i="33" s="1"/>
  <c r="S16" i="39" s="1"/>
  <c r="S18" i="39" s="1"/>
  <c r="BG31" i="33"/>
  <c r="BG34" i="33" s="1"/>
  <c r="AF16" i="39" s="1"/>
  <c r="AF18" i="39" s="1"/>
  <c r="AW31" i="33"/>
  <c r="AW34" i="33" s="1"/>
  <c r="AA16" i="39" s="1"/>
  <c r="AA18" i="39" s="1"/>
  <c r="AS31" i="33"/>
  <c r="AS34" i="33" s="1"/>
  <c r="Y16" i="39" s="1"/>
  <c r="Y18" i="39" s="1"/>
  <c r="AO31" i="33"/>
  <c r="AO34" i="33" s="1"/>
  <c r="W16" i="39" s="1"/>
  <c r="W18" i="39" s="1"/>
  <c r="AU31" i="33"/>
  <c r="AU34" i="33" s="1"/>
  <c r="Z16" i="39" s="1"/>
  <c r="Z18" i="39" s="1"/>
  <c r="BE31" i="33"/>
  <c r="BE34" i="33" s="1"/>
  <c r="AE16" i="39" s="1"/>
  <c r="AE18" i="39" s="1"/>
  <c r="AQ31" i="33"/>
  <c r="AQ34" i="33" s="1"/>
  <c r="X16" i="39" s="1"/>
  <c r="X18" i="39" s="1"/>
  <c r="AP31" i="33"/>
  <c r="AP34" i="33" s="1"/>
  <c r="BD31" i="33"/>
  <c r="BD34" i="33" s="1"/>
  <c r="Z31" i="33"/>
  <c r="Z34" i="33" s="1"/>
  <c r="BI31" i="33"/>
  <c r="BI34" i="33" s="1"/>
  <c r="AG16" i="39" s="1"/>
  <c r="BJ27" i="33"/>
  <c r="F27" i="33" s="1"/>
  <c r="G27" i="33" s="1"/>
  <c r="G31" i="33" s="1"/>
  <c r="G34" i="33" s="1"/>
  <c r="BK27" i="33"/>
  <c r="BK31" i="33" s="1"/>
  <c r="BK34" i="33" s="1"/>
  <c r="AG18" i="39" l="1"/>
  <c r="AH16" i="39"/>
  <c r="P18" i="39"/>
  <c r="D16" i="20"/>
  <c r="D18" i="20" s="1"/>
  <c r="D16" i="39"/>
  <c r="D18" i="39" s="1"/>
  <c r="O23" i="39"/>
  <c r="BJ31" i="33"/>
  <c r="BJ34" i="33" s="1"/>
  <c r="AG31" i="39" l="1"/>
  <c r="AH18" i="39"/>
  <c r="C20" i="40" l="1"/>
  <c r="F20" i="40" l="1"/>
  <c r="BA60" i="24"/>
  <c r="BA66" i="24" s="1"/>
  <c r="BA117" i="24" s="1"/>
  <c r="AV60" i="24"/>
  <c r="AV66" i="24" s="1"/>
  <c r="AV117" i="24" s="1"/>
  <c r="V60" i="24"/>
  <c r="V66" i="24"/>
  <c r="V117" i="24" s="1"/>
  <c r="AF60" i="24"/>
  <c r="AF66" i="24" s="1"/>
  <c r="AF117" i="24" s="1"/>
  <c r="AH60" i="24"/>
  <c r="AH66" i="24" s="1"/>
  <c r="AH117" i="24" s="1"/>
  <c r="BD60" i="24"/>
  <c r="BD66" i="24" s="1"/>
  <c r="BD117" i="24" s="1"/>
  <c r="AL60" i="24"/>
  <c r="AL66" i="24" s="1"/>
  <c r="AL117" i="24" s="1"/>
  <c r="AZ60" i="24"/>
  <c r="AZ66" i="24" s="1"/>
  <c r="AZ117" i="24" s="1"/>
  <c r="T60" i="24"/>
  <c r="T66" i="24" s="1"/>
  <c r="T117" i="24" s="1"/>
  <c r="Z60" i="24"/>
  <c r="Z66" i="24" s="1"/>
  <c r="Z117" i="24" s="1"/>
  <c r="AT60" i="24"/>
  <c r="AT66" i="24" s="1"/>
  <c r="AT117" i="24" s="1"/>
  <c r="AN60" i="24"/>
  <c r="AN66" i="24" s="1"/>
  <c r="AN117" i="24" s="1"/>
  <c r="Y60" i="24"/>
  <c r="Y66" i="24" s="1"/>
  <c r="Y117" i="24" s="1"/>
  <c r="BB60" i="24"/>
  <c r="BB66" i="24" s="1"/>
  <c r="BB117" i="24" s="1"/>
  <c r="AD60" i="24"/>
  <c r="AD66" i="24" s="1"/>
  <c r="AD117" i="24" s="1"/>
  <c r="AR60" i="24"/>
  <c r="AR66" i="24" s="1"/>
  <c r="AR117" i="24" s="1"/>
  <c r="AP60" i="24"/>
  <c r="AP66" i="24" s="1"/>
  <c r="AP117" i="24" s="1"/>
  <c r="BF60" i="24"/>
  <c r="BF66" i="24" s="1"/>
  <c r="BF117" i="24" s="1"/>
  <c r="AX60" i="24"/>
  <c r="AX66" i="24" s="1"/>
  <c r="AX117" i="24" s="1"/>
  <c r="X60" i="24"/>
  <c r="X66" i="24" s="1"/>
  <c r="X117" i="24" s="1"/>
  <c r="R60" i="24"/>
  <c r="R66" i="24" s="1"/>
  <c r="R117" i="24" s="1"/>
  <c r="BE60" i="24"/>
  <c r="BE66" i="24" s="1"/>
  <c r="BE117" i="24" s="1"/>
  <c r="AE26" i="39" s="1"/>
  <c r="AE29" i="39" s="1"/>
  <c r="AE31" i="39" s="1"/>
  <c r="C18" i="40" s="1"/>
  <c r="F18" i="40" s="1"/>
  <c r="AG60" i="24"/>
  <c r="AG66" i="24" s="1"/>
  <c r="AG117" i="24" s="1"/>
  <c r="S26" i="39" s="1"/>
  <c r="S29" i="39" s="1"/>
  <c r="S31" i="39" s="1"/>
  <c r="C6" i="40" s="1"/>
  <c r="F6" i="40" s="1"/>
  <c r="BC60" i="24"/>
  <c r="BC66" i="24" s="1"/>
  <c r="BC117" i="24" s="1"/>
  <c r="AD26" i="39" s="1"/>
  <c r="AD29" i="39" s="1"/>
  <c r="AD31" i="39" s="1"/>
  <c r="C17" i="40" s="1"/>
  <c r="F17" i="40" s="1"/>
  <c r="BK56" i="24"/>
  <c r="BK60" i="24" s="1"/>
  <c r="BK66" i="24" s="1"/>
  <c r="BK117" i="24" s="1"/>
  <c r="AM60" i="24"/>
  <c r="AM66" i="24" s="1"/>
  <c r="AM117" i="24" s="1"/>
  <c r="V26" i="39" s="1"/>
  <c r="V29" i="39" s="1"/>
  <c r="V31" i="39" s="1"/>
  <c r="C9" i="40" s="1"/>
  <c r="F9" i="40" s="1"/>
  <c r="BG60" i="24"/>
  <c r="BG66" i="24" s="1"/>
  <c r="BG117" i="24" s="1"/>
  <c r="AF26" i="39" s="1"/>
  <c r="AO60" i="24"/>
  <c r="AO66" i="24" s="1"/>
  <c r="AO117" i="24" s="1"/>
  <c r="W26" i="39" s="1"/>
  <c r="W29" i="39" s="1"/>
  <c r="W31" i="39" s="1"/>
  <c r="C10" i="40" s="1"/>
  <c r="F10" i="40" s="1"/>
  <c r="AE60" i="24"/>
  <c r="AE66" i="24" s="1"/>
  <c r="AE117" i="24" s="1"/>
  <c r="R26" i="39" s="1"/>
  <c r="R29" i="39" s="1"/>
  <c r="R31" i="39" s="1"/>
  <c r="C5" i="40" s="1"/>
  <c r="F5" i="40" s="1"/>
  <c r="AB60" i="24"/>
  <c r="AB66" i="24" s="1"/>
  <c r="AB117" i="24" s="1"/>
  <c r="AS60" i="24"/>
  <c r="AS66" i="24" s="1"/>
  <c r="AS117" i="24" s="1"/>
  <c r="Y26" i="39" s="1"/>
  <c r="Y29" i="39" s="1"/>
  <c r="Y31" i="39" s="1"/>
  <c r="C12" i="40" s="1"/>
  <c r="F12" i="40" s="1"/>
  <c r="U60" i="24"/>
  <c r="U66" i="24" s="1"/>
  <c r="U117" i="24" s="1"/>
  <c r="AW60" i="24"/>
  <c r="AW66" i="24" s="1"/>
  <c r="AW117" i="24" s="1"/>
  <c r="AA26" i="39" s="1"/>
  <c r="AA29" i="39" s="1"/>
  <c r="AA31" i="39" s="1"/>
  <c r="C14" i="40" s="1"/>
  <c r="F14" i="40" s="1"/>
  <c r="AJ60" i="24"/>
  <c r="AJ66" i="24" s="1"/>
  <c r="AJ117" i="24" s="1"/>
  <c r="AY60" i="24"/>
  <c r="AY66" i="24" s="1"/>
  <c r="AY117" i="24" s="1"/>
  <c r="AB26" i="39" s="1"/>
  <c r="AB29" i="39" s="1"/>
  <c r="AB31" i="39" s="1"/>
  <c r="C15" i="40" s="1"/>
  <c r="F15" i="40" s="1"/>
  <c r="AQ60" i="24"/>
  <c r="AQ66" i="24"/>
  <c r="AQ117" i="24" s="1"/>
  <c r="X26" i="39" s="1"/>
  <c r="X29" i="39" s="1"/>
  <c r="X31" i="39" s="1"/>
  <c r="C11" i="40" s="1"/>
  <c r="F11" i="40" s="1"/>
  <c r="AI60" i="24"/>
  <c r="AI66" i="24" s="1"/>
  <c r="AI117" i="24" s="1"/>
  <c r="T26" i="39" s="1"/>
  <c r="T29" i="39" s="1"/>
  <c r="T31" i="39" s="1"/>
  <c r="C7" i="40" s="1"/>
  <c r="F7" i="40" s="1"/>
  <c r="AK60" i="24"/>
  <c r="AK66" i="24" s="1"/>
  <c r="AK117" i="24" s="1"/>
  <c r="U26" i="39" s="1"/>
  <c r="U29" i="39" s="1"/>
  <c r="U31" i="39" s="1"/>
  <c r="C8" i="40" s="1"/>
  <c r="F8" i="40" s="1"/>
  <c r="AA60" i="24"/>
  <c r="AA66" i="24" s="1"/>
  <c r="AA117" i="24" s="1"/>
  <c r="P26" i="39" s="1"/>
  <c r="P29" i="39" s="1"/>
  <c r="P31" i="39" s="1"/>
  <c r="C3" i="40" s="1"/>
  <c r="AU60" i="24"/>
  <c r="AU66" i="24" s="1"/>
  <c r="AU117" i="24" s="1"/>
  <c r="Z26" i="39" s="1"/>
  <c r="Z29" i="39" s="1"/>
  <c r="Z31" i="39" s="1"/>
  <c r="C13" i="40" s="1"/>
  <c r="F13" i="40" s="1"/>
  <c r="BJ56" i="24"/>
  <c r="BJ60" i="24" s="1"/>
  <c r="BJ66" i="24" s="1"/>
  <c r="BJ117" i="24" s="1"/>
  <c r="AC60" i="24"/>
  <c r="AC66" i="24" s="1"/>
  <c r="AC117" i="24" s="1"/>
  <c r="Q26" i="39" s="1"/>
  <c r="Q29" i="39" s="1"/>
  <c r="Q31" i="39" s="1"/>
  <c r="C4" i="40" s="1"/>
  <c r="F4" i="40" s="1"/>
  <c r="AF29" i="39" l="1"/>
  <c r="F3" i="40"/>
  <c r="F56" i="24"/>
  <c r="AC26" i="39"/>
  <c r="AC29" i="39" s="1"/>
  <c r="AC31" i="39" s="1"/>
  <c r="C16" i="40" s="1"/>
  <c r="F16" i="40" s="1"/>
  <c r="AH26" i="39" l="1"/>
  <c r="S56" i="24"/>
  <c r="F60" i="24"/>
  <c r="F66" i="24" s="1"/>
  <c r="F117" i="24" s="1"/>
  <c r="G56" i="24"/>
  <c r="AH29" i="39"/>
  <c r="AJ31" i="39" s="1"/>
  <c r="AF31" i="39"/>
  <c r="AH31" i="39" l="1"/>
  <c r="C19" i="40"/>
  <c r="I56" i="24"/>
  <c r="I60" i="24" s="1"/>
  <c r="I66" i="24" s="1"/>
  <c r="I117" i="24" s="1"/>
  <c r="M56" i="24"/>
  <c r="M60" i="24" s="1"/>
  <c r="M66" i="24" s="1"/>
  <c r="M117" i="24" s="1"/>
  <c r="Q56" i="24"/>
  <c r="Q60" i="24" s="1"/>
  <c r="Q66" i="24" s="1"/>
  <c r="Q117" i="24" s="1"/>
  <c r="O56" i="24"/>
  <c r="O60" i="24" s="1"/>
  <c r="O66" i="24" s="1"/>
  <c r="O117" i="24" s="1"/>
  <c r="J56" i="24"/>
  <c r="J60" i="24" s="1"/>
  <c r="J66" i="24" s="1"/>
  <c r="J117" i="24" s="1"/>
  <c r="H56" i="24"/>
  <c r="H60" i="24" s="1"/>
  <c r="H66" i="24" s="1"/>
  <c r="H117" i="24" s="1"/>
  <c r="L56" i="24"/>
  <c r="L60" i="24" s="1"/>
  <c r="L66" i="24" s="1"/>
  <c r="L117" i="24" s="1"/>
  <c r="P56" i="24"/>
  <c r="P60" i="24" s="1"/>
  <c r="P66" i="24" s="1"/>
  <c r="P117" i="24" s="1"/>
  <c r="K56" i="24"/>
  <c r="K60" i="24" s="1"/>
  <c r="K66" i="24" s="1"/>
  <c r="K117" i="24" s="1"/>
  <c r="N56" i="24"/>
  <c r="N60" i="24" s="1"/>
  <c r="N66" i="24" s="1"/>
  <c r="N117" i="24" s="1"/>
  <c r="BP56" i="24"/>
  <c r="G60" i="24"/>
  <c r="G66" i="24" s="1"/>
  <c r="G117" i="24" s="1"/>
  <c r="W56" i="24"/>
  <c r="W60" i="24" s="1"/>
  <c r="W66" i="24" s="1"/>
  <c r="W117" i="24" s="1"/>
  <c r="S60" i="24"/>
  <c r="S66" i="24" s="1"/>
  <c r="S117" i="24" s="1"/>
  <c r="N26" i="20" l="1"/>
  <c r="N26" i="39"/>
  <c r="D26" i="39"/>
  <c r="D29" i="39" s="1"/>
  <c r="D31" i="39" s="1"/>
  <c r="D26" i="20"/>
  <c r="D29" i="20" s="1"/>
  <c r="D31" i="20" s="1"/>
  <c r="M26" i="20"/>
  <c r="M29" i="20" s="1"/>
  <c r="M31" i="20" s="1"/>
  <c r="M26" i="39"/>
  <c r="M29" i="39" s="1"/>
  <c r="M31" i="39" s="1"/>
  <c r="L26" i="39"/>
  <c r="L29" i="39" s="1"/>
  <c r="L31" i="39" s="1"/>
  <c r="L26" i="20"/>
  <c r="L29" i="20" s="1"/>
  <c r="L31" i="20" s="1"/>
  <c r="F19" i="40"/>
  <c r="C21" i="40"/>
  <c r="F21" i="40" s="1"/>
  <c r="BR56" i="24"/>
  <c r="BP60" i="24"/>
  <c r="BP66" i="24" s="1"/>
  <c r="BP117" i="24" s="1"/>
  <c r="I26" i="20"/>
  <c r="I29" i="20" s="1"/>
  <c r="I31" i="20" s="1"/>
  <c r="I26" i="39"/>
  <c r="I29" i="39" s="1"/>
  <c r="I31" i="39" s="1"/>
  <c r="H26" i="20"/>
  <c r="H29" i="20" s="1"/>
  <c r="H31" i="20" s="1"/>
  <c r="H26" i="39"/>
  <c r="H29" i="39" s="1"/>
  <c r="H31" i="39" s="1"/>
  <c r="G26" i="39"/>
  <c r="G29" i="39" s="1"/>
  <c r="G31" i="39" s="1"/>
  <c r="G26" i="20"/>
  <c r="G29" i="20" s="1"/>
  <c r="G31" i="20" s="1"/>
  <c r="F26" i="20"/>
  <c r="F29" i="20" s="1"/>
  <c r="F31" i="20" s="1"/>
  <c r="F26" i="39"/>
  <c r="F29" i="39" s="1"/>
  <c r="F31" i="39" s="1"/>
  <c r="K26" i="39"/>
  <c r="K29" i="39" s="1"/>
  <c r="K31" i="39" s="1"/>
  <c r="K26" i="20"/>
  <c r="K29" i="20" s="1"/>
  <c r="K31" i="20" s="1"/>
  <c r="E26" i="20"/>
  <c r="E29" i="20" s="1"/>
  <c r="E26" i="39"/>
  <c r="E29" i="39" s="1"/>
  <c r="J26" i="20"/>
  <c r="J29" i="20" s="1"/>
  <c r="J31" i="20" s="1"/>
  <c r="J26" i="39"/>
  <c r="J29" i="39" s="1"/>
  <c r="J31" i="39" s="1"/>
  <c r="N29" i="39" l="1"/>
  <c r="N31" i="39" s="1"/>
  <c r="O26" i="39"/>
  <c r="E31" i="39"/>
  <c r="O26" i="20"/>
  <c r="N29" i="20"/>
  <c r="N31" i="20" s="1"/>
  <c r="E31" i="20"/>
  <c r="BV56" i="24"/>
  <c r="BR60" i="24"/>
  <c r="BV60" i="24" l="1"/>
  <c r="BR66" i="24"/>
  <c r="O29" i="39"/>
  <c r="O31" i="39" s="1"/>
  <c r="O29" i="20"/>
  <c r="O31" i="20" s="1"/>
  <c r="BR117" i="24" l="1"/>
  <c r="BV117" i="24" s="1"/>
  <c r="BV66" i="24"/>
</calcChain>
</file>

<file path=xl/sharedStrings.xml><?xml version="1.0" encoding="utf-8"?>
<sst xmlns="http://schemas.openxmlformats.org/spreadsheetml/2006/main" count="3035" uniqueCount="899">
  <si>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</si>
  <si>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</si>
  <si>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</si>
  <si>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</si>
  <si>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</si>
  <si>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</si>
  <si>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</si>
  <si>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</si>
  <si>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</si>
  <si>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</si>
  <si>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</si>
  <si>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</si>
  <si>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</si>
  <si>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Total: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</si>
  <si>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</si>
  <si>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</si>
  <si>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</si>
  <si>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</si>
  <si>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</si>
  <si>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</si>
  <si>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</si>
  <si>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</si>
  <si>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</si>
  <si>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</si>
  <si>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</si>
  <si>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</si>
  <si>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</si>
  <si>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per month</t>
  </si>
  <si>
    <t>Utilities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</si>
  <si>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</si>
  <si>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</si>
  <si>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</si>
  <si>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</si>
  <si>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</si>
  <si>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</si>
  <si>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</si>
  <si>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 xml:space="preserve">Sub total </t>
  </si>
  <si>
    <t>Sub total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</si>
  <si>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</si>
  <si>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</si>
  <si>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</si>
  <si>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</si>
  <si>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</si>
  <si>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</si>
  <si>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</si>
  <si>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</si>
  <si>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</si>
  <si>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Acct. 
Code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</si>
  <si>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</si>
  <si>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</si>
  <si>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</si>
  <si>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</si>
  <si>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</si>
  <si>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</si>
  <si>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</si>
  <si>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</si>
  <si>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</si>
  <si>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</si>
  <si>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</si>
  <si>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</si>
  <si>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</si>
  <si>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</si>
  <si>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</si>
  <si>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</si>
  <si>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</si>
  <si>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</si>
  <si>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</si>
  <si>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</si>
  <si>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</si>
  <si>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</si>
  <si>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Service provider contracts (NGO)</t>
  </si>
  <si>
    <t>Wages to MPWs /b</t>
  </si>
  <si>
    <t>MPA</t>
  </si>
  <si>
    <t>pers_month</t>
  </si>
  <si>
    <t>PMU &amp; MPA Staff Exposure and Training</t>
  </si>
  <si>
    <t>Exposure visits- 7 days /c</t>
  </si>
  <si>
    <t>Nutrition &amp; gender training /d</t>
  </si>
  <si>
    <t>Training for Junior engineers /e</t>
  </si>
  <si>
    <t>Programme concept &amp; orientation /f</t>
  </si>
  <si>
    <t>pers_days</t>
  </si>
  <si>
    <t>NGO staff Exposure and Training</t>
  </si>
  <si>
    <t>Exposure visits /g</t>
  </si>
  <si>
    <t>Nutrition &amp; Gender training /h</t>
  </si>
  <si>
    <t>NRM training 4 pers for 2 days</t>
  </si>
  <si>
    <t>CRP training</t>
  </si>
  <si>
    <t>Programme concept &amp; orientation /j</t>
  </si>
  <si>
    <t>VDP prepartion and book-keeping /l</t>
  </si>
  <si>
    <t>TOT Training module</t>
  </si>
  <si>
    <t>Training arrangement</t>
  </si>
  <si>
    <t>Honorarium to the translator</t>
  </si>
  <si>
    <t>persons</t>
  </si>
  <si>
    <t>session</t>
  </si>
  <si>
    <t>Honorarium to the tranlator</t>
  </si>
  <si>
    <t>Women sexual and reproduction health</t>
  </si>
  <si>
    <t>Confronting malaria</t>
  </si>
  <si>
    <t>Training VDA &amp; VDC  members on preparation of VDP</t>
  </si>
  <si>
    <t>VDP preparation /m</t>
  </si>
  <si>
    <t>Entry point interventions(EPI)</t>
  </si>
  <si>
    <t>Stregthening SHGs and Rural Finance</t>
  </si>
  <si>
    <t xml:space="preserve"> SHG formation &amp; strengthening</t>
  </si>
  <si>
    <t>SHG mapping,audit &amp; accounts</t>
  </si>
  <si>
    <t>SHG mapping, audit etc(only mapping &amp; grading)</t>
  </si>
  <si>
    <t>SHG</t>
  </si>
  <si>
    <t xml:space="preserve"> TOT to NGO staff including CRPs</t>
  </si>
  <si>
    <t>SHG functioning</t>
  </si>
  <si>
    <t>Resource agency cost for TOT</t>
  </si>
  <si>
    <t>Training SHG members</t>
  </si>
  <si>
    <t>Training Leaders for 2 days</t>
  </si>
  <si>
    <t>Training book-keepers, 2 days</t>
  </si>
  <si>
    <t>CRP_day</t>
  </si>
  <si>
    <t>Financial literacy, with 6 modules</t>
  </si>
  <si>
    <t>Resource agency cost for TOT /c</t>
  </si>
  <si>
    <t>Training of CRPs 4 days</t>
  </si>
  <si>
    <t>CRP</t>
  </si>
  <si>
    <t>Rural Finance</t>
  </si>
  <si>
    <t>Accounting training-2 days /h</t>
  </si>
  <si>
    <t>Start up funds for furniture, bicycles etc</t>
  </si>
  <si>
    <t>Annual general body meeting</t>
  </si>
  <si>
    <t>Mobility expenses</t>
  </si>
  <si>
    <t xml:space="preserve">Operating costs to GPLF </t>
  </si>
  <si>
    <t>person</t>
  </si>
  <si>
    <t>GPLF</t>
  </si>
  <si>
    <t xml:space="preserve"> Funding support to SHG</t>
  </si>
  <si>
    <t>Pro-poor Fund first instalment</t>
  </si>
  <si>
    <t>member</t>
  </si>
  <si>
    <t>VRF 1st &amp; 2nd instalments/i</t>
  </si>
  <si>
    <t>VRF 3rd and 4th instalments</t>
  </si>
  <si>
    <t>Pilot on women cooperative</t>
  </si>
  <si>
    <t>Feasibility study /k</t>
  </si>
  <si>
    <t>study</t>
  </si>
  <si>
    <t>Exposure visits (in country)</t>
  </si>
  <si>
    <t>Viability gap expenses</t>
  </si>
  <si>
    <t>Equipment &amp; computer</t>
  </si>
  <si>
    <t>Staff training on cooperatives</t>
  </si>
  <si>
    <t>Training on governance &amp; responsibilities</t>
  </si>
  <si>
    <t>Legal assistance</t>
  </si>
  <si>
    <t>Training on accounting &amp; book-keeping</t>
  </si>
  <si>
    <t>TA for hand-holding</t>
  </si>
  <si>
    <t>Nutrition and social issues</t>
  </si>
  <si>
    <t>Dal Poshak banks</t>
  </si>
  <si>
    <t>Training CRPs and SHG</t>
  </si>
  <si>
    <t>Dal Bank equipment /l</t>
  </si>
  <si>
    <t>Supply of Dal /m</t>
  </si>
  <si>
    <t>Marriage incentives /n</t>
  </si>
  <si>
    <t>Late marriage incentives to girls</t>
  </si>
  <si>
    <t xml:space="preserve"> COMMUNITY EMPOWERMENT</t>
  </si>
  <si>
    <t>Natural Resource Management</t>
  </si>
  <si>
    <t xml:space="preserve">Horticulture /d </t>
  </si>
  <si>
    <t xml:space="preserve">Agriculture Training /a </t>
  </si>
  <si>
    <t xml:space="preserve">Land Rights Allocation: RNGO /e </t>
  </si>
  <si>
    <t>Human resources costs- field level (CRPs),Amin</t>
  </si>
  <si>
    <t>lumpsum</t>
  </si>
  <si>
    <t xml:space="preserve">Land treatment /g </t>
  </si>
  <si>
    <t>ha</t>
  </si>
  <si>
    <t xml:space="preserve">Irrigation structures /h </t>
  </si>
  <si>
    <t xml:space="preserve">Pulses, oilseeds, tubers development /k </t>
  </si>
  <si>
    <t xml:space="preserve"> Food and Nutrition Security</t>
  </si>
  <si>
    <t>Food security</t>
  </si>
  <si>
    <t>PTG Food production system</t>
  </si>
  <si>
    <t>Farmers training /a</t>
  </si>
  <si>
    <t>Onfarm demonstrations</t>
  </si>
  <si>
    <t>Seed Production support /b</t>
  </si>
  <si>
    <t>Farmers Field Schools, FFS</t>
  </si>
  <si>
    <t>Capacity building</t>
  </si>
  <si>
    <t>FSS</t>
  </si>
  <si>
    <t>FFS</t>
  </si>
  <si>
    <t>Research and development support</t>
  </si>
  <si>
    <t>R&amp;D support on crop varities (OUAT) /e</t>
  </si>
  <si>
    <t>Farmer-led crop trials /f</t>
  </si>
  <si>
    <t>farmers</t>
  </si>
  <si>
    <t>Nutrition security</t>
  </si>
  <si>
    <t>Nutrition-dense crop diversification</t>
  </si>
  <si>
    <t>Nutrition needs assessment</t>
  </si>
  <si>
    <t xml:space="preserve"> Assessment of use and  nutrient value  of uncultivated foods</t>
  </si>
  <si>
    <t>GP</t>
  </si>
  <si>
    <t>Livelihoods Improvement</t>
  </si>
  <si>
    <t>Training Community Service Provider(CSP)</t>
  </si>
  <si>
    <t>CSP</t>
  </si>
  <si>
    <t>pers_day</t>
  </si>
  <si>
    <t>Support to CSPs in upscaling</t>
  </si>
  <si>
    <t>Support for horticulture 1st year /e</t>
  </si>
  <si>
    <t>Support for horticulture 2nd year</t>
  </si>
  <si>
    <t>Support for horticulture 3rd year</t>
  </si>
  <si>
    <t>Livestock demonstrations</t>
  </si>
  <si>
    <t>Poultry mother units /f</t>
  </si>
  <si>
    <t>Goat rearing unit (5+1) including shed</t>
  </si>
  <si>
    <t>Household production support</t>
  </si>
  <si>
    <t>IGA units /i</t>
  </si>
  <si>
    <t>Setting up of Producers Collectives</t>
  </si>
  <si>
    <t>Preparation of Feasibility Reports</t>
  </si>
  <si>
    <t>per MPA</t>
  </si>
  <si>
    <t>LRA for Producer collectives</t>
  </si>
  <si>
    <t>Collective</t>
  </si>
  <si>
    <t>Promotion of Livelihoods collectives</t>
  </si>
  <si>
    <t>collective</t>
  </si>
  <si>
    <t>Infrastructure and equipment</t>
  </si>
  <si>
    <t>Hand-holding facilities</t>
  </si>
  <si>
    <t>Support for NTFP marketing</t>
  </si>
  <si>
    <t>per GP</t>
  </si>
  <si>
    <t>Vocational Training /l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</si>
  <si>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</si>
  <si>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</si>
  <si>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</si>
  <si>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Survey, preparation of feasibility reports</t>
  </si>
  <si>
    <t>Feasibiltiy studies</t>
  </si>
  <si>
    <t>feasibility studies for micro-hydel</t>
  </si>
  <si>
    <t>Drinking water &amp; sanitation</t>
  </si>
  <si>
    <t>Toilets</t>
  </si>
  <si>
    <t>Water Purification pilot</t>
  </si>
  <si>
    <t>each</t>
  </si>
  <si>
    <t>Housing &amp; habitat development</t>
  </si>
  <si>
    <t>Housing units</t>
  </si>
  <si>
    <t>Construction materials for house improvement</t>
  </si>
  <si>
    <t>CC road in villages /a</t>
  </si>
  <si>
    <t>km</t>
  </si>
  <si>
    <t>Foot paths</t>
  </si>
  <si>
    <t>Grid connection</t>
  </si>
  <si>
    <t>Community solar lighting</t>
  </si>
  <si>
    <t>Social  infrastructure</t>
  </si>
  <si>
    <t>Multi-purpose community hall</t>
  </si>
  <si>
    <t>Economic Infrastructure</t>
  </si>
  <si>
    <t>Drying yards</t>
  </si>
  <si>
    <t>Market yards</t>
  </si>
  <si>
    <t>Aggregation centres</t>
  </si>
  <si>
    <t>SHG worksheds</t>
  </si>
  <si>
    <t>Agricultural machinery &amp; tools /b</t>
  </si>
  <si>
    <t>set</t>
  </si>
  <si>
    <t>Drudgery Reduction</t>
  </si>
  <si>
    <t>Drugery reduction interventions</t>
  </si>
  <si>
    <t>Milling units for millets, rice /b</t>
  </si>
  <si>
    <t>Tribal culture and values</t>
  </si>
  <si>
    <t>Support to cultural festivals /c</t>
  </si>
  <si>
    <t>Community halls /d</t>
  </si>
  <si>
    <t>Youth dormentary</t>
  </si>
  <si>
    <t>Sacred Fencing /e</t>
  </si>
  <si>
    <t>Policy initiatives</t>
  </si>
  <si>
    <t>Studies and surveys</t>
  </si>
  <si>
    <t>Legal Advocacy</t>
  </si>
  <si>
    <t xml:space="preserve"> Project Management Unit</t>
  </si>
  <si>
    <t xml:space="preserve">Vehicles </t>
  </si>
  <si>
    <t xml:space="preserve">Procurement of Vehicles </t>
  </si>
  <si>
    <t>Each</t>
  </si>
  <si>
    <t>Hiring of Vehicles(Monthly &amp; Daily)</t>
  </si>
  <si>
    <t>Motor Cycles</t>
  </si>
  <si>
    <t>POL for Vehicles and Motor Cycles</t>
  </si>
  <si>
    <t>Maintenance of Vehicles/Motor Cycles etc</t>
  </si>
  <si>
    <t>Sub total Vehicles</t>
  </si>
  <si>
    <t>Equipments</t>
  </si>
  <si>
    <t xml:space="preserve">Computer Desktop </t>
  </si>
  <si>
    <t>Printer,Scaner cum Photocopier (Large)</t>
  </si>
  <si>
    <t>Printer,Scaner cum Photocopier (small )</t>
  </si>
  <si>
    <t>Scanner</t>
  </si>
  <si>
    <t>Air conditioners</t>
  </si>
  <si>
    <t>Water filters (Aqua guard)</t>
  </si>
  <si>
    <t>Water Coolers</t>
  </si>
  <si>
    <t>Ceiling fans/wall mounted/pedestral</t>
  </si>
  <si>
    <t>Genset, silent mode</t>
  </si>
  <si>
    <t>Invertors</t>
  </si>
  <si>
    <t>Cameras</t>
  </si>
  <si>
    <t>EPBX Box</t>
  </si>
  <si>
    <t>Fax Machine</t>
  </si>
  <si>
    <t>V sat / Broadband connection</t>
  </si>
  <si>
    <t>Intercom</t>
  </si>
  <si>
    <t>Handycam</t>
  </si>
  <si>
    <t>Digital cameras</t>
  </si>
  <si>
    <t>Mobile</t>
  </si>
  <si>
    <t>TV</t>
  </si>
  <si>
    <t>LCD projector</t>
  </si>
  <si>
    <t>Other equipment /a</t>
  </si>
  <si>
    <t>Furniture set</t>
  </si>
  <si>
    <t>Office Renovation</t>
  </si>
  <si>
    <t>Sub total Equipments</t>
  </si>
  <si>
    <t>Surveys, audits and TA</t>
  </si>
  <si>
    <t>1. Surveys and studies</t>
  </si>
  <si>
    <t>Baseline survey /b</t>
  </si>
  <si>
    <t>RIMS baseline, MTR and endline</t>
  </si>
  <si>
    <t>survey</t>
  </si>
  <si>
    <t>Annual outcome survey</t>
  </si>
  <si>
    <t>MTR survey</t>
  </si>
  <si>
    <t>PCR study</t>
  </si>
  <si>
    <t>Other studies</t>
  </si>
  <si>
    <t>Subtotal Surveys and studies</t>
  </si>
  <si>
    <t/>
  </si>
  <si>
    <t>Audits</t>
  </si>
  <si>
    <t>Statutory audits</t>
  </si>
  <si>
    <t>Preparation of Finance Manual /c</t>
  </si>
  <si>
    <t>Subtotal Audits</t>
  </si>
  <si>
    <t>Technical assistance</t>
  </si>
  <si>
    <t>Staff recruitment expenses</t>
  </si>
  <si>
    <t>MPA Staff &amp; NGO recruitment expenses</t>
  </si>
  <si>
    <t>Subtotal Technical assistance</t>
  </si>
  <si>
    <t>Sub total Surveys, audits and TA</t>
  </si>
  <si>
    <t>Staff Salary and Allowances</t>
  </si>
  <si>
    <t>Staff salary</t>
  </si>
  <si>
    <t>State Programme Director</t>
  </si>
  <si>
    <t>Deputy Programme Director</t>
  </si>
  <si>
    <t>Revenue Officer (Land rights) /d</t>
  </si>
  <si>
    <t>Senior Engineer</t>
  </si>
  <si>
    <t>Manager Finance</t>
  </si>
  <si>
    <t>PO(NRM)</t>
  </si>
  <si>
    <t>PO( L &amp; C)</t>
  </si>
  <si>
    <t>PO(CB, Gender &amp;Nutrition)</t>
  </si>
  <si>
    <t>Manager ( MIS and M&amp;E)</t>
  </si>
  <si>
    <t>PO(CI &amp; RF)</t>
  </si>
  <si>
    <t>Manager( GIS)</t>
  </si>
  <si>
    <t>System Analyst</t>
  </si>
  <si>
    <t>Manager, Communications &amp; KM</t>
  </si>
  <si>
    <t>Accounts Assistants</t>
  </si>
  <si>
    <t>Project Assistant MIS</t>
  </si>
  <si>
    <t>Executive Assistants</t>
  </si>
  <si>
    <t>Support staff</t>
  </si>
  <si>
    <t>Sub total Staff Salary</t>
  </si>
  <si>
    <t xml:space="preserve">Staff Allowances and Salary Enhancement  </t>
  </si>
  <si>
    <t>Travel allowance including DA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</si>
  <si>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</si>
  <si>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</si>
  <si>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</si>
  <si>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</si>
  <si>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</si>
  <si>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Sub total Staff Allowances</t>
  </si>
  <si>
    <t>Sub total Staff Salary &amp; Allowances</t>
  </si>
  <si>
    <t>Office operating costs</t>
  </si>
  <si>
    <t>Books and Periodicals</t>
  </si>
  <si>
    <t>Professional &amp; Legal Charges</t>
  </si>
  <si>
    <t>Memberships and Subscription</t>
  </si>
  <si>
    <t>Bank Charges</t>
  </si>
  <si>
    <t>Rates and Taxes</t>
  </si>
  <si>
    <t>Printing and Stationery</t>
  </si>
  <si>
    <t>Postage and Telegram</t>
  </si>
  <si>
    <t>Insurance of Assets</t>
  </si>
  <si>
    <t>Arbitation Charges</t>
  </si>
  <si>
    <t>Hiring of Security Services</t>
  </si>
  <si>
    <t>Hiring of Auxiliary Services</t>
  </si>
  <si>
    <t>Office operating expenses</t>
  </si>
  <si>
    <t>Office Rent</t>
  </si>
  <si>
    <t>Sub total Office Operating Costs</t>
  </si>
  <si>
    <t>Bycycles</t>
  </si>
  <si>
    <t>Ceiling fans</t>
  </si>
  <si>
    <t>Surveys, audits and Techinical Assistant(TA)</t>
  </si>
  <si>
    <t>Survey and Studies</t>
  </si>
  <si>
    <t xml:space="preserve">Sub total Surveys,Audits </t>
  </si>
  <si>
    <t>Sub total TA Asst Engineers</t>
  </si>
  <si>
    <t>Staff salary (Regular)</t>
  </si>
  <si>
    <t>Special Officer</t>
  </si>
  <si>
    <t>Junior Engineer (5 Regular)</t>
  </si>
  <si>
    <t>Junior Agricultural Officer</t>
  </si>
  <si>
    <t>Senior Clerk or Accountant (6 Regular)</t>
  </si>
  <si>
    <t>Junier Clerk (Accountants) (10 Regular)</t>
  </si>
  <si>
    <t>Field Assistant (Nutrition focal point) (9 Regular)</t>
  </si>
  <si>
    <t>Drivers</t>
  </si>
  <si>
    <t>Peons</t>
  </si>
  <si>
    <t>Sub total Staff Salary (Regular)</t>
  </si>
  <si>
    <t>Staff Allowances (Regular)</t>
  </si>
  <si>
    <t>Travel allowance</t>
  </si>
  <si>
    <t>Deputation Hardship Allowance</t>
  </si>
  <si>
    <t>Obligatory provisions /e</t>
  </si>
  <si>
    <t>Sub total  staff  Allowances(Regular)</t>
  </si>
  <si>
    <t>Staff salary (Contratual)</t>
  </si>
  <si>
    <t>Project Managers (17 contractual)</t>
  </si>
  <si>
    <t>Junior Agriculture Officer (17 Contratual)</t>
  </si>
  <si>
    <t>Accountants (17 Contractual)</t>
  </si>
  <si>
    <t>Social Mobiliser(17 Contratual)</t>
  </si>
  <si>
    <t>MIS Assistant -(DEO) (17 Contractual)</t>
  </si>
  <si>
    <t>Sub total staff Salary(Contractual)</t>
  </si>
  <si>
    <t>Obligatory provisions/Salary Enhancement  /e</t>
  </si>
  <si>
    <t>Sub total staff Allowances(Contractual)</t>
  </si>
  <si>
    <t>Construction and Renovation of Buildings</t>
  </si>
  <si>
    <t>New Office buildings /a</t>
  </si>
  <si>
    <t>Renovation of existing buildings</t>
  </si>
  <si>
    <t>Camp offices /b</t>
  </si>
  <si>
    <t>No of units</t>
  </si>
  <si>
    <t xml:space="preserve"> Micro-Project Agency  Unit</t>
  </si>
  <si>
    <t>Start up workshop</t>
  </si>
  <si>
    <t>OPELIP startup at state level</t>
  </si>
  <si>
    <t>event</t>
  </si>
  <si>
    <t>MPA level</t>
  </si>
  <si>
    <t>Subtotal Start up workshop</t>
  </si>
  <si>
    <t>at state level</t>
  </si>
  <si>
    <t>meeting</t>
  </si>
  <si>
    <t>at MPA level /a</t>
  </si>
  <si>
    <t>Subtotal Monthly review meetings</t>
  </si>
  <si>
    <t>Learning and sharing workshop</t>
  </si>
  <si>
    <t>Quality workshop at GP level /b</t>
  </si>
  <si>
    <t>Quality workshop at MPA level /c</t>
  </si>
  <si>
    <t>Quality workshop at PMU level /d</t>
  </si>
  <si>
    <t>Subtotal Learning and sharing workshop</t>
  </si>
  <si>
    <t>Review workshop</t>
  </si>
  <si>
    <t>MTR review</t>
  </si>
  <si>
    <t>PCR review workshop</t>
  </si>
  <si>
    <t>Subtotal Review workshop</t>
  </si>
  <si>
    <t>Training</t>
  </si>
  <si>
    <t>RIMS and M&amp;E state level training</t>
  </si>
  <si>
    <t>RIMS and M&amp;E training at MPA level</t>
  </si>
  <si>
    <t>Annual Outcome survey training</t>
  </si>
  <si>
    <t>KAPS survey training</t>
  </si>
  <si>
    <t>Subtotal Training</t>
  </si>
  <si>
    <t>M&amp;E support</t>
  </si>
  <si>
    <t>PME consultants</t>
  </si>
  <si>
    <t>Participatory M&amp;E consultant</t>
  </si>
  <si>
    <t>Concurrent monitoring by external Agency</t>
  </si>
  <si>
    <t>Subtotal Concurrent monitoring /f</t>
  </si>
  <si>
    <t>Monitoring and Evaluation and KM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</si>
  <si>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</si>
  <si>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</si>
  <si>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</si>
  <si>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</si>
  <si>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</si>
  <si>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</si>
  <si>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</si>
  <si>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</si>
  <si>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</si>
  <si>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</si>
  <si>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</si>
  <si>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>Subcomponent:4.3</t>
  </si>
  <si>
    <t>Subcomponent:4.2</t>
  </si>
  <si>
    <t xml:space="preserve"> Project management Unit</t>
  </si>
  <si>
    <t xml:space="preserve">Subcomponent:4.1 </t>
  </si>
  <si>
    <t xml:space="preserve"> Drudgery Reduction</t>
  </si>
  <si>
    <t>Subcomponent:3.2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</si>
  <si>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</si>
  <si>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</si>
  <si>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</si>
  <si>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</si>
  <si>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</si>
  <si>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</si>
  <si>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</si>
  <si>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</si>
  <si>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</si>
  <si>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</si>
  <si>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</si>
  <si>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</si>
  <si>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 xml:space="preserve">Subcomponent:1.2 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</si>
  <si>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</si>
  <si>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</si>
  <si>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</si>
  <si>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</si>
  <si>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</si>
  <si>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</si>
  <si>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</si>
  <si>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</si>
  <si>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</si>
  <si>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</si>
  <si>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</si>
  <si>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</si>
  <si>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</si>
  <si>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</si>
  <si>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</si>
  <si>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</si>
  <si>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</si>
  <si>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</si>
  <si>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</si>
  <si>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</si>
  <si>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</si>
  <si>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Responsible</t>
  </si>
  <si>
    <t>Implemented by</t>
  </si>
  <si>
    <t>NGO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</si>
  <si>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</si>
  <si>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</si>
  <si>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</si>
  <si>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</si>
  <si>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</si>
  <si>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</si>
  <si>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</si>
  <si>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IAY%</t>
  </si>
  <si>
    <t>NHM%</t>
  </si>
  <si>
    <t>Benificiary%</t>
  </si>
  <si>
    <t>Other %</t>
  </si>
  <si>
    <t>Amount(INR)</t>
  </si>
  <si>
    <t>Source of Fund</t>
  </si>
  <si>
    <t>IFAD ( 80% )</t>
  </si>
  <si>
    <t>CCD ( 25% ), OTHER ( 25% )</t>
  </si>
  <si>
    <t>IFAD ( 100% )</t>
  </si>
  <si>
    <t>IFAD ( 50% )</t>
  </si>
  <si>
    <t>IFAD ( 80% ), BEN ( 10% )</t>
  </si>
  <si>
    <t>IFAD ( 80% ), CCD ( 20% )</t>
  </si>
  <si>
    <t>IFAD(80%)</t>
  </si>
  <si>
    <t>CCD ( 90% )</t>
  </si>
  <si>
    <t>BEN ( 5% ), CCD ( 45% ), SCA ( 45% )</t>
  </si>
  <si>
    <t>IFAD ( 80% ), BEN ( 20% )</t>
  </si>
  <si>
    <t>IFAD ( 80% ), BEN (10%)</t>
  </si>
  <si>
    <t>IFAD ( 80% ), SCA ( 20% )</t>
  </si>
  <si>
    <t>IFAD ( 80% ), CCD ( 10% )</t>
  </si>
  <si>
    <t>BEN ( 10% ), IFAD(80%)</t>
  </si>
  <si>
    <t>As per Cost Tab</t>
  </si>
  <si>
    <t>Operating cost to VDC</t>
  </si>
  <si>
    <t>Monthly</t>
  </si>
  <si>
    <t xml:space="preserve">Workshop, review meetings /f 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</si>
  <si>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</si>
  <si>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</si>
  <si>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</si>
  <si>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</si>
  <si>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</si>
  <si>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</si>
  <si>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</si>
  <si>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</si>
  <si>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</si>
  <si>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</si>
  <si>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</si>
  <si>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</si>
  <si>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 xml:space="preserve">IFAD (50% ) </t>
  </si>
  <si>
    <t xml:space="preserve">NRM Training </t>
  </si>
  <si>
    <t xml:space="preserve">Agriculture Training </t>
  </si>
  <si>
    <t>Horticulture Training</t>
  </si>
  <si>
    <t xml:space="preserve">Livestock Training </t>
  </si>
  <si>
    <t xml:space="preserve">Accounts training </t>
  </si>
  <si>
    <t xml:space="preserve">MGNREGA </t>
  </si>
  <si>
    <t>MEM &amp; IGA</t>
  </si>
  <si>
    <t>NB:</t>
  </si>
  <si>
    <t xml:space="preserve"> 1.1. Community Institutions</t>
  </si>
  <si>
    <t>\a Cost inclusive of the service tax of 12.5%</t>
  </si>
  <si>
    <t>\b Wages at INR 4500/month for 80 MPW from April 2014 to March 2015</t>
  </si>
  <si>
    <t>\c 10 from PMU and 3 each from MPA</t>
  </si>
  <si>
    <t>\d 2 each from PMU and MPA</t>
  </si>
  <si>
    <t>\e one each from MPA and NGO</t>
  </si>
  <si>
    <t>\f 5 from each MPA and 12 from PMU</t>
  </si>
  <si>
    <t>\g 4 persons per MPA for 5 days</t>
  </si>
  <si>
    <t>\h 4 person per MPA for 2 days</t>
  </si>
  <si>
    <t>\i 4 person per MPA for one day</t>
  </si>
  <si>
    <t>\j One orientation training</t>
  </si>
  <si>
    <t>\k Two day training</t>
  </si>
  <si>
    <t>\l A two day training</t>
  </si>
  <si>
    <t>\m 4 person per village</t>
  </si>
  <si>
    <t>\n 4 person per village</t>
  </si>
  <si>
    <t xml:space="preserve"> 1.2. Stregthening SHGs and Rural Finance</t>
  </si>
  <si>
    <t>\b 3 per MPA</t>
  </si>
  <si>
    <t>\c 3 per MPA</t>
  </si>
  <si>
    <t>\d 6 staff per MPA</t>
  </si>
  <si>
    <t>\e Two women per village</t>
  </si>
  <si>
    <t>\f GP level cluster forums; 10 per GPLF and 2 from each village</t>
  </si>
  <si>
    <t>\g One GPLF for each Gram Panchayat and 30 person from each GPLF</t>
  </si>
  <si>
    <t>\h 3 persons from each GPLF</t>
  </si>
  <si>
    <t>\i vrf-vulnerability reduction fund</t>
  </si>
  <si>
    <t>\j SHG member</t>
  </si>
  <si>
    <t>\k for piloting two cooperatives</t>
  </si>
  <si>
    <t>\l 200 kg capacity bins per SHG targeted to PTG communities.</t>
  </si>
  <si>
    <t>\m 75 kg dal per SHG per year for 2 year period;</t>
  </si>
  <si>
    <t>\n Incentive to girls for marriage after 18 year</t>
  </si>
  <si>
    <t xml:space="preserve"> 2.1. Natural Resource Management</t>
  </si>
  <si>
    <t>\a A group of 15 to 20 persons from each village, for a 3 year period</t>
  </si>
  <si>
    <t>\b one event day</t>
  </si>
  <si>
    <t>\c one event day</t>
  </si>
  <si>
    <t>\d 3 events one day each</t>
  </si>
  <si>
    <t>\e Survey and demarcation of land for allotting land use rights</t>
  </si>
  <si>
    <t>\f Actual reimbursement</t>
  </si>
  <si>
    <t>\g Approx 20 ha of arable land, about 40 households per village;</t>
  </si>
  <si>
    <t>\h each irrigates about 4 ha and benefits 20 households</t>
  </si>
  <si>
    <t xml:space="preserve"> 2.2. Food and Nutrition Security</t>
  </si>
  <si>
    <t>\a Covered under Table 2.2</t>
  </si>
  <si>
    <t>\c Two demo per village for 3 year period</t>
  </si>
  <si>
    <t>\d at least 2 FFS from each village</t>
  </si>
  <si>
    <t>\e for one of three KVKs under OUAT</t>
  </si>
  <si>
    <t>\g cultivation of nutrrition-dense crops; cost for supply of seeds, tools etc</t>
  </si>
  <si>
    <t xml:space="preserve"> 2.3. Livelihoods Improvement</t>
  </si>
  <si>
    <t>\b 2 CSP per GP and training for 45 days</t>
  </si>
  <si>
    <t>\c focus on pulses, oilseeds and millets</t>
  </si>
  <si>
    <t>\d 2 per GP; cost inclusive of tools, seeds and low cost drip irrigation for a 400 sq ft area etc</t>
  </si>
  <si>
    <t>\e 2 per GP</t>
  </si>
  <si>
    <t>\f two CSP per GP; cost inclusive of shed, feed, chicks, wages</t>
  </si>
  <si>
    <t>\g Two camp per year</t>
  </si>
  <si>
    <t>\h all PTG households covered; support includes seeds, tools,training etc</t>
  </si>
  <si>
    <t>\i Unspecified units; a lumpsum provision</t>
  </si>
  <si>
    <t xml:space="preserve"> 3.1. Community Infrastructure</t>
  </si>
  <si>
    <t>\a 50% of villages</t>
  </si>
  <si>
    <t>\b to be operated by any group.</t>
  </si>
  <si>
    <t>\c to be operated by a group, CSP or SHG</t>
  </si>
  <si>
    <t xml:space="preserve"> 3.2. Drudgery Reduction</t>
  </si>
  <si>
    <t>\a 20 ha plot in each village &amp; managed by women' group; cost inclusive of wages for 2 persons for 200 days plus planting materials</t>
  </si>
  <si>
    <t>\b at each GP and to be managed by SHG or VDC; beneficiaries contribution in the form of labour</t>
  </si>
  <si>
    <t>\c Organised by youth groups in respective GP</t>
  </si>
  <si>
    <t>\d This is provided under Table 3.1, Community infrastructure</t>
  </si>
  <si>
    <t>\e Fencing the sacred area within villages</t>
  </si>
  <si>
    <t xml:space="preserve"> 4.1. Project Management Unit</t>
  </si>
  <si>
    <t>\a fax machine, broadband connection, intercom, handycam, digital cameras,mobile, TV, LCD projector etc</t>
  </si>
  <si>
    <t>\b Baseline survey using census approach;</t>
  </si>
  <si>
    <t>\c Manual preparation, training to accountants etc</t>
  </si>
  <si>
    <t>\d Services of a Deputy Secretary from the Revenue Department</t>
  </si>
  <si>
    <t>\e  Conveyance allowance, HRA, Medical Allowance, EPF- as per Govt., Communication allowance,etc</t>
  </si>
  <si>
    <t>\f such as EPF, leave salary, gratuity</t>
  </si>
  <si>
    <t xml:space="preserve"> 4.2. Micro-Project Agency  Unit</t>
  </si>
  <si>
    <t>\a with an area of 90 m3</t>
  </si>
  <si>
    <t>\b with an area of 135 m3</t>
  </si>
  <si>
    <t>\c fax machine, broadband connection, intercom, handycam, digital cameras, TV, LCD projector etc</t>
  </si>
  <si>
    <t>\e such as EPF, leave salary, gratuity, medical, insurance etc</t>
  </si>
  <si>
    <t xml:space="preserve"> 4.3. Monitoring and evaluation and KM</t>
  </si>
  <si>
    <t>\a 204 meetings per year for 17 MPAs</t>
  </si>
  <si>
    <t>\b one annual workshop at each GP</t>
  </si>
  <si>
    <t>\c Quarterly workshop at each MPA</t>
  </si>
  <si>
    <t>\d Quarlerly workshops</t>
  </si>
  <si>
    <t>\e website, software,  email ids etc.</t>
  </si>
  <si>
    <t>\f to be carried out by external agencies on quarterly basis</t>
  </si>
  <si>
    <t>Remarks</t>
  </si>
  <si>
    <t>2 Days training per VDA @750 for 4 Persons</t>
  </si>
  <si>
    <t>4 Persons for all VDA @ 750 for one day</t>
  </si>
  <si>
    <t>Funds already released for VDP</t>
  </si>
  <si>
    <t>Total VDA/VDP</t>
  </si>
  <si>
    <t>EPA Completed</t>
  </si>
  <si>
    <t xml:space="preserve">LS/Group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</si>
  <si>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Bench Terracing</t>
  </si>
  <si>
    <t>Field bunding</t>
  </si>
  <si>
    <t>WAT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</si>
  <si>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</si>
  <si>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</si>
  <si>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</si>
  <si>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</si>
  <si>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</si>
  <si>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</si>
  <si>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</si>
  <si>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</si>
  <si>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Land Levelling/development</t>
  </si>
  <si>
    <t>Earthen Canal</t>
  </si>
  <si>
    <t>Water Harvesting Structure</t>
  </si>
  <si>
    <t>River Lift</t>
  </si>
  <si>
    <t>Mango Plantation</t>
  </si>
  <si>
    <t>Lemon Grass</t>
  </si>
  <si>
    <t>Hill Broom</t>
  </si>
  <si>
    <t>Litchi</t>
  </si>
  <si>
    <t>Orange</t>
  </si>
  <si>
    <t>Guava</t>
  </si>
  <si>
    <t>Pine Apple</t>
  </si>
  <si>
    <t>Banana</t>
  </si>
  <si>
    <t>Amla</t>
  </si>
  <si>
    <t>Ground Nut</t>
  </si>
  <si>
    <t>K Lime</t>
  </si>
  <si>
    <t>Maize</t>
  </si>
  <si>
    <t>Ragi</t>
  </si>
  <si>
    <t>Mustard</t>
  </si>
  <si>
    <t>Sun Flower</t>
  </si>
  <si>
    <t>Arhar</t>
  </si>
  <si>
    <t>Black Gram</t>
  </si>
  <si>
    <t>Green Gram</t>
  </si>
  <si>
    <t>Yam</t>
  </si>
  <si>
    <t>Potato</t>
  </si>
  <si>
    <t>Onion</t>
  </si>
  <si>
    <t>Garlic</t>
  </si>
  <si>
    <t>Turmaric</t>
  </si>
  <si>
    <t>Minor Millet</t>
  </si>
  <si>
    <t>Ginger</t>
  </si>
  <si>
    <t>Horsegram</t>
  </si>
  <si>
    <t>Paddy (Line Sowing, Critical Intervention)</t>
  </si>
  <si>
    <t>Mushroom</t>
  </si>
  <si>
    <t>Hand Pumps</t>
  </si>
  <si>
    <t>Household Gas Connection (Ujwala)</t>
  </si>
  <si>
    <t>Tamarind Deseeding</t>
  </si>
  <si>
    <t>Lemongrass oil distillation process</t>
  </si>
  <si>
    <t>Ragi processing &amp; Biscuit making</t>
  </si>
  <si>
    <t>Dal Processing Unit</t>
  </si>
  <si>
    <t>Maize Thresing Unit</t>
  </si>
  <si>
    <t>Oil Extration Unit</t>
  </si>
  <si>
    <t>HH Drinking Water Supply</t>
  </si>
  <si>
    <t>Hill Broom Binding Unit</t>
  </si>
  <si>
    <t>Pine Apple Processing Unit</t>
  </si>
  <si>
    <t>Bee Keeping Unit</t>
  </si>
  <si>
    <t>Wild Honey Collection Equipment</t>
  </si>
  <si>
    <t>Rice Processing Unit</t>
  </si>
  <si>
    <t>Mango Processsing Unit (Amchoor)</t>
  </si>
  <si>
    <t>Jack Fruit Processing Unit</t>
  </si>
  <si>
    <t>Innovative Model</t>
  </si>
  <si>
    <t>DKDA,Parsali</t>
  </si>
  <si>
    <t>Niger</t>
  </si>
  <si>
    <t>Brinjal</t>
  </si>
  <si>
    <t>Tomato</t>
  </si>
  <si>
    <t>Ivy guard</t>
  </si>
  <si>
    <t>Pointed Guard</t>
  </si>
  <si>
    <t>Spine Guard</t>
  </si>
  <si>
    <t>Other Vegetables</t>
  </si>
  <si>
    <t>Soure</t>
  </si>
  <si>
    <t>Check Dam</t>
  </si>
  <si>
    <t>Sweet Corn</t>
  </si>
  <si>
    <t>Brocoli</t>
  </si>
  <si>
    <t>Marigold</t>
  </si>
  <si>
    <t>Ginger Slicing</t>
  </si>
  <si>
    <t>Turmeric processing unit</t>
  </si>
  <si>
    <t>Model Nursery</t>
  </si>
  <si>
    <t>Piscuculture</t>
  </si>
  <si>
    <t xml:space="preserve">Lac cultivation </t>
  </si>
  <si>
    <t>Sericulture</t>
  </si>
  <si>
    <t xml:space="preserve">Integrated Farming </t>
  </si>
  <si>
    <t>Total village</t>
  </si>
  <si>
    <t xml:space="preserve">Documentation &amp; creative writing </t>
  </si>
  <si>
    <t>Earthen GC</t>
  </si>
  <si>
    <t>Community Tank Rennovation</t>
  </si>
  <si>
    <t>Ghat Cutting roads</t>
  </si>
  <si>
    <t>Duckery(1000 birds)</t>
  </si>
  <si>
    <t>Mechanised Sabai rope making machine</t>
  </si>
  <si>
    <t>Bambbo Craft</t>
  </si>
  <si>
    <t>Information-cum-Culture  Centre in Model villages (MPA)</t>
  </si>
  <si>
    <t>Micro-Project Agency  Unit</t>
  </si>
  <si>
    <t xml:space="preserve">AWP&amp;B Preparation </t>
  </si>
  <si>
    <t>Cow Shed</t>
  </si>
  <si>
    <t>Renovation of Dug Well</t>
  </si>
  <si>
    <t>Hill Broom Binding</t>
  </si>
  <si>
    <t>mds</t>
  </si>
  <si>
    <t>Sweet Potato</t>
  </si>
  <si>
    <t>Floride Filters in Tubewells</t>
  </si>
  <si>
    <t>Km</t>
  </si>
  <si>
    <t>Improvement of Road</t>
  </si>
  <si>
    <t>Improvement of Foot Path (Bush Cutting)</t>
  </si>
  <si>
    <t>Drain</t>
  </si>
  <si>
    <t>Renovation of Multi-purpose community hall</t>
  </si>
  <si>
    <t>Field Channel</t>
  </si>
  <si>
    <t>Goatery Shed</t>
  </si>
  <si>
    <t>Cabbage</t>
  </si>
  <si>
    <t>cauli flower</t>
  </si>
  <si>
    <t>Pumpkin</t>
  </si>
  <si>
    <t>Guard Wall</t>
  </si>
  <si>
    <t>Stabilizer</t>
  </si>
  <si>
    <t>VDP preparation training /m (4 days )</t>
  </si>
  <si>
    <t>AWPB preparation training /n (2 days)</t>
  </si>
  <si>
    <t>Book-keeping training /o (2 days )</t>
  </si>
  <si>
    <t>Resource Agency cost for TOT for 4 modules</t>
  </si>
  <si>
    <t>Training of CRPs 9 days(3 days for each module)</t>
  </si>
  <si>
    <t>Training cost for organizing ToT for 3 from MPA &amp; 4 from NGO (4 days) 4 module</t>
  </si>
  <si>
    <t>CRP salary(1 for each GPLF))</t>
  </si>
  <si>
    <t xml:space="preserve">     </t>
  </si>
  <si>
    <t>Vegetables</t>
  </si>
  <si>
    <t>RMT</t>
  </si>
  <si>
    <t>Gabion Structure</t>
  </si>
  <si>
    <t>Percolation Tank</t>
  </si>
  <si>
    <t xml:space="preserve">Paddy Bio Diversity Black Rice/Sala Phula /Aromatic </t>
  </si>
  <si>
    <t xml:space="preserve">Nursery </t>
  </si>
  <si>
    <t>Other Misc.works</t>
  </si>
  <si>
    <t>Floricultutre,Mushroom &amp; Commercial Crop</t>
  </si>
  <si>
    <t>NADEP Compost Pit</t>
  </si>
  <si>
    <t>Roads, electricity &amp; Solar lighting</t>
  </si>
  <si>
    <t>Press Khali/Dana stitching unit</t>
  </si>
  <si>
    <t>Tal gud processing Unit</t>
  </si>
  <si>
    <t>Computers Laptop</t>
  </si>
  <si>
    <t>NREGS(100 %)</t>
  </si>
  <si>
    <t>Digital Camera (with GPS )</t>
  </si>
  <si>
    <t>Digital cameras( with GPS)</t>
  </si>
  <si>
    <t>NREGS(80 %), SCA(20%)</t>
  </si>
  <si>
    <t>RKVY(100 %)</t>
  </si>
  <si>
    <t>MGNREGS(100 %)</t>
  </si>
  <si>
    <t xml:space="preserve">other crops </t>
  </si>
  <si>
    <t>Entrepreneur Development Centre</t>
  </si>
  <si>
    <t>IFAD(100%)</t>
  </si>
  <si>
    <t>Seminar/Conference/Workshop/Speciallised Meeting/Training etc.</t>
  </si>
  <si>
    <t xml:space="preserve">Tablets </t>
  </si>
  <si>
    <t>Mobile Health Van</t>
  </si>
  <si>
    <t>Implementation of MGNREGA</t>
  </si>
  <si>
    <t>Micro Enterprise Management &amp;IGA</t>
  </si>
  <si>
    <t xml:space="preserve">MIS &amp; GIS Training </t>
  </si>
  <si>
    <t>Support to SHG to Run Catering services in MPAs</t>
  </si>
  <si>
    <t>Monthly review/Other  meetings etc</t>
  </si>
  <si>
    <t>Mushroom/Spawn Production Unit</t>
  </si>
  <si>
    <t>VDC</t>
  </si>
  <si>
    <t xml:space="preserve">Identification of the Landless, mapping land allocation </t>
  </si>
  <si>
    <t>Travel allowance/expenses including DA</t>
  </si>
  <si>
    <t>Conveyance Allowances</t>
  </si>
  <si>
    <t>Other office equipment ,  lights, UPS , battery etc. /a</t>
  </si>
  <si>
    <t>Tally software/renewal</t>
  </si>
  <si>
    <t>Drivers (supporting staff/ DEO)</t>
  </si>
  <si>
    <t>April 2019 to March 2020</t>
  </si>
  <si>
    <t>NRM /Agri/ Horti/ Livestock/Land rights</t>
  </si>
  <si>
    <t>Community mobilisation/leadership/documentation/institution building/, health &amp; nutrition /k</t>
  </si>
  <si>
    <t xml:space="preserve">VDA General body Meeting/Social Audit </t>
  </si>
  <si>
    <t>Others</t>
  </si>
  <si>
    <t>Beans</t>
  </si>
  <si>
    <t>Cashew New plus Maintenance</t>
  </si>
  <si>
    <t>Sesamam</t>
  </si>
  <si>
    <t>Coconut</t>
  </si>
  <si>
    <t>Per village</t>
  </si>
  <si>
    <t>Puffed Rice Mill/FlatternRice</t>
  </si>
  <si>
    <t>each(12000)</t>
  </si>
  <si>
    <t>Fly ash brick unit/Eco friendly brick unit</t>
  </si>
  <si>
    <t>Vermin Compost</t>
  </si>
  <si>
    <t>Sunhemp</t>
  </si>
  <si>
    <t>Rennovation of WHS</t>
  </si>
  <si>
    <t>Rennovation of Irrigation canal</t>
  </si>
  <si>
    <t>Rennovation of diversion wire</t>
  </si>
  <si>
    <t>Avenue Plantation</t>
  </si>
  <si>
    <t>SHG/Farmers</t>
  </si>
  <si>
    <t>Computer Desktop (work station)</t>
  </si>
  <si>
    <t>Server Set up &amp; Maintenance</t>
  </si>
  <si>
    <t>Postage and Telegram/telephone/internet</t>
  </si>
  <si>
    <t>Invertors/ Battery (Maintenance)</t>
  </si>
  <si>
    <t>Hiring of Vehicles including POL</t>
  </si>
  <si>
    <t>Social Security scheme ( all related schemes )</t>
  </si>
  <si>
    <t>VDA</t>
  </si>
  <si>
    <t>Refresher training for VAW &amp; LI
(7 days*8 max VAW &amp; LI*17MPA)</t>
  </si>
  <si>
    <t>Hiring of CB agency for TOT</t>
  </si>
  <si>
    <t>Arrangement of training &amp; other related expenses</t>
  </si>
  <si>
    <t>\a 7persons from  SHG by MPA</t>
  </si>
  <si>
    <t>GPLF / CLF building &amp; strenthening</t>
  </si>
  <si>
    <t>SHG equipment: A/c books as per OLM format (Cash book, member pass book &amp; Minutes book)</t>
  </si>
  <si>
    <t>Village</t>
  </si>
  <si>
    <t>%</t>
  </si>
  <si>
    <t>PVTG</t>
  </si>
  <si>
    <t xml:space="preserve">Cereal crops SRI for rice, millet  etc./b </t>
  </si>
  <si>
    <t xml:space="preserve">Pulses, oilseeds, tuber crops  etc./c </t>
  </si>
  <si>
    <t>CCD(100 %)</t>
  </si>
  <si>
    <t>IGA training 
(2 csp for 30days)</t>
  </si>
  <si>
    <t>Livestock  training /b (2CSP for 45 days)</t>
  </si>
  <si>
    <t>Agriculture and horticulture training /a (2CSP for 30 days)</t>
  </si>
  <si>
    <t>Support for Crops diversification /c (Agl)</t>
  </si>
  <si>
    <t>Support for Kitchen garden /d (Hort)</t>
  </si>
  <si>
    <t>SHG/CIG</t>
  </si>
  <si>
    <t>Poultry 
(100 bird unit)/ Mother Chick Unit</t>
  </si>
  <si>
    <t>Goat rearing unit (50 does+5 buck)-goat &amp; other cost</t>
  </si>
  <si>
    <t xml:space="preserve">Internal audit </t>
  </si>
  <si>
    <t>Advertisement / Publicity(IEC)/participation in Adivasi mela/other exibition etc.</t>
  </si>
  <si>
    <t>CCD (100%)</t>
  </si>
  <si>
    <t>Ragi Biodiversity</t>
  </si>
  <si>
    <t>lesser millet bio-diversity</t>
  </si>
  <si>
    <t>pulses bio diversity</t>
  </si>
  <si>
    <t>Okra</t>
  </si>
  <si>
    <t>cow pea/gourd</t>
  </si>
  <si>
    <t xml:space="preserve">Human Resource Cost RI &amp; Amin  </t>
  </si>
  <si>
    <t xml:space="preserve">Agency cost for Land survey &amp; training /software/application/equipments </t>
  </si>
  <si>
    <t>Ha</t>
  </si>
  <si>
    <t>Diversion drain</t>
  </si>
  <si>
    <t>DBI/Piped water conveyance system (Rs.10000/Ha.)</t>
  </si>
  <si>
    <t>Dug well /Borewell/Tubewell with solar lifting</t>
  </si>
  <si>
    <t>CCD-(75%), RKVY(25%)</t>
  </si>
  <si>
    <t>Culvert/Cause Weir/CDworks</t>
  </si>
  <si>
    <t>Art (100%)</t>
  </si>
  <si>
    <t>Connecting roads/Link road</t>
  </si>
  <si>
    <t>SCA (100%)</t>
  </si>
  <si>
    <t>Education infrastructure</t>
  </si>
  <si>
    <t>Social Mobilisation/Strengthening of SHG/VDC</t>
  </si>
  <si>
    <t>Capacity building of SHG/CLF/ GPLF /f</t>
  </si>
  <si>
    <t>Thematic exposure visits /a (17*7)</t>
  </si>
  <si>
    <t xml:space="preserve">Training on leadership &amp; governance /g </t>
  </si>
  <si>
    <t>CIF SHG/JLG /j</t>
  </si>
  <si>
    <t>Member</t>
  </si>
  <si>
    <t>LS-per MPA</t>
  </si>
  <si>
    <t>RKVY (100%)</t>
  </si>
  <si>
    <t>Reappropriated Annual Work Plan and Budget- From April 2019 to March 2020</t>
  </si>
  <si>
    <t>AWP&amp;B (in Rs.) Apr 19 to March 20</t>
  </si>
  <si>
    <t>Obligatory provisions /Salary Enhancement/arrear etc/e</t>
  </si>
  <si>
    <t>LCD /Pico projector with Screen</t>
  </si>
  <si>
    <t>Seminar/Conference/Specialised meeting (OLM)/Convergencce Meeting/Review meeting</t>
  </si>
  <si>
    <t xml:space="preserve">IFAD ( 80%) </t>
  </si>
  <si>
    <t>IFAD ( 80% ), CCD( 10% )</t>
  </si>
  <si>
    <t>IFAD( 75 % ),CCD( 15% ), BEN (10%)</t>
  </si>
  <si>
    <t>CCD ( 100% )</t>
  </si>
  <si>
    <t xml:space="preserve"> RWSS(100% )</t>
  </si>
  <si>
    <t>IAY ( 100% )</t>
  </si>
  <si>
    <t>Art ( 40%),SCA(30 %), CCD (30 %)</t>
  </si>
  <si>
    <t>IFAD ( 75% ), BEN ( 10% )</t>
  </si>
  <si>
    <t>Farm Pond/Water Harvestng Structure for livelihood</t>
  </si>
  <si>
    <t>Support for SHG,equipment for NTFP /MFP/SAP collection /j</t>
  </si>
  <si>
    <t>Training for VDC President , Secretary &amp; Treasurer</t>
  </si>
  <si>
    <t>per_day</t>
  </si>
  <si>
    <t>Nutri Smart Centre</t>
  </si>
  <si>
    <t>Eco cottage</t>
  </si>
  <si>
    <t xml:space="preserve"> CCD ( 100% )</t>
  </si>
  <si>
    <t>Vermin Compost-making /c</t>
  </si>
  <si>
    <t>NB</t>
  </si>
  <si>
    <t>Gravity water supply/ Drinking Water  with Solar</t>
  </si>
  <si>
    <t>Power tillers, Agro service Centre /c</t>
  </si>
  <si>
    <t>Working shed for Producer Groups and business activity centre for NTFP/MFP/SAP etc.  /k</t>
  </si>
  <si>
    <t xml:space="preserve">Pico Hydro power </t>
  </si>
  <si>
    <r>
      <t>POL for</t>
    </r>
    <r>
      <rPr>
        <b/>
        <u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Motor Cycles @Rs.1750/vehicle/month max.</t>
    </r>
  </si>
  <si>
    <t>household/group</t>
  </si>
  <si>
    <t>\o 4 person per village</t>
  </si>
  <si>
    <t xml:space="preserve">Plantation </t>
  </si>
  <si>
    <t xml:space="preserve">Cereal / millets crops development </t>
  </si>
  <si>
    <t>\f in particular for rain-fed and other  crops etc.</t>
  </si>
  <si>
    <t>\b 2 SHG/groups  per village for 3 year period</t>
  </si>
  <si>
    <t>\a 2 per GP; cost for wages foregone; 30 days training at any KVK/other state level institute</t>
  </si>
  <si>
    <t>\j one SHG/group  per GP</t>
  </si>
  <si>
    <t xml:space="preserve">\k set up near haat bazar </t>
  </si>
  <si>
    <t xml:space="preserve">\l Two month  training or duration as appicable </t>
  </si>
  <si>
    <t>\d Degree holding retired or fresh engineers; cost inclusive of DA and travel</t>
  </si>
  <si>
    <t>Technical Assistant (Asst Engineers (Degree-holders)  /d</t>
  </si>
  <si>
    <t>Sl. No</t>
  </si>
  <si>
    <t xml:space="preserve">Name of MPA </t>
  </si>
  <si>
    <t>Budget (Rs. In Lakhs)</t>
  </si>
  <si>
    <t>PVTG ( %)</t>
  </si>
  <si>
    <t>Village (%)</t>
  </si>
  <si>
    <t>Actual Budget (%)</t>
  </si>
  <si>
    <t>Ideal Budget (%)</t>
  </si>
  <si>
    <t xml:space="preserve">SUMMARY OF AWPB 2019-20 </t>
  </si>
  <si>
    <t>IFAD (80%)</t>
  </si>
  <si>
    <t>NREGA ( 100% )</t>
  </si>
  <si>
    <t>MIS support to MPA(SHG Software)</t>
  </si>
  <si>
    <t>Support to SHG/JLG</t>
  </si>
  <si>
    <t>Mixed Plantation</t>
  </si>
  <si>
    <t>Formation/organisation  and execution of FFS /d</t>
  </si>
  <si>
    <t>Poultry Breeding Unit (Kadaknath Variety)</t>
  </si>
  <si>
    <t xml:space="preserve">each </t>
  </si>
  <si>
    <t>Pigeon  Pea(Chana)/pea</t>
  </si>
  <si>
    <t>Household crop development(Sat din Sath Ghar) 7days 7 plots /g</t>
  </si>
  <si>
    <t>Kitchen gardens tools /Micro Irrigation (pipes. Storage, drips)/Fodder Garden/Azolla/Agro Forestry  /h</t>
  </si>
  <si>
    <t xml:space="preserve">household or group of households </t>
  </si>
  <si>
    <t>Designing  &amp; functioning of web site &amp; WEB GIS  , GIS Related Equpment/e</t>
  </si>
  <si>
    <t>Veterenary Tool kit for CSP/Prani  Sathi</t>
  </si>
  <si>
    <t>CSP &amp;PS</t>
  </si>
  <si>
    <t>Hiring of agency/consultant</t>
  </si>
  <si>
    <t>Audit of VDC @1800/VDC</t>
  </si>
  <si>
    <t>Promotion of agril  production Cluster critical input/soil health card</t>
  </si>
  <si>
    <t>Advertisement / Publicity/documentation</t>
  </si>
  <si>
    <r>
      <t>Animal health camps /</t>
    </r>
    <r>
      <rPr>
        <sz val="12"/>
        <color rgb="FFFF0000"/>
        <rFont val="Calibri"/>
        <family val="2"/>
        <scheme val="minor"/>
      </rPr>
      <t>User charges vaccine</t>
    </r>
    <r>
      <rPr>
        <sz val="12"/>
        <rFont val="Calibri"/>
        <family val="2"/>
        <scheme val="minor"/>
      </rPr>
      <t xml:space="preserve"> /</t>
    </r>
    <r>
      <rPr>
        <sz val="12"/>
        <color rgb="FFFF0000"/>
        <rFont val="Calibri"/>
        <family val="2"/>
        <scheme val="minor"/>
      </rPr>
      <t>fist aid mrdicin</t>
    </r>
    <r>
      <rPr>
        <sz val="12"/>
        <rFont val="Calibri"/>
        <family val="2"/>
        <scheme val="minor"/>
      </rPr>
      <t>e /g</t>
    </r>
  </si>
  <si>
    <t>palua processing unit</t>
  </si>
  <si>
    <t>BDA, Mudulipada</t>
  </si>
  <si>
    <t>CBDA, Sunabeda</t>
  </si>
  <si>
    <t>DDA, Kudumuluguma</t>
  </si>
  <si>
    <t>DKDA, Chatikona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</si>
</sst>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rgb="FF000000"/>
      <name val="Calibri"/>
      <family val="2"/>
    </font>
    <font>
      <u/>
      <sz val="18"/>
      <color rgb="FF000000"/>
      <name val="Calibri"/>
      <family val="2"/>
    </font>
    <font>
      <b/>
      <u/>
      <sz val="11"/>
      <color theme="1"/>
      <name val="Calibri"/>
      <family val="2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5">
    <xf numFmtId="0" fontId="0" fillId="0" borderId="0" xfId="0"/>
    <xf numFmtId="2" fontId="0" fillId="0" borderId="0" xfId="0" applyNumberFormat="1"/>
    <xf numFmtId="0" fontId="6" fillId="2" borderId="0" xfId="0" applyFont="1" applyFill="1"/>
    <xf numFmtId="2" fontId="6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/>
    <xf numFmtId="2" fontId="6" fillId="0" borderId="0" xfId="0" applyNumberFormat="1" applyFont="1"/>
    <xf numFmtId="0" fontId="7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0" fontId="10" fillId="4" borderId="0" xfId="0" applyFont="1" applyFill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top" wrapText="1"/>
    </xf>
    <xf numFmtId="0" fontId="14" fillId="0" borderId="0" xfId="0" applyFont="1"/>
    <xf numFmtId="1" fontId="14" fillId="0" borderId="0" xfId="0" applyNumberFormat="1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/>
    <xf numFmtId="1" fontId="14" fillId="0" borderId="1" xfId="0" applyNumberFormat="1" applyFont="1" applyBorder="1"/>
    <xf numFmtId="2" fontId="17" fillId="0" borderId="1" xfId="0" applyNumberFormat="1" applyFont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wrapText="1"/>
    </xf>
    <xf numFmtId="2" fontId="14" fillId="0" borderId="1" xfId="0" applyNumberFormat="1" applyFont="1" applyBorder="1" applyAlignment="1">
      <alignment horizontal="left" vertical="top"/>
    </xf>
    <xf numFmtId="4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 vertical="top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/>
    <xf numFmtId="166" fontId="14" fillId="0" borderId="1" xfId="0" applyNumberFormat="1" applyFont="1" applyBorder="1" applyAlignment="1">
      <alignment horizontal="left" vertical="top" wrapText="1"/>
    </xf>
    <xf numFmtId="0" fontId="15" fillId="6" borderId="4" xfId="0" applyFont="1" applyFill="1" applyBorder="1"/>
    <xf numFmtId="1" fontId="15" fillId="6" borderId="4" xfId="0" applyNumberFormat="1" applyFont="1" applyFill="1" applyBorder="1"/>
    <xf numFmtId="1" fontId="14" fillId="0" borderId="1" xfId="0" applyNumberFormat="1" applyFont="1" applyBorder="1" applyAlignment="1">
      <alignment horizontal="right"/>
    </xf>
    <xf numFmtId="0" fontId="15" fillId="6" borderId="1" xfId="0" applyFont="1" applyFill="1" applyBorder="1" applyAlignment="1">
      <alignment horizontal="left"/>
    </xf>
    <xf numFmtId="1" fontId="15" fillId="6" borderId="1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/>
    </xf>
    <xf numFmtId="1" fontId="15" fillId="9" borderId="1" xfId="0" applyNumberFormat="1" applyFont="1" applyFill="1" applyBorder="1" applyAlignment="1">
      <alignment horizontal="right"/>
    </xf>
    <xf numFmtId="4" fontId="15" fillId="9" borderId="1" xfId="0" applyNumberFormat="1" applyFont="1" applyFill="1" applyBorder="1" applyAlignment="1">
      <alignment horizontal="right"/>
    </xf>
    <xf numFmtId="0" fontId="15" fillId="0" borderId="0" xfId="0" applyFont="1"/>
    <xf numFmtId="0" fontId="13" fillId="0" borderId="1" xfId="0" applyFont="1" applyBorder="1" applyAlignment="1">
      <alignment horizontal="right"/>
    </xf>
    <xf numFmtId="4" fontId="14" fillId="0" borderId="1" xfId="0" applyNumberFormat="1" applyFont="1" applyBorder="1" applyAlignment="1">
      <alignment vertical="center"/>
    </xf>
    <xf numFmtId="4" fontId="15" fillId="11" borderId="1" xfId="0" applyNumberFormat="1" applyFont="1" applyFill="1" applyBorder="1" applyAlignment="1">
      <alignment vertical="top"/>
    </xf>
    <xf numFmtId="4" fontId="14" fillId="11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left" vertical="top"/>
    </xf>
    <xf numFmtId="4" fontId="15" fillId="0" borderId="1" xfId="0" applyNumberFormat="1" applyFont="1" applyBorder="1" applyAlignment="1">
      <alignment horizontal="left" vertical="top"/>
    </xf>
    <xf numFmtId="164" fontId="14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right" vertical="top"/>
    </xf>
    <xf numFmtId="164" fontId="15" fillId="6" borderId="4" xfId="0" applyNumberFormat="1" applyFont="1" applyFill="1" applyBorder="1"/>
    <xf numFmtId="4" fontId="14" fillId="0" borderId="0" xfId="0" applyNumberFormat="1" applyFont="1"/>
    <xf numFmtId="4" fontId="17" fillId="0" borderId="1" xfId="0" applyNumberFormat="1" applyFont="1" applyBorder="1" applyAlignment="1">
      <alignment horizontal="left" vertical="top"/>
    </xf>
    <xf numFmtId="4" fontId="15" fillId="0" borderId="1" xfId="0" applyNumberFormat="1" applyFont="1" applyBorder="1" applyAlignment="1">
      <alignment horizontal="center" vertical="top"/>
    </xf>
    <xf numFmtId="4" fontId="14" fillId="0" borderId="1" xfId="0" applyNumberFormat="1" applyFont="1" applyBorder="1"/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>
      <alignment horizontal="left" vertical="top"/>
    </xf>
    <xf numFmtId="3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vertical="top" wrapText="1"/>
    </xf>
    <xf numFmtId="0" fontId="11" fillId="0" borderId="0" xfId="0" applyFont="1"/>
    <xf numFmtId="1" fontId="15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" fontId="15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1" xfId="0" applyFont="1" applyBorder="1"/>
    <xf numFmtId="43" fontId="12" fillId="0" borderId="1" xfId="1" applyNumberFormat="1" applyFont="1" applyBorder="1"/>
    <xf numFmtId="43" fontId="14" fillId="4" borderId="1" xfId="1" applyNumberFormat="1" applyFont="1" applyFill="1" applyBorder="1" applyAlignment="1">
      <alignment vertical="top"/>
    </xf>
    <xf numFmtId="43" fontId="14" fillId="0" borderId="1" xfId="1" applyNumberFormat="1" applyFont="1" applyBorder="1"/>
    <xf numFmtId="0" fontId="12" fillId="0" borderId="11" xfId="0" applyFont="1" applyBorder="1" applyAlignment="1">
      <alignment vertical="top"/>
    </xf>
    <xf numFmtId="165" fontId="12" fillId="0" borderId="1" xfId="0" applyNumberFormat="1" applyFont="1" applyBorder="1"/>
    <xf numFmtId="4" fontId="15" fillId="0" borderId="4" xfId="0" applyNumberFormat="1" applyFont="1" applyBorder="1" applyAlignment="1">
      <alignment horizontal="center" vertical="top"/>
    </xf>
    <xf numFmtId="4" fontId="14" fillId="0" borderId="4" xfId="0" applyNumberFormat="1" applyFont="1" applyBorder="1"/>
    <xf numFmtId="0" fontId="15" fillId="0" borderId="1" xfId="0" applyFont="1" applyBorder="1"/>
    <xf numFmtId="0" fontId="15" fillId="0" borderId="4" xfId="0" applyFont="1" applyBorder="1" applyAlignment="1">
      <alignment horizontal="left" wrapText="1"/>
    </xf>
    <xf numFmtId="164" fontId="14" fillId="0" borderId="4" xfId="0" applyNumberFormat="1" applyFont="1" applyBorder="1" applyAlignment="1">
      <alignment horizontal="left"/>
    </xf>
    <xf numFmtId="164" fontId="14" fillId="0" borderId="4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166" fontId="14" fillId="0" borderId="4" xfId="0" applyNumberFormat="1" applyFont="1" applyBorder="1" applyAlignment="1">
      <alignment horizontal="left" vertical="top" wrapText="1"/>
    </xf>
    <xf numFmtId="0" fontId="14" fillId="0" borderId="4" xfId="0" applyFont="1" applyBorder="1"/>
    <xf numFmtId="43" fontId="14" fillId="0" borderId="4" xfId="1" applyNumberFormat="1" applyFont="1" applyBorder="1"/>
    <xf numFmtId="4" fontId="14" fillId="4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4" fontId="14" fillId="0" borderId="1" xfId="0" applyNumberFormat="1" applyFont="1" applyBorder="1" applyAlignment="1">
      <alignment horizontal="center" vertical="center"/>
    </xf>
    <xf numFmtId="4" fontId="15" fillId="11" borderId="1" xfId="0" applyNumberFormat="1" applyFont="1" applyFill="1" applyBorder="1" applyAlignment="1">
      <alignment horizontal="right" vertical="top"/>
    </xf>
    <xf numFmtId="4" fontId="14" fillId="11" borderId="1" xfId="0" applyNumberFormat="1" applyFont="1" applyFill="1" applyBorder="1" applyAlignment="1">
      <alignment horizontal="right" vertical="top"/>
    </xf>
    <xf numFmtId="1" fontId="15" fillId="11" borderId="1" xfId="0" applyNumberFormat="1" applyFont="1" applyFill="1" applyBorder="1" applyAlignment="1">
      <alignment horizontal="right" vertical="top"/>
    </xf>
    <xf numFmtId="1" fontId="14" fillId="11" borderId="1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/>
    <xf numFmtId="1" fontId="14" fillId="4" borderId="1" xfId="0" applyNumberFormat="1" applyFont="1" applyFill="1" applyBorder="1"/>
    <xf numFmtId="0" fontId="14" fillId="4" borderId="1" xfId="0" applyFont="1" applyFill="1" applyBorder="1"/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/>
    <xf numFmtId="1" fontId="15" fillId="6" borderId="1" xfId="0" applyNumberFormat="1" applyFont="1" applyFill="1" applyBorder="1"/>
    <xf numFmtId="4" fontId="15" fillId="6" borderId="1" xfId="0" applyNumberFormat="1" applyFont="1" applyFill="1" applyBorder="1"/>
    <xf numFmtId="0" fontId="14" fillId="4" borderId="1" xfId="0" applyFont="1" applyFill="1" applyBorder="1" applyAlignment="1">
      <alignment wrapText="1"/>
    </xf>
    <xf numFmtId="164" fontId="14" fillId="4" borderId="1" xfId="0" applyNumberFormat="1" applyFont="1" applyFill="1" applyBorder="1" applyAlignment="1">
      <alignment wrapText="1"/>
    </xf>
    <xf numFmtId="3" fontId="14" fillId="4" borderId="1" xfId="0" applyNumberFormat="1" applyFont="1" applyFill="1" applyBorder="1"/>
    <xf numFmtId="3" fontId="15" fillId="0" borderId="1" xfId="0" applyNumberFormat="1" applyFont="1" applyBorder="1"/>
    <xf numFmtId="4" fontId="15" fillId="0" borderId="1" xfId="0" applyNumberFormat="1" applyFont="1" applyBorder="1"/>
    <xf numFmtId="1" fontId="15" fillId="0" borderId="1" xfId="0" applyNumberFormat="1" applyFont="1" applyBorder="1"/>
    <xf numFmtId="0" fontId="15" fillId="4" borderId="4" xfId="0" applyFont="1" applyFill="1" applyBorder="1" applyAlignment="1">
      <alignment horizontal="left" wrapText="1"/>
    </xf>
    <xf numFmtId="164" fontId="14" fillId="4" borderId="4" xfId="0" applyNumberFormat="1" applyFont="1" applyFill="1" applyBorder="1" applyAlignment="1">
      <alignment horizontal="left"/>
    </xf>
    <xf numFmtId="164" fontId="14" fillId="4" borderId="4" xfId="0" applyNumberFormat="1" applyFont="1" applyFill="1" applyBorder="1" applyAlignment="1">
      <alignment horizontal="right" vertical="top"/>
    </xf>
    <xf numFmtId="4" fontId="14" fillId="4" borderId="4" xfId="0" applyNumberFormat="1" applyFont="1" applyFill="1" applyBorder="1" applyAlignment="1">
      <alignment horizontal="right" vertical="top"/>
    </xf>
    <xf numFmtId="166" fontId="14" fillId="4" borderId="4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/>
    <xf numFmtId="169" fontId="2" fillId="0" borderId="0" xfId="4" applyNumberFormat="1" applyFont="1" applyAlignment="1">
      <alignment horizontal="right"/>
    </xf>
    <xf numFmtId="169" fontId="15" fillId="0" borderId="9" xfId="4" applyNumberFormat="1" applyFont="1" applyBorder="1" applyAlignment="1">
      <alignment horizontal="right"/>
    </xf>
    <xf numFmtId="3" fontId="14" fillId="0" borderId="1" xfId="0" applyNumberFormat="1" applyFont="1" applyBorder="1" applyAlignment="1">
      <alignment vertical="center"/>
    </xf>
    <xf numFmtId="3" fontId="15" fillId="11" borderId="1" xfId="0" applyNumberFormat="1" applyFont="1" applyFill="1" applyBorder="1" applyAlignment="1">
      <alignment vertical="top"/>
    </xf>
    <xf numFmtId="3" fontId="14" fillId="11" borderId="1" xfId="0" applyNumberFormat="1" applyFont="1" applyFill="1" applyBorder="1" applyAlignment="1">
      <alignment vertical="top"/>
    </xf>
    <xf numFmtId="4" fontId="14" fillId="0" borderId="1" xfId="0" applyNumberFormat="1" applyFont="1" applyBorder="1" applyAlignment="1">
      <alignment vertical="top"/>
    </xf>
    <xf numFmtId="4" fontId="15" fillId="6" borderId="1" xfId="0" applyNumberFormat="1" applyFont="1" applyFill="1" applyBorder="1" applyAlignment="1">
      <alignment horizontal="right"/>
    </xf>
    <xf numFmtId="2" fontId="15" fillId="6" borderId="1" xfId="0" applyNumberFormat="1" applyFont="1" applyFill="1" applyBorder="1" applyAlignment="1">
      <alignment horizontal="right"/>
    </xf>
    <xf numFmtId="4" fontId="0" fillId="0" borderId="0" xfId="0" applyNumberFormat="1"/>
    <xf numFmtId="164" fontId="12" fillId="0" borderId="1" xfId="0" applyNumberFormat="1" applyFont="1" applyBorder="1" applyAlignment="1">
      <alignment horizontal="right" vertical="top" wrapText="1"/>
    </xf>
    <xf numFmtId="164" fontId="14" fillId="4" borderId="1" xfId="0" applyNumberFormat="1" applyFont="1" applyFill="1" applyBorder="1" applyAlignment="1">
      <alignment horizontal="left"/>
    </xf>
    <xf numFmtId="164" fontId="14" fillId="4" borderId="1" xfId="0" applyNumberFormat="1" applyFont="1" applyFill="1" applyBorder="1" applyAlignment="1">
      <alignment horizontal="right" vertical="top"/>
    </xf>
    <xf numFmtId="0" fontId="14" fillId="4" borderId="0" xfId="0" applyFont="1" applyFill="1"/>
    <xf numFmtId="43" fontId="14" fillId="4" borderId="4" xfId="1" applyNumberFormat="1" applyFont="1" applyFill="1" applyBorder="1"/>
    <xf numFmtId="1" fontId="14" fillId="4" borderId="1" xfId="0" applyNumberFormat="1" applyFont="1" applyFill="1" applyBorder="1" applyAlignment="1">
      <alignment horizontal="right" vertical="top"/>
    </xf>
    <xf numFmtId="1" fontId="15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0" fontId="14" fillId="7" borderId="0" xfId="0" applyFont="1" applyFill="1"/>
    <xf numFmtId="0" fontId="14" fillId="4" borderId="1" xfId="0" applyFont="1" applyFill="1" applyBorder="1" applyAlignment="1">
      <alignment vertical="top" wrapText="1"/>
    </xf>
    <xf numFmtId="4" fontId="15" fillId="6" borderId="1" xfId="0" applyNumberFormat="1" applyFont="1" applyFill="1" applyBorder="1" applyAlignment="1">
      <alignment vertical="top"/>
    </xf>
    <xf numFmtId="1" fontId="14" fillId="4" borderId="1" xfId="0" applyNumberFormat="1" applyFont="1" applyFill="1" applyBorder="1" applyAlignment="1">
      <alignment horizontal="right" vertical="top" wrapText="1"/>
    </xf>
    <xf numFmtId="4" fontId="14" fillId="4" borderId="1" xfId="0" applyNumberFormat="1" applyFont="1" applyFill="1" applyBorder="1" applyAlignment="1">
      <alignment vertical="top" wrapText="1"/>
    </xf>
    <xf numFmtId="3" fontId="14" fillId="4" borderId="1" xfId="0" applyNumberFormat="1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vertical="top"/>
    </xf>
    <xf numFmtId="3" fontId="14" fillId="4" borderId="1" xfId="0" applyNumberFormat="1" applyFont="1" applyFill="1" applyBorder="1" applyAlignment="1">
      <alignment vertical="top"/>
    </xf>
    <xf numFmtId="43" fontId="14" fillId="4" borderId="1" xfId="1" applyNumberFormat="1" applyFont="1" applyFill="1" applyBorder="1"/>
    <xf numFmtId="165" fontId="14" fillId="4" borderId="1" xfId="0" applyNumberFormat="1" applyFont="1" applyFill="1" applyBorder="1"/>
    <xf numFmtId="164" fontId="14" fillId="4" borderId="1" xfId="0" applyNumberFormat="1" applyFont="1" applyFill="1" applyBorder="1" applyAlignment="1">
      <alignment vertical="top" wrapText="1"/>
    </xf>
    <xf numFmtId="43" fontId="14" fillId="0" borderId="1" xfId="0" applyNumberFormat="1" applyFont="1" applyBorder="1"/>
    <xf numFmtId="1" fontId="15" fillId="11" borderId="1" xfId="0" applyNumberFormat="1" applyFont="1" applyFill="1" applyBorder="1" applyAlignment="1">
      <alignment horizontal="right"/>
    </xf>
    <xf numFmtId="4" fontId="15" fillId="11" borderId="1" xfId="0" applyNumberFormat="1" applyFont="1" applyFill="1" applyBorder="1" applyAlignment="1">
      <alignment horizontal="right"/>
    </xf>
    <xf numFmtId="4" fontId="15" fillId="11" borderId="1" xfId="0" applyNumberFormat="1" applyFont="1" applyFill="1" applyBorder="1"/>
    <xf numFmtId="3" fontId="15" fillId="11" borderId="1" xfId="0" applyNumberFormat="1" applyFont="1" applyFill="1" applyBorder="1"/>
    <xf numFmtId="1" fontId="14" fillId="0" borderId="1" xfId="0" applyNumberFormat="1" applyFont="1" applyBorder="1" applyAlignment="1">
      <alignment vertical="top"/>
    </xf>
    <xf numFmtId="3" fontId="14" fillId="0" borderId="1" xfId="0" applyNumberFormat="1" applyFont="1" applyBorder="1"/>
    <xf numFmtId="4" fontId="15" fillId="8" borderId="1" xfId="0" applyNumberFormat="1" applyFont="1" applyFill="1" applyBorder="1"/>
    <xf numFmtId="3" fontId="15" fillId="8" borderId="1" xfId="0" applyNumberFormat="1" applyFont="1" applyFill="1" applyBorder="1"/>
    <xf numFmtId="1" fontId="14" fillId="4" borderId="1" xfId="0" applyNumberFormat="1" applyFont="1" applyFill="1" applyBorder="1" applyAlignment="1">
      <alignment vertical="top"/>
    </xf>
    <xf numFmtId="43" fontId="14" fillId="4" borderId="1" xfId="0" applyNumberFormat="1" applyFont="1" applyFill="1" applyBorder="1"/>
    <xf numFmtId="164" fontId="15" fillId="6" borderId="1" xfId="0" applyNumberFormat="1" applyFont="1" applyFill="1" applyBorder="1"/>
    <xf numFmtId="4" fontId="20" fillId="4" borderId="1" xfId="0" applyNumberFormat="1" applyFont="1" applyFill="1" applyBorder="1" applyAlignment="1">
      <alignment horizontal="right" vertical="center"/>
    </xf>
    <xf numFmtId="4" fontId="19" fillId="4" borderId="1" xfId="0" applyNumberFormat="1" applyFont="1" applyFill="1" applyBorder="1" applyAlignment="1">
      <alignment horizontal="right" vertical="center"/>
    </xf>
    <xf numFmtId="43" fontId="14" fillId="0" borderId="4" xfId="0" applyNumberFormat="1" applyFont="1" applyBorder="1"/>
    <xf numFmtId="2" fontId="12" fillId="0" borderId="0" xfId="0" applyNumberFormat="1" applyFont="1" applyAlignment="1">
      <alignment horizontal="right"/>
    </xf>
    <xf numFmtId="0" fontId="12" fillId="8" borderId="0" xfId="0" applyFont="1" applyFill="1" applyAlignment="1">
      <alignment horizontal="right"/>
    </xf>
    <xf numFmtId="0" fontId="11" fillId="12" borderId="1" xfId="0" applyFont="1" applyFill="1" applyBorder="1" applyAlignment="1">
      <alignment horizontal="center" vertical="center" textRotation="90" wrapText="1"/>
    </xf>
    <xf numFmtId="0" fontId="11" fillId="12" borderId="1" xfId="0" applyFont="1" applyFill="1" applyBorder="1" applyAlignment="1">
      <alignment horizontal="left" vertical="top"/>
    </xf>
    <xf numFmtId="0" fontId="11" fillId="12" borderId="1" xfId="0" applyFont="1" applyFill="1" applyBorder="1" applyAlignment="1">
      <alignment horizontal="left" vertical="center"/>
    </xf>
    <xf numFmtId="4" fontId="11" fillId="12" borderId="1" xfId="0" applyNumberFormat="1" applyFont="1" applyFill="1" applyBorder="1" applyAlignment="1">
      <alignment horizontal="right" vertical="center"/>
    </xf>
    <xf numFmtId="3" fontId="11" fillId="12" borderId="1" xfId="0" applyNumberFormat="1" applyFont="1" applyFill="1" applyBorder="1" applyAlignment="1">
      <alignment horizontal="right" vertical="center"/>
    </xf>
    <xf numFmtId="1" fontId="15" fillId="12" borderId="1" xfId="0" applyNumberFormat="1" applyFont="1" applyFill="1" applyBorder="1"/>
    <xf numFmtId="0" fontId="14" fillId="0" borderId="0" xfId="0" applyFont="1" applyAlignment="1">
      <alignment wrapText="1"/>
    </xf>
    <xf numFmtId="0" fontId="15" fillId="6" borderId="4" xfId="0" applyFont="1" applyFill="1" applyBorder="1" applyAlignment="1">
      <alignment wrapText="1"/>
    </xf>
    <xf numFmtId="0" fontId="15" fillId="6" borderId="5" xfId="0" applyFont="1" applyFill="1" applyBorder="1" applyAlignment="1">
      <alignment wrapText="1"/>
    </xf>
    <xf numFmtId="165" fontId="14" fillId="4" borderId="1" xfId="1" applyFont="1" applyFill="1" applyBorder="1"/>
    <xf numFmtId="165" fontId="14" fillId="0" borderId="1" xfId="1" applyFont="1" applyBorder="1"/>
    <xf numFmtId="170" fontId="14" fillId="0" borderId="1" xfId="0" applyNumberFormat="1" applyFont="1" applyBorder="1"/>
    <xf numFmtId="0" fontId="14" fillId="0" borderId="1" xfId="0" applyFont="1" applyBorder="1" applyAlignment="1">
      <alignment wrapText="1"/>
    </xf>
    <xf numFmtId="165" fontId="15" fillId="12" borderId="1" xfId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1" fontId="14" fillId="0" borderId="4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/>
    </xf>
    <xf numFmtId="1" fontId="15" fillId="6" borderId="0" xfId="0" applyNumberFormat="1" applyFont="1" applyFill="1"/>
    <xf numFmtId="3" fontId="14" fillId="0" borderId="1" xfId="0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vertical="top"/>
    </xf>
    <xf numFmtId="165" fontId="14" fillId="0" borderId="1" xfId="0" applyNumberFormat="1" applyFont="1" applyBorder="1"/>
    <xf numFmtId="43" fontId="14" fillId="4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right" vertical="center"/>
    </xf>
    <xf numFmtId="3" fontId="14" fillId="8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center" textRotation="90" wrapText="1"/>
    </xf>
    <xf numFmtId="0" fontId="15" fillId="12" borderId="1" xfId="0" applyFont="1" applyFill="1" applyBorder="1" applyAlignment="1">
      <alignment horizontal="left" vertical="center"/>
    </xf>
    <xf numFmtId="4" fontId="15" fillId="12" borderId="1" xfId="0" applyNumberFormat="1" applyFont="1" applyFill="1" applyBorder="1" applyAlignment="1">
      <alignment horizontal="right" vertical="center"/>
    </xf>
    <xf numFmtId="3" fontId="14" fillId="12" borderId="1" xfId="0" applyNumberFormat="1" applyFont="1" applyFill="1" applyBorder="1" applyAlignment="1">
      <alignment horizontal="right" vertical="top" wrapText="1"/>
    </xf>
    <xf numFmtId="3" fontId="15" fillId="12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vertical="top" wrapText="1"/>
    </xf>
    <xf numFmtId="164" fontId="14" fillId="4" borderId="1" xfId="0" applyNumberFormat="1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center" vertical="center" textRotation="90" wrapText="1"/>
    </xf>
    <xf numFmtId="0" fontId="15" fillId="12" borderId="1" xfId="0" applyFont="1" applyFill="1" applyBorder="1" applyAlignment="1">
      <alignment vertical="top" wrapText="1"/>
    </xf>
    <xf numFmtId="0" fontId="15" fillId="12" borderId="1" xfId="0" applyFont="1" applyFill="1" applyBorder="1"/>
    <xf numFmtId="164" fontId="15" fillId="12" borderId="1" xfId="0" applyNumberFormat="1" applyFont="1" applyFill="1" applyBorder="1" applyAlignment="1">
      <alignment horizontal="right" vertical="top" wrapText="1"/>
    </xf>
    <xf numFmtId="0" fontId="15" fillId="12" borderId="1" xfId="0" applyFont="1" applyFill="1" applyBorder="1" applyAlignment="1">
      <alignment horizontal="right" vertical="top" wrapText="1"/>
    </xf>
    <xf numFmtId="3" fontId="15" fillId="12" borderId="1" xfId="0" applyNumberFormat="1" applyFont="1" applyFill="1" applyBorder="1" applyAlignment="1">
      <alignment horizontal="right" vertical="top" wrapText="1"/>
    </xf>
    <xf numFmtId="4" fontId="15" fillId="12" borderId="1" xfId="0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left" vertical="center"/>
    </xf>
    <xf numFmtId="164" fontId="15" fillId="4" borderId="1" xfId="0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right" vertical="top" wrapText="1"/>
    </xf>
    <xf numFmtId="3" fontId="15" fillId="4" borderId="1" xfId="0" applyNumberFormat="1" applyFont="1" applyFill="1" applyBorder="1" applyAlignment="1">
      <alignment horizontal="right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3" fontId="15" fillId="8" borderId="1" xfId="0" applyNumberFormat="1" applyFont="1" applyFill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/>
    </xf>
    <xf numFmtId="3" fontId="14" fillId="8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3" fontId="15" fillId="0" borderId="1" xfId="1" applyNumberFormat="1" applyFont="1" applyBorder="1"/>
    <xf numFmtId="0" fontId="15" fillId="8" borderId="0" xfId="0" applyFont="1" applyFill="1"/>
    <xf numFmtId="0" fontId="14" fillId="12" borderId="1" xfId="0" applyFont="1" applyFill="1" applyBorder="1" applyAlignment="1">
      <alignment vertical="top" wrapText="1"/>
    </xf>
    <xf numFmtId="164" fontId="14" fillId="12" borderId="1" xfId="0" applyNumberFormat="1" applyFont="1" applyFill="1" applyBorder="1" applyAlignment="1">
      <alignment horizontal="right" vertical="top" wrapText="1"/>
    </xf>
    <xf numFmtId="0" fontId="14" fillId="12" borderId="1" xfId="0" applyFont="1" applyFill="1" applyBorder="1"/>
    <xf numFmtId="165" fontId="15" fillId="12" borderId="1" xfId="1" applyFont="1" applyFill="1" applyBorder="1" applyAlignment="1">
      <alignment horizontal="right"/>
    </xf>
    <xf numFmtId="164" fontId="15" fillId="12" borderId="1" xfId="0" applyNumberFormat="1" applyFont="1" applyFill="1" applyBorder="1" applyAlignment="1">
      <alignment horizontal="right"/>
    </xf>
    <xf numFmtId="0" fontId="15" fillId="12" borderId="1" xfId="0" applyFont="1" applyFill="1" applyBorder="1" applyAlignment="1">
      <alignment horizontal="right"/>
    </xf>
    <xf numFmtId="3" fontId="15" fillId="12" borderId="1" xfId="0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 vertical="top"/>
    </xf>
    <xf numFmtId="3" fontId="14" fillId="8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43" fontId="15" fillId="0" borderId="1" xfId="1" applyNumberFormat="1" applyFont="1" applyBorder="1" applyAlignment="1">
      <alignment vertical="top"/>
    </xf>
    <xf numFmtId="0" fontId="15" fillId="8" borderId="0" xfId="0" applyFont="1" applyFill="1" applyAlignment="1">
      <alignment vertical="top"/>
    </xf>
    <xf numFmtId="3" fontId="14" fillId="4" borderId="1" xfId="0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4" fontId="14" fillId="4" borderId="1" xfId="0" applyNumberFormat="1" applyFont="1" applyFill="1" applyBorder="1" applyAlignment="1">
      <alignment horizontal="right" vertical="top"/>
    </xf>
    <xf numFmtId="170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/>
    <xf numFmtId="16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5" fillId="6" borderId="1" xfId="0" applyFont="1" applyFill="1" applyBorder="1" applyAlignment="1">
      <alignment vertical="top"/>
    </xf>
    <xf numFmtId="0" fontId="15" fillId="12" borderId="1" xfId="0" applyFont="1" applyFill="1" applyBorder="1" applyAlignment="1">
      <alignment vertical="top"/>
    </xf>
    <xf numFmtId="164" fontId="15" fillId="12" borderId="1" xfId="0" applyNumberFormat="1" applyFont="1" applyFill="1" applyBorder="1" applyAlignment="1">
      <alignment vertical="top"/>
    </xf>
    <xf numFmtId="165" fontId="15" fillId="12" borderId="1" xfId="1" applyFont="1" applyFill="1" applyBorder="1" applyAlignment="1">
      <alignment vertical="top"/>
    </xf>
    <xf numFmtId="3" fontId="15" fillId="12" borderId="1" xfId="0" applyNumberFormat="1" applyFont="1" applyFill="1" applyBorder="1" applyAlignment="1">
      <alignment vertical="top"/>
    </xf>
    <xf numFmtId="0" fontId="14" fillId="11" borderId="1" xfId="0" applyFont="1" applyFill="1" applyBorder="1" applyAlignment="1">
      <alignment horizontal="center" vertical="center" textRotation="90" wrapText="1"/>
    </xf>
    <xf numFmtId="0" fontId="15" fillId="11" borderId="1" xfId="0" applyFont="1" applyFill="1" applyBorder="1"/>
    <xf numFmtId="0" fontId="15" fillId="11" borderId="1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right" vertical="top" wrapText="1"/>
    </xf>
    <xf numFmtId="2" fontId="15" fillId="11" borderId="1" xfId="0" applyNumberFormat="1" applyFont="1" applyFill="1" applyBorder="1" applyAlignment="1">
      <alignment horizontal="right" vertical="top" wrapText="1"/>
    </xf>
    <xf numFmtId="4" fontId="15" fillId="11" borderId="1" xfId="0" applyNumberFormat="1" applyFont="1" applyFill="1" applyBorder="1" applyAlignment="1">
      <alignment horizontal="right" vertical="top" wrapText="1"/>
    </xf>
    <xf numFmtId="3" fontId="15" fillId="11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 applyAlignment="1">
      <alignment vertical="top"/>
    </xf>
    <xf numFmtId="4" fontId="15" fillId="0" borderId="0" xfId="0" applyNumberFormat="1" applyFont="1" applyAlignment="1">
      <alignment vertical="top"/>
    </xf>
    <xf numFmtId="4" fontId="15" fillId="0" borderId="0" xfId="0" applyNumberFormat="1" applyFont="1"/>
    <xf numFmtId="0" fontId="3" fillId="0" borderId="1" xfId="13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0" fontId="14" fillId="0" borderId="1" xfId="14" applyFont="1" applyBorder="1" applyAlignment="1">
      <alignment horizontal="center"/>
    </xf>
    <xf numFmtId="0" fontId="14" fillId="4" borderId="1" xfId="14" applyFont="1" applyFill="1" applyBorder="1" applyAlignment="1">
      <alignment horizontal="center"/>
    </xf>
    <xf numFmtId="0" fontId="3" fillId="0" borderId="1" xfId="13" applyFont="1" applyBorder="1" applyAlignment="1">
      <alignment horizontal="center" vertical="top"/>
    </xf>
    <xf numFmtId="0" fontId="3" fillId="4" borderId="1" xfId="13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165" fontId="15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169" fontId="15" fillId="0" borderId="1" xfId="4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4" fontId="15" fillId="1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7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4" fillId="0" borderId="1" xfId="7" applyFont="1" applyBorder="1"/>
    <xf numFmtId="165" fontId="14" fillId="0" borderId="1" xfId="1" applyFont="1" applyBorder="1" applyAlignment="1">
      <alignment horizontal="center"/>
    </xf>
    <xf numFmtId="2" fontId="14" fillId="0" borderId="1" xfId="0" applyNumberFormat="1" applyFont="1" applyBorder="1" applyAlignment="1">
      <alignment vertical="top" wrapText="1"/>
    </xf>
    <xf numFmtId="4" fontId="15" fillId="0" borderId="1" xfId="4" applyNumberFormat="1" applyFont="1" applyBorder="1" applyAlignment="1">
      <alignment vertical="top"/>
    </xf>
    <xf numFmtId="4" fontId="14" fillId="0" borderId="15" xfId="0" applyNumberFormat="1" applyFont="1" applyBorder="1" applyAlignment="1">
      <alignment horizontal="left" vertical="top" wrapText="1"/>
    </xf>
    <xf numFmtId="4" fontId="14" fillId="4" borderId="15" xfId="0" applyNumberFormat="1" applyFont="1" applyFill="1" applyBorder="1" applyAlignment="1">
      <alignment horizontal="left" vertical="top" wrapText="1"/>
    </xf>
    <xf numFmtId="4" fontId="14" fillId="0" borderId="16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4" fillId="4" borderId="1" xfId="5" applyNumberFormat="1" applyFont="1" applyFill="1" applyBorder="1" applyAlignment="1">
      <alignment horizontal="center"/>
    </xf>
    <xf numFmtId="4" fontId="14" fillId="0" borderId="1" xfId="5" applyNumberFormat="1" applyFont="1" applyBorder="1" applyAlignment="1">
      <alignment horizontal="center"/>
    </xf>
    <xf numFmtId="4" fontId="14" fillId="4" borderId="4" xfId="0" applyNumberFormat="1" applyFont="1" applyFill="1" applyBorder="1"/>
    <xf numFmtId="4" fontId="15" fillId="0" borderId="1" xfId="4" applyNumberFormat="1" applyFont="1" applyBorder="1" applyAlignment="1">
      <alignment horizontal="right"/>
    </xf>
    <xf numFmtId="0" fontId="14" fillId="0" borderId="1" xfId="6" applyFont="1" applyBorder="1" applyAlignment="1">
      <alignment horizontal="center"/>
    </xf>
    <xf numFmtId="0" fontId="14" fillId="4" borderId="1" xfId="6" applyFont="1" applyFill="1" applyBorder="1" applyAlignment="1">
      <alignment horizontal="center"/>
    </xf>
    <xf numFmtId="0" fontId="14" fillId="4" borderId="1" xfId="6" applyFont="1" applyFill="1" applyBorder="1" applyAlignment="1">
      <alignment horizontal="center" vertical="top"/>
    </xf>
    <xf numFmtId="0" fontId="14" fillId="0" borderId="1" xfId="8" applyFont="1" applyBorder="1" applyAlignment="1">
      <alignment horizontal="center"/>
    </xf>
    <xf numFmtId="0" fontId="14" fillId="0" borderId="1" xfId="9" applyFont="1" applyBorder="1" applyAlignment="1">
      <alignment horizontal="center" wrapText="1"/>
    </xf>
    <xf numFmtId="0" fontId="14" fillId="4" borderId="1" xfId="9" applyFont="1" applyFill="1" applyBorder="1" applyAlignment="1">
      <alignment horizontal="center" wrapText="1"/>
    </xf>
    <xf numFmtId="0" fontId="14" fillId="0" borderId="1" xfId="10" applyFont="1" applyBorder="1" applyAlignment="1">
      <alignment horizontal="center"/>
    </xf>
    <xf numFmtId="0" fontId="14" fillId="8" borderId="1" xfId="10" applyFont="1" applyFill="1" applyBorder="1" applyAlignment="1">
      <alignment horizontal="center"/>
    </xf>
    <xf numFmtId="0" fontId="14" fillId="0" borderId="1" xfId="11" applyFont="1" applyBorder="1" applyAlignment="1">
      <alignment horizontal="center"/>
    </xf>
    <xf numFmtId="0" fontId="14" fillId="4" borderId="1" xfId="11" applyFont="1" applyFill="1" applyBorder="1" applyAlignment="1">
      <alignment horizontal="center"/>
    </xf>
    <xf numFmtId="169" fontId="15" fillId="0" borderId="0" xfId="4" applyNumberFormat="1" applyFont="1" applyAlignment="1">
      <alignment horizontal="right"/>
    </xf>
    <xf numFmtId="0" fontId="14" fillId="0" borderId="1" xfId="13" applyFont="1" applyBorder="1" applyAlignment="1">
      <alignment horizontal="center"/>
    </xf>
    <xf numFmtId="0" fontId="14" fillId="0" borderId="1" xfId="12" applyFont="1" applyBorder="1" applyAlignment="1">
      <alignment horizontal="center"/>
    </xf>
    <xf numFmtId="0" fontId="14" fillId="4" borderId="1" xfId="12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5" fillId="6" borderId="1" xfId="0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4" fontId="14" fillId="0" borderId="1" xfId="5" applyNumberFormat="1" applyFont="1" applyBorder="1" applyAlignment="1">
      <alignment horizontal="center" vertical="top"/>
    </xf>
    <xf numFmtId="4" fontId="14" fillId="6" borderId="1" xfId="5" applyNumberFormat="1" applyFont="1" applyFill="1" applyBorder="1" applyAlignment="1">
      <alignment horizontal="center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right" vertical="top"/>
    </xf>
    <xf numFmtId="4" fontId="15" fillId="0" borderId="2" xfId="0" applyNumberFormat="1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wrapText="1"/>
    </xf>
    <xf numFmtId="0" fontId="15" fillId="8" borderId="4" xfId="0" applyFont="1" applyFill="1" applyBorder="1" applyAlignment="1">
      <alignment wrapText="1"/>
    </xf>
    <xf numFmtId="0" fontId="16" fillId="0" borderId="1" xfId="0" applyFont="1" applyBorder="1" applyAlignment="1">
      <alignment horizontal="right"/>
    </xf>
    <xf numFmtId="4" fontId="16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/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left" vertical="top"/>
    </xf>
    <xf numFmtId="0" fontId="15" fillId="10" borderId="1" xfId="0" applyFont="1" applyFill="1" applyBorder="1" applyAlignment="1">
      <alignment horizontal="right" vertical="top"/>
    </xf>
    <xf numFmtId="4" fontId="15" fillId="10" borderId="1" xfId="0" applyNumberFormat="1" applyFont="1" applyFill="1" applyBorder="1"/>
    <xf numFmtId="4" fontId="15" fillId="10" borderId="4" xfId="0" applyNumberFormat="1" applyFont="1" applyFill="1" applyBorder="1"/>
    <xf numFmtId="43" fontId="15" fillId="10" borderId="4" xfId="1" applyNumberFormat="1" applyFont="1" applyFill="1" applyBorder="1"/>
    <xf numFmtId="0" fontId="14" fillId="0" borderId="1" xfId="0" applyFont="1" applyBorder="1" applyAlignment="1">
      <alignment vertical="top"/>
    </xf>
    <xf numFmtId="4" fontId="14" fillId="0" borderId="4" xfId="0" applyNumberFormat="1" applyFont="1" applyBorder="1" applyAlignment="1">
      <alignment vertical="top"/>
    </xf>
    <xf numFmtId="43" fontId="14" fillId="0" borderId="1" xfId="1" applyNumberFormat="1" applyFont="1" applyBorder="1" applyAlignment="1">
      <alignment vertical="top"/>
    </xf>
    <xf numFmtId="43" fontId="14" fillId="0" borderId="4" xfId="1" applyNumberFormat="1" applyFont="1" applyBorder="1" applyAlignment="1">
      <alignment vertical="top"/>
    </xf>
    <xf numFmtId="43" fontId="14" fillId="0" borderId="1" xfId="0" applyNumberFormat="1" applyFont="1" applyBorder="1" applyAlignment="1">
      <alignment vertical="top"/>
    </xf>
    <xf numFmtId="164" fontId="14" fillId="0" borderId="1" xfId="0" applyNumberFormat="1" applyFont="1" applyBorder="1" applyAlignment="1">
      <alignment wrapText="1"/>
    </xf>
    <xf numFmtId="43" fontId="15" fillId="4" borderId="1" xfId="1" applyNumberFormat="1" applyFont="1" applyFill="1" applyBorder="1"/>
    <xf numFmtId="43" fontId="15" fillId="10" borderId="1" xfId="0" applyNumberFormat="1" applyFont="1" applyFill="1" applyBorder="1"/>
    <xf numFmtId="0" fontId="24" fillId="0" borderId="1" xfId="0" applyFont="1" applyBorder="1" applyAlignment="1">
      <alignment vertical="top" wrapText="1"/>
    </xf>
    <xf numFmtId="0" fontId="14" fillId="12" borderId="1" xfId="0" applyFont="1" applyFill="1" applyBorder="1" applyAlignment="1">
      <alignment horizontal="right" vertical="top"/>
    </xf>
    <xf numFmtId="4" fontId="14" fillId="12" borderId="1" xfId="0" applyNumberFormat="1" applyFont="1" applyFill="1" applyBorder="1"/>
    <xf numFmtId="4" fontId="14" fillId="12" borderId="4" xfId="0" applyNumberFormat="1" applyFont="1" applyFill="1" applyBorder="1"/>
    <xf numFmtId="43" fontId="14" fillId="12" borderId="1" xfId="0" applyNumberFormat="1" applyFont="1" applyFill="1" applyBorder="1"/>
    <xf numFmtId="0" fontId="24" fillId="4" borderId="1" xfId="0" applyFont="1" applyFill="1" applyBorder="1" applyAlignment="1">
      <alignment vertical="top" wrapText="1"/>
    </xf>
    <xf numFmtId="4" fontId="15" fillId="10" borderId="1" xfId="0" applyNumberFormat="1" applyFont="1" applyFill="1" applyBorder="1" applyAlignment="1">
      <alignment horizontal="right" vertical="top"/>
    </xf>
    <xf numFmtId="4" fontId="15" fillId="10" borderId="4" xfId="0" applyNumberFormat="1" applyFont="1" applyFill="1" applyBorder="1" applyAlignment="1">
      <alignment horizontal="right" vertical="top"/>
    </xf>
    <xf numFmtId="43" fontId="15" fillId="19" borderId="1" xfId="0" applyNumberFormat="1" applyFont="1" applyFill="1" applyBorder="1"/>
    <xf numFmtId="0" fontId="14" fillId="12" borderId="1" xfId="0" applyFont="1" applyFill="1" applyBorder="1" applyAlignment="1">
      <alignment horizontal="left" vertical="top"/>
    </xf>
    <xf numFmtId="4" fontId="15" fillId="12" borderId="1" xfId="0" applyNumberFormat="1" applyFont="1" applyFill="1" applyBorder="1"/>
    <xf numFmtId="0" fontId="15" fillId="12" borderId="1" xfId="0" applyFont="1" applyFill="1" applyBorder="1" applyAlignment="1">
      <alignment horizontal="right" vertical="top"/>
    </xf>
    <xf numFmtId="4" fontId="15" fillId="12" borderId="4" xfId="0" applyNumberFormat="1" applyFont="1" applyFill="1" applyBorder="1"/>
    <xf numFmtId="0" fontId="15" fillId="10" borderId="1" xfId="0" applyFont="1" applyFill="1" applyBorder="1"/>
    <xf numFmtId="4" fontId="14" fillId="8" borderId="4" xfId="0" applyNumberFormat="1" applyFont="1" applyFill="1" applyBorder="1"/>
    <xf numFmtId="0" fontId="15" fillId="5" borderId="0" xfId="0" applyFont="1" applyFill="1"/>
    <xf numFmtId="0" fontId="15" fillId="5" borderId="0" xfId="0" applyFont="1" applyFill="1" applyAlignment="1">
      <alignment horizontal="right"/>
    </xf>
    <xf numFmtId="4" fontId="15" fillId="5" borderId="0" xfId="0" applyNumberFormat="1" applyFont="1" applyFill="1"/>
    <xf numFmtId="43" fontId="15" fillId="0" borderId="1" xfId="0" applyNumberFormat="1" applyFont="1" applyBorder="1"/>
    <xf numFmtId="0" fontId="14" fillId="0" borderId="1" xfId="0" applyFont="1" applyBorder="1" applyAlignment="1">
      <alignment horizontal="right" vertical="top"/>
    </xf>
    <xf numFmtId="0" fontId="15" fillId="20" borderId="1" xfId="0" applyFont="1" applyFill="1" applyBorder="1" applyAlignment="1">
      <alignment horizontal="left" vertical="top"/>
    </xf>
    <xf numFmtId="0" fontId="14" fillId="20" borderId="1" xfId="0" applyFont="1" applyFill="1" applyBorder="1" applyAlignment="1">
      <alignment vertical="top" wrapText="1"/>
    </xf>
    <xf numFmtId="4" fontId="14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4" fontId="15" fillId="10" borderId="1" xfId="0" applyNumberFormat="1" applyFont="1" applyFill="1" applyBorder="1" applyAlignment="1">
      <alignment vertical="top"/>
    </xf>
    <xf numFmtId="3" fontId="15" fillId="10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21" borderId="1" xfId="0" applyFont="1" applyFill="1" applyBorder="1" applyAlignment="1">
      <alignment vertical="top"/>
    </xf>
    <xf numFmtId="4" fontId="14" fillId="21" borderId="1" xfId="0" applyNumberFormat="1" applyFont="1" applyFill="1" applyBorder="1" applyAlignment="1">
      <alignment vertical="top"/>
    </xf>
    <xf numFmtId="0" fontId="14" fillId="21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4" fontId="14" fillId="10" borderId="1" xfId="0" applyNumberFormat="1" applyFont="1" applyFill="1" applyBorder="1" applyAlignment="1">
      <alignment vertical="top"/>
    </xf>
    <xf numFmtId="3" fontId="14" fillId="0" borderId="1" xfId="0" applyNumberFormat="1" applyFont="1" applyBorder="1" applyAlignment="1">
      <alignment horizontal="left" vertical="top"/>
    </xf>
    <xf numFmtId="0" fontId="15" fillId="10" borderId="1" xfId="0" applyFont="1" applyFill="1" applyBorder="1" applyAlignment="1">
      <alignment vertical="top"/>
    </xf>
    <xf numFmtId="3" fontId="14" fillId="4" borderId="1" xfId="0" applyNumberFormat="1" applyFont="1" applyFill="1" applyBorder="1" applyAlignment="1">
      <alignment horizontal="left" vertical="top"/>
    </xf>
    <xf numFmtId="0" fontId="1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right" vertical="top"/>
    </xf>
    <xf numFmtId="4" fontId="15" fillId="5" borderId="1" xfId="0" applyNumberFormat="1" applyFont="1" applyFill="1" applyBorder="1" applyAlignment="1">
      <alignment horizontal="right" vertical="top"/>
    </xf>
    <xf numFmtId="2" fontId="14" fillId="0" borderId="0" xfId="0" applyNumberFormat="1" applyFont="1" applyAlignment="1">
      <alignment horizontal="left" vertical="top"/>
    </xf>
    <xf numFmtId="4" fontId="14" fillId="0" borderId="0" xfId="0" applyNumberFormat="1" applyFont="1" applyAlignment="1">
      <alignment horizontal="left" vertical="top"/>
    </xf>
    <xf numFmtId="3" fontId="14" fillId="0" borderId="0" xfId="0" applyNumberFormat="1" applyFont="1" applyAlignment="1">
      <alignment horizontal="left" vertical="top"/>
    </xf>
    <xf numFmtId="4" fontId="15" fillId="5" borderId="1" xfId="0" applyNumberFormat="1" applyFont="1" applyFill="1" applyBorder="1" applyAlignment="1">
      <alignment vertical="top"/>
    </xf>
    <xf numFmtId="164" fontId="14" fillId="0" borderId="4" xfId="0" applyNumberFormat="1" applyFont="1" applyBorder="1"/>
    <xf numFmtId="0" fontId="14" fillId="10" borderId="1" xfId="0" applyFont="1" applyFill="1" applyBorder="1" applyAlignment="1">
      <alignment vertical="top" wrapText="1"/>
    </xf>
    <xf numFmtId="4" fontId="15" fillId="10" borderId="1" xfId="0" applyNumberFormat="1" applyFont="1" applyFill="1" applyBorder="1" applyAlignment="1">
      <alignment vertical="top" wrapText="1"/>
    </xf>
    <xf numFmtId="4" fontId="15" fillId="10" borderId="4" xfId="0" applyNumberFormat="1" applyFont="1" applyFill="1" applyBorder="1" applyAlignment="1">
      <alignment vertical="top" wrapText="1"/>
    </xf>
    <xf numFmtId="164" fontId="14" fillId="4" borderId="4" xfId="0" applyNumberFormat="1" applyFont="1" applyFill="1" applyBorder="1"/>
    <xf numFmtId="0" fontId="14" fillId="11" borderId="1" xfId="0" applyFont="1" applyFill="1" applyBorder="1" applyAlignment="1">
      <alignment horizontal="right" vertical="top"/>
    </xf>
    <xf numFmtId="3" fontId="15" fillId="11" borderId="1" xfId="0" applyNumberFormat="1" applyFont="1" applyFill="1" applyBorder="1" applyAlignment="1">
      <alignment horizontal="right" vertical="top"/>
    </xf>
    <xf numFmtId="4" fontId="15" fillId="11" borderId="4" xfId="0" applyNumberFormat="1" applyFont="1" applyFill="1" applyBorder="1" applyAlignment="1">
      <alignment horizontal="right" vertical="top"/>
    </xf>
    <xf numFmtId="43" fontId="15" fillId="11" borderId="1" xfId="0" applyNumberFormat="1" applyFont="1" applyFill="1" applyBorder="1"/>
    <xf numFmtId="43" fontId="14" fillId="11" borderId="1" xfId="0" applyNumberFormat="1" applyFont="1" applyFill="1" applyBorder="1"/>
    <xf numFmtId="167" fontId="14" fillId="0" borderId="4" xfId="0" applyNumberFormat="1" applyFont="1" applyBorder="1"/>
    <xf numFmtId="0" fontId="14" fillId="5" borderId="0" xfId="0" applyFont="1" applyFill="1"/>
    <xf numFmtId="0" fontId="14" fillId="5" borderId="0" xfId="0" applyFont="1" applyFill="1" applyAlignment="1">
      <alignment horizontal="right"/>
    </xf>
    <xf numFmtId="3" fontId="15" fillId="5" borderId="0" xfId="0" applyNumberFormat="1" applyFont="1" applyFill="1"/>
    <xf numFmtId="43" fontId="15" fillId="5" borderId="1" xfId="0" applyNumberFormat="1" applyFont="1" applyFill="1" applyBorder="1"/>
    <xf numFmtId="2" fontId="14" fillId="0" borderId="0" xfId="0" applyNumberFormat="1" applyFont="1" applyAlignment="1">
      <alignment horizontal="right"/>
    </xf>
    <xf numFmtId="1" fontId="1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164" fontId="14" fillId="0" borderId="4" xfId="0" applyNumberFormat="1" applyFont="1" applyBorder="1" applyAlignment="1">
      <alignment vertical="top" wrapText="1"/>
    </xf>
    <xf numFmtId="164" fontId="14" fillId="4" borderId="4" xfId="0" applyNumberFormat="1" applyFont="1" applyFill="1" applyBorder="1" applyAlignment="1">
      <alignment vertical="top" wrapText="1"/>
    </xf>
    <xf numFmtId="1" fontId="14" fillId="4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0" fontId="15" fillId="0" borderId="7" xfId="0" applyFont="1" applyBorder="1" applyAlignment="1">
      <alignment horizontal="righ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3" fontId="15" fillId="0" borderId="1" xfId="0" applyNumberFormat="1" applyFont="1" applyBorder="1" applyAlignment="1">
      <alignment horizontal="left" vertical="top"/>
    </xf>
    <xf numFmtId="4" fontId="14" fillId="0" borderId="1" xfId="0" applyNumberFormat="1" applyFont="1" applyBorder="1" applyAlignment="1">
      <alignment wrapText="1"/>
    </xf>
    <xf numFmtId="0" fontId="17" fillId="0" borderId="1" xfId="0" applyFont="1" applyBorder="1"/>
    <xf numFmtId="3" fontId="17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5" fillId="0" borderId="3" xfId="0" applyFont="1" applyBorder="1"/>
    <xf numFmtId="0" fontId="14" fillId="6" borderId="1" xfId="0" applyFont="1" applyFill="1" applyBorder="1"/>
    <xf numFmtId="3" fontId="14" fillId="6" borderId="1" xfId="0" applyNumberFormat="1" applyFont="1" applyFill="1" applyBorder="1"/>
    <xf numFmtId="43" fontId="14" fillId="18" borderId="1" xfId="1" applyNumberFormat="1" applyFont="1" applyFill="1" applyBorder="1" applyAlignment="1">
      <alignment vertical="top"/>
    </xf>
    <xf numFmtId="43" fontId="14" fillId="10" borderId="1" xfId="1" applyNumberFormat="1" applyFont="1" applyFill="1" applyBorder="1" applyAlignment="1">
      <alignment vertical="top"/>
    </xf>
    <xf numFmtId="43" fontId="14" fillId="10" borderId="1" xfId="0" applyNumberFormat="1" applyFont="1" applyFill="1" applyBorder="1" applyAlignment="1">
      <alignment vertical="top"/>
    </xf>
    <xf numFmtId="0" fontId="15" fillId="4" borderId="0" xfId="0" applyFont="1" applyFill="1" applyAlignment="1">
      <alignment horizontal="left" vertical="top"/>
    </xf>
    <xf numFmtId="0" fontId="14" fillId="8" borderId="1" xfId="0" applyFont="1" applyFill="1" applyBorder="1"/>
    <xf numFmtId="3" fontId="15" fillId="6" borderId="1" xfId="0" applyNumberFormat="1" applyFont="1" applyFill="1" applyBorder="1"/>
    <xf numFmtId="43" fontId="15" fillId="10" borderId="1" xfId="1" applyNumberFormat="1" applyFont="1" applyFill="1" applyBorder="1" applyAlignment="1">
      <alignment horizontal="right" vertical="top"/>
    </xf>
    <xf numFmtId="43" fontId="15" fillId="0" borderId="1" xfId="0" applyNumberFormat="1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14" fillId="0" borderId="3" xfId="0" applyFont="1" applyBorder="1"/>
    <xf numFmtId="0" fontId="15" fillId="0" borderId="11" xfId="0" applyFont="1" applyBorder="1" applyAlignment="1">
      <alignment horizontal="left" vertical="top" wrapText="1"/>
    </xf>
    <xf numFmtId="43" fontId="15" fillId="6" borderId="1" xfId="0" applyNumberFormat="1" applyFont="1" applyFill="1" applyBorder="1"/>
    <xf numFmtId="0" fontId="15" fillId="9" borderId="1" xfId="0" applyFont="1" applyFill="1" applyBorder="1"/>
    <xf numFmtId="1" fontId="15" fillId="9" borderId="1" xfId="0" applyNumberFormat="1" applyFont="1" applyFill="1" applyBorder="1"/>
    <xf numFmtId="4" fontId="15" fillId="9" borderId="1" xfId="0" applyNumberFormat="1" applyFont="1" applyFill="1" applyBorder="1"/>
    <xf numFmtId="1" fontId="14" fillId="9" borderId="1" xfId="0" applyNumberFormat="1" applyFont="1" applyFill="1" applyBorder="1"/>
    <xf numFmtId="4" fontId="15" fillId="9" borderId="1" xfId="0" applyNumberFormat="1" applyFont="1" applyFill="1" applyBorder="1" applyAlignment="1">
      <alignment horizontal="right" vertical="top"/>
    </xf>
    <xf numFmtId="4" fontId="15" fillId="9" borderId="2" xfId="0" applyNumberFormat="1" applyFont="1" applyFill="1" applyBorder="1" applyAlignment="1">
      <alignment horizontal="right" vertical="top"/>
    </xf>
    <xf numFmtId="43" fontId="15" fillId="9" borderId="1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7" xfId="0" applyFont="1" applyBorder="1" applyAlignment="1">
      <alignment horizontal="center" vertical="top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164" fontId="14" fillId="0" borderId="3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43" fontId="15" fillId="12" borderId="1" xfId="1" applyNumberFormat="1" applyFont="1" applyFill="1" applyBorder="1" applyAlignment="1">
      <alignment horizontal="right" vertical="top"/>
    </xf>
    <xf numFmtId="43" fontId="15" fillId="12" borderId="1" xfId="0" applyNumberFormat="1" applyFont="1" applyFill="1" applyBorder="1" applyAlignment="1">
      <alignment vertical="top"/>
    </xf>
    <xf numFmtId="0" fontId="14" fillId="0" borderId="5" xfId="0" applyFont="1" applyBorder="1" applyAlignment="1">
      <alignment vertical="top" wrapText="1"/>
    </xf>
    <xf numFmtId="164" fontId="15" fillId="12" borderId="1" xfId="0" applyNumberFormat="1" applyFont="1" applyFill="1" applyBorder="1" applyAlignment="1">
      <alignment horizontal="right" vertical="top"/>
    </xf>
    <xf numFmtId="167" fontId="15" fillId="12" borderId="1" xfId="0" applyNumberFormat="1" applyFont="1" applyFill="1" applyBorder="1" applyAlignment="1">
      <alignment horizontal="right" vertical="top"/>
    </xf>
    <xf numFmtId="0" fontId="14" fillId="12" borderId="1" xfId="0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164" fontId="14" fillId="4" borderId="3" xfId="0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right" vertical="top"/>
    </xf>
    <xf numFmtId="0" fontId="14" fillId="4" borderId="1" xfId="0" applyFont="1" applyFill="1" applyBorder="1" applyAlignment="1">
      <alignment horizontal="right" vertical="top"/>
    </xf>
    <xf numFmtId="0" fontId="14" fillId="12" borderId="0" xfId="0" applyFont="1" applyFill="1" applyAlignment="1">
      <alignment vertical="top"/>
    </xf>
    <xf numFmtId="0" fontId="15" fillId="17" borderId="1" xfId="0" applyFont="1" applyFill="1" applyBorder="1" applyAlignment="1">
      <alignment vertical="top"/>
    </xf>
    <xf numFmtId="3" fontId="15" fillId="17" borderId="1" xfId="0" applyNumberFormat="1" applyFont="1" applyFill="1" applyBorder="1" applyAlignment="1">
      <alignment vertical="top"/>
    </xf>
    <xf numFmtId="43" fontId="15" fillId="17" borderId="1" xfId="1" applyNumberFormat="1" applyFont="1" applyFill="1" applyBorder="1" applyAlignment="1">
      <alignment horizontal="right" vertical="top"/>
    </xf>
    <xf numFmtId="3" fontId="15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right" vertical="top"/>
    </xf>
    <xf numFmtId="3" fontId="15" fillId="4" borderId="1" xfId="0" applyNumberFormat="1" applyFont="1" applyFill="1" applyBorder="1" applyAlignment="1">
      <alignment horizontal="right" vertical="top"/>
    </xf>
    <xf numFmtId="4" fontId="15" fillId="4" borderId="1" xfId="0" applyNumberFormat="1" applyFont="1" applyFill="1" applyBorder="1" applyAlignment="1">
      <alignment horizontal="right" vertical="top"/>
    </xf>
    <xf numFmtId="4" fontId="15" fillId="4" borderId="4" xfId="0" applyNumberFormat="1" applyFont="1" applyFill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right" vertical="top" wrapText="1"/>
    </xf>
    <xf numFmtId="0" fontId="15" fillId="4" borderId="5" xfId="0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right" vertical="top" wrapText="1"/>
    </xf>
    <xf numFmtId="0" fontId="14" fillId="4" borderId="5" xfId="0" applyFont="1" applyFill="1" applyBorder="1" applyAlignment="1">
      <alignment horizontal="right" vertical="top" wrapText="1"/>
    </xf>
    <xf numFmtId="0" fontId="14" fillId="4" borderId="5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167" fontId="14" fillId="4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5" fillId="12" borderId="1" xfId="0" applyNumberFormat="1" applyFont="1" applyFill="1" applyBorder="1" applyAlignment="1">
      <alignment horizontal="right" vertical="top"/>
    </xf>
    <xf numFmtId="43" fontId="14" fillId="12" borderId="1" xfId="0" applyNumberFormat="1" applyFont="1" applyFill="1" applyBorder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right" vertical="top"/>
    </xf>
    <xf numFmtId="0" fontId="17" fillId="4" borderId="5" xfId="0" applyFont="1" applyFill="1" applyBorder="1" applyAlignment="1">
      <alignment horizontal="right" vertical="top"/>
    </xf>
    <xf numFmtId="3" fontId="17" fillId="4" borderId="1" xfId="0" applyNumberFormat="1" applyFont="1" applyFill="1" applyBorder="1" applyAlignment="1">
      <alignment horizontal="right" vertical="top"/>
    </xf>
    <xf numFmtId="4" fontId="17" fillId="4" borderId="1" xfId="0" applyNumberFormat="1" applyFont="1" applyFill="1" applyBorder="1" applyAlignment="1">
      <alignment horizontal="right" vertical="top"/>
    </xf>
    <xf numFmtId="4" fontId="17" fillId="4" borderId="4" xfId="0" applyNumberFormat="1" applyFont="1" applyFill="1" applyBorder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  <xf numFmtId="1" fontId="15" fillId="12" borderId="1" xfId="0" applyNumberFormat="1" applyFont="1" applyFill="1" applyBorder="1" applyAlignment="1">
      <alignment horizontal="right" vertical="top"/>
    </xf>
    <xf numFmtId="0" fontId="15" fillId="9" borderId="1" xfId="0" applyFont="1" applyFill="1" applyBorder="1" applyAlignment="1">
      <alignment vertical="top"/>
    </xf>
    <xf numFmtId="3" fontId="15" fillId="9" borderId="1" xfId="0" applyNumberFormat="1" applyFont="1" applyFill="1" applyBorder="1" applyAlignment="1">
      <alignment horizontal="right" vertical="top"/>
    </xf>
    <xf numFmtId="3" fontId="11" fillId="12" borderId="1" xfId="0" applyNumberFormat="1" applyFont="1" applyFill="1" applyBorder="1" applyAlignment="1">
      <alignment horizontal="right" vertical="top" wrapText="1"/>
    </xf>
    <xf numFmtId="4" fontId="11" fillId="12" borderId="1" xfId="0" applyNumberFormat="1" applyFont="1" applyFill="1" applyBorder="1" applyAlignment="1">
      <alignment horizontal="right"/>
    </xf>
    <xf numFmtId="165" fontId="11" fillId="12" borderId="1" xfId="0" applyNumberFormat="1" applyFont="1" applyFill="1" applyBorder="1"/>
    <xf numFmtId="0" fontId="15" fillId="12" borderId="1" xfId="0" applyFont="1" applyFill="1" applyBorder="1" applyAlignment="1">
      <alignment horizontal="left"/>
    </xf>
    <xf numFmtId="165" fontId="15" fillId="12" borderId="1" xfId="0" applyNumberFormat="1" applyFont="1" applyFill="1" applyBorder="1"/>
    <xf numFmtId="4" fontId="15" fillId="12" borderId="1" xfId="0" applyNumberFormat="1" applyFont="1" applyFill="1" applyBorder="1" applyAlignment="1">
      <alignment horizontal="right"/>
    </xf>
    <xf numFmtId="2" fontId="15" fillId="12" borderId="1" xfId="0" applyNumberFormat="1" applyFont="1" applyFill="1" applyBorder="1" applyAlignment="1">
      <alignment horizontal="right" vertical="top" wrapText="1"/>
    </xf>
    <xf numFmtId="165" fontId="15" fillId="12" borderId="1" xfId="1" applyFont="1" applyFill="1" applyBorder="1" applyAlignment="1">
      <alignment horizontal="center" vertical="top" wrapText="1"/>
    </xf>
    <xf numFmtId="3" fontId="14" fillId="4" borderId="1" xfId="0" applyNumberFormat="1" applyFont="1" applyFill="1" applyBorder="1" applyAlignment="1">
      <alignment horizontal="right" vertical="top" wrapText="1"/>
    </xf>
    <xf numFmtId="3" fontId="14" fillId="4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15" fillId="4" borderId="0" xfId="0" applyFont="1" applyFill="1"/>
    <xf numFmtId="0" fontId="14" fillId="4" borderId="1" xfId="7" applyFont="1" applyFill="1" applyBorder="1" applyAlignment="1">
      <alignment horizontal="center"/>
    </xf>
    <xf numFmtId="43" fontId="15" fillId="4" borderId="1" xfId="1" applyNumberFormat="1" applyFont="1" applyFill="1" applyBorder="1" applyAlignment="1">
      <alignment vertical="top"/>
    </xf>
    <xf numFmtId="4" fontId="15" fillId="5" borderId="1" xfId="0" applyNumberFormat="1" applyFont="1" applyFill="1" applyBorder="1"/>
    <xf numFmtId="4" fontId="15" fillId="0" borderId="2" xfId="0" applyNumberFormat="1" applyFont="1" applyBorder="1" applyAlignment="1">
      <alignment horizontal="center" vertical="top"/>
    </xf>
    <xf numFmtId="4" fontId="15" fillId="0" borderId="6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top" wrapText="1"/>
    </xf>
    <xf numFmtId="1" fontId="15" fillId="6" borderId="1" xfId="0" applyNumberFormat="1" applyFont="1" applyFill="1" applyBorder="1" applyAlignment="1">
      <alignment horizontal="left"/>
    </xf>
    <xf numFmtId="4" fontId="15" fillId="6" borderId="1" xfId="0" applyNumberFormat="1" applyFont="1" applyFill="1" applyBorder="1" applyAlignment="1">
      <alignment wrapText="1"/>
    </xf>
    <xf numFmtId="0" fontId="14" fillId="8" borderId="0" xfId="0" applyFont="1" applyFill="1"/>
    <xf numFmtId="4" fontId="15" fillId="14" borderId="1" xfId="0" applyNumberFormat="1" applyFont="1" applyFill="1" applyBorder="1"/>
    <xf numFmtId="1" fontId="15" fillId="5" borderId="1" xfId="0" applyNumberFormat="1" applyFont="1" applyFill="1" applyBorder="1"/>
    <xf numFmtId="3" fontId="15" fillId="5" borderId="1" xfId="0" applyNumberFormat="1" applyFont="1" applyFill="1" applyBorder="1"/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5" fillId="0" borderId="2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 wrapText="1"/>
    </xf>
    <xf numFmtId="165" fontId="14" fillId="0" borderId="1" xfId="0" applyNumberFormat="1" applyFont="1" applyBorder="1" applyAlignment="1">
      <alignment vertical="top"/>
    </xf>
    <xf numFmtId="4" fontId="14" fillId="4" borderId="1" xfId="0" applyNumberFormat="1" applyFont="1" applyFill="1" applyBorder="1" applyAlignment="1">
      <alignment wrapText="1"/>
    </xf>
    <xf numFmtId="3" fontId="15" fillId="6" borderId="1" xfId="0" applyNumberFormat="1" applyFont="1" applyFill="1" applyBorder="1" applyAlignment="1">
      <alignment vertical="top"/>
    </xf>
    <xf numFmtId="4" fontId="14" fillId="6" borderId="1" xfId="0" applyNumberFormat="1" applyFont="1" applyFill="1" applyBorder="1"/>
    <xf numFmtId="4" fontId="15" fillId="6" borderId="4" xfId="0" applyNumberFormat="1" applyFont="1" applyFill="1" applyBorder="1"/>
    <xf numFmtId="168" fontId="15" fillId="14" borderId="1" xfId="0" applyNumberFormat="1" applyFont="1" applyFill="1" applyBorder="1"/>
    <xf numFmtId="0" fontId="15" fillId="14" borderId="0" xfId="0" applyFont="1" applyFill="1"/>
    <xf numFmtId="4" fontId="14" fillId="6" borderId="1" xfId="0" applyNumberFormat="1" applyFont="1" applyFill="1" applyBorder="1" applyAlignment="1">
      <alignment vertical="top" wrapText="1"/>
    </xf>
    <xf numFmtId="4" fontId="14" fillId="0" borderId="0" xfId="0" applyNumberFormat="1" applyFont="1" applyAlignment="1">
      <alignment vertical="top" wrapText="1"/>
    </xf>
    <xf numFmtId="4" fontId="15" fillId="4" borderId="1" xfId="0" applyNumberFormat="1" applyFont="1" applyFill="1" applyBorder="1"/>
    <xf numFmtId="4" fontId="15" fillId="4" borderId="1" xfId="0" applyNumberFormat="1" applyFont="1" applyFill="1" applyBorder="1" applyAlignment="1">
      <alignment vertical="top"/>
    </xf>
    <xf numFmtId="1" fontId="15" fillId="4" borderId="1" xfId="0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vertical="top" wrapText="1"/>
    </xf>
    <xf numFmtId="3" fontId="15" fillId="4" borderId="1" xfId="0" applyNumberFormat="1" applyFont="1" applyFill="1" applyBorder="1" applyAlignment="1">
      <alignment vertical="top"/>
    </xf>
    <xf numFmtId="4" fontId="15" fillId="4" borderId="4" xfId="0" applyNumberFormat="1" applyFont="1" applyFill="1" applyBorder="1"/>
    <xf numFmtId="4" fontId="24" fillId="4" borderId="1" xfId="0" applyNumberFormat="1" applyFont="1" applyFill="1" applyBorder="1" applyAlignment="1">
      <alignment vertical="top" wrapText="1"/>
    </xf>
    <xf numFmtId="1" fontId="15" fillId="4" borderId="1" xfId="0" applyNumberFormat="1" applyFont="1" applyFill="1" applyBorder="1" applyAlignment="1">
      <alignment horizontal="right"/>
    </xf>
    <xf numFmtId="4" fontId="15" fillId="6" borderId="1" xfId="0" applyNumberFormat="1" applyFont="1" applyFill="1" applyBorder="1" applyAlignment="1">
      <alignment horizontal="left"/>
    </xf>
    <xf numFmtId="4" fontId="15" fillId="6" borderId="4" xfId="0" applyNumberFormat="1" applyFont="1" applyFill="1" applyBorder="1" applyAlignment="1">
      <alignment vertical="top"/>
    </xf>
    <xf numFmtId="4" fontId="14" fillId="6" borderId="1" xfId="0" applyNumberFormat="1" applyFont="1" applyFill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14" fillId="0" borderId="1" xfId="0" applyNumberFormat="1" applyFont="1" applyBorder="1" applyAlignment="1">
      <alignment horizontal="left"/>
    </xf>
    <xf numFmtId="0" fontId="15" fillId="6" borderId="0" xfId="0" applyFont="1" applyFill="1"/>
    <xf numFmtId="1" fontId="15" fillId="15" borderId="1" xfId="0" applyNumberFormat="1" applyFont="1" applyFill="1" applyBorder="1" applyAlignment="1">
      <alignment horizontal="right"/>
    </xf>
    <xf numFmtId="4" fontId="15" fillId="15" borderId="1" xfId="0" applyNumberFormat="1" applyFont="1" applyFill="1" applyBorder="1"/>
    <xf numFmtId="4" fontId="15" fillId="15" borderId="1" xfId="0" applyNumberFormat="1" applyFont="1" applyFill="1" applyBorder="1" applyAlignment="1">
      <alignment vertical="top"/>
    </xf>
    <xf numFmtId="1" fontId="14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right"/>
    </xf>
    <xf numFmtId="4" fontId="14" fillId="4" borderId="0" xfId="0" applyNumberFormat="1" applyFont="1" applyFill="1"/>
    <xf numFmtId="0" fontId="14" fillId="4" borderId="12" xfId="0" applyFont="1" applyFill="1" applyBorder="1"/>
    <xf numFmtId="0" fontId="14" fillId="12" borderId="0" xfId="0" applyFont="1" applyFill="1"/>
    <xf numFmtId="1" fontId="14" fillId="12" borderId="0" xfId="0" applyNumberFormat="1" applyFont="1" applyFill="1" applyAlignment="1">
      <alignment horizontal="right"/>
    </xf>
    <xf numFmtId="0" fontId="14" fillId="12" borderId="0" xfId="0" applyFont="1" applyFill="1" applyAlignment="1">
      <alignment horizontal="right"/>
    </xf>
    <xf numFmtId="0" fontId="14" fillId="12" borderId="0" xfId="0" applyFont="1" applyFill="1" applyAlignment="1">
      <alignment horizontal="center"/>
    </xf>
    <xf numFmtId="4" fontId="14" fillId="12" borderId="0" xfId="0" applyNumberFormat="1" applyFont="1" applyFill="1"/>
    <xf numFmtId="0" fontId="15" fillId="12" borderId="0" xfId="0" applyFont="1" applyFill="1"/>
    <xf numFmtId="1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" fontId="15" fillId="0" borderId="0" xfId="0" applyNumberFormat="1" applyFont="1"/>
    <xf numFmtId="1" fontId="15" fillId="8" borderId="0" xfId="0" applyNumberFormat="1" applyFont="1" applyFill="1" applyAlignment="1">
      <alignment horizontal="right"/>
    </xf>
    <xf numFmtId="0" fontId="15" fillId="8" borderId="0" xfId="0" applyFont="1" applyFill="1" applyAlignment="1">
      <alignment horizontal="right"/>
    </xf>
    <xf numFmtId="0" fontId="15" fillId="8" borderId="0" xfId="0" applyFont="1" applyFill="1" applyAlignment="1">
      <alignment horizontal="center"/>
    </xf>
    <xf numFmtId="1" fontId="15" fillId="8" borderId="0" xfId="0" applyNumberFormat="1" applyFont="1" applyFill="1"/>
    <xf numFmtId="0" fontId="14" fillId="13" borderId="0" xfId="0" applyFont="1" applyFill="1"/>
    <xf numFmtId="0" fontId="14" fillId="13" borderId="0" xfId="0" applyFont="1" applyFill="1" applyAlignment="1">
      <alignment horizontal="right"/>
    </xf>
    <xf numFmtId="4" fontId="14" fillId="13" borderId="0" xfId="0" applyNumberFormat="1" applyFont="1" applyFill="1"/>
    <xf numFmtId="0" fontId="15" fillId="13" borderId="0" xfId="0" applyFont="1" applyFill="1"/>
    <xf numFmtId="3" fontId="25" fillId="4" borderId="1" xfId="0" applyNumberFormat="1" applyFont="1" applyFill="1" applyBorder="1" applyAlignment="1">
      <alignment horizontal="right"/>
    </xf>
    <xf numFmtId="0" fontId="25" fillId="4" borderId="1" xfId="0" applyFont="1" applyFill="1" applyBorder="1" applyAlignment="1">
      <alignment horizontal="left" vertical="center"/>
    </xf>
    <xf numFmtId="3" fontId="25" fillId="0" borderId="1" xfId="0" applyNumberFormat="1" applyFont="1" applyBorder="1" applyAlignment="1">
      <alignment horizontal="right" vertical="top"/>
    </xf>
    <xf numFmtId="0" fontId="25" fillId="0" borderId="1" xfId="0" applyFont="1" applyBorder="1"/>
    <xf numFmtId="0" fontId="25" fillId="0" borderId="4" xfId="0" applyFont="1" applyBorder="1"/>
    <xf numFmtId="164" fontId="25" fillId="4" borderId="1" xfId="0" applyNumberFormat="1" applyFont="1" applyFill="1" applyBorder="1" applyAlignment="1">
      <alignment horizontal="right" vertical="top" wrapText="1"/>
    </xf>
    <xf numFmtId="3" fontId="25" fillId="4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Border="1" applyAlignment="1">
      <alignment horizontal="right"/>
    </xf>
    <xf numFmtId="0" fontId="12" fillId="0" borderId="1" xfId="0" applyFont="1" applyBorder="1"/>
    <xf numFmtId="2" fontId="12" fillId="0" borderId="1" xfId="0" applyNumberFormat="1" applyFont="1" applyBorder="1"/>
    <xf numFmtId="2" fontId="12" fillId="8" borderId="1" xfId="0" applyNumberFormat="1" applyFont="1" applyFill="1" applyBorder="1"/>
    <xf numFmtId="2" fontId="11" fillId="0" borderId="1" xfId="0" applyNumberFormat="1" applyFont="1" applyBorder="1"/>
    <xf numFmtId="0" fontId="25" fillId="4" borderId="1" xfId="0" applyFont="1" applyFill="1" applyBorder="1"/>
    <xf numFmtId="3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vertical="top"/>
    </xf>
    <xf numFmtId="3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top"/>
    </xf>
    <xf numFmtId="0" fontId="14" fillId="8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164" fontId="25" fillId="0" borderId="4" xfId="0" applyNumberFormat="1" applyFont="1" applyBorder="1"/>
    <xf numFmtId="164" fontId="25" fillId="4" borderId="1" xfId="0" applyNumberFormat="1" applyFont="1" applyFill="1" applyBorder="1" applyAlignment="1">
      <alignment horizontal="right" vertical="center"/>
    </xf>
    <xf numFmtId="0" fontId="25" fillId="4" borderId="1" xfId="0" applyFont="1" applyFill="1" applyBorder="1" applyAlignment="1">
      <alignment vertical="top" wrapText="1"/>
    </xf>
    <xf numFmtId="0" fontId="25" fillId="0" borderId="1" xfId="7" applyFont="1" applyBorder="1" applyAlignment="1">
      <alignment horizontal="center"/>
    </xf>
    <xf numFmtId="4" fontId="26" fillId="4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164" fontId="14" fillId="0" borderId="1" xfId="1" applyNumberFormat="1" applyFont="1" applyBorder="1"/>
    <xf numFmtId="0" fontId="14" fillId="0" borderId="1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43" fontId="15" fillId="0" borderId="1" xfId="1" applyNumberFormat="1" applyFont="1" applyFill="1" applyBorder="1" applyAlignment="1">
      <alignment horizontal="right" vertical="top"/>
    </xf>
    <xf numFmtId="43" fontId="15" fillId="0" borderId="1" xfId="0" applyNumberFormat="1" applyFont="1" applyFill="1" applyBorder="1" applyAlignment="1">
      <alignment vertical="top"/>
    </xf>
    <xf numFmtId="0" fontId="25" fillId="4" borderId="1" xfId="7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vertical="top"/>
    </xf>
    <xf numFmtId="2" fontId="14" fillId="8" borderId="1" xfId="0" applyNumberFormat="1" applyFont="1" applyFill="1" applyBorder="1" applyAlignment="1">
      <alignment horizontal="right"/>
    </xf>
    <xf numFmtId="0" fontId="12" fillId="8" borderId="0" xfId="0" applyFont="1" applyFill="1"/>
    <xf numFmtId="164" fontId="25" fillId="4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horizontal="center" textRotation="90" wrapText="1"/>
    </xf>
    <xf numFmtId="164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/>
    </xf>
    <xf numFmtId="0" fontId="14" fillId="0" borderId="0" xfId="0" applyFont="1" applyAlignment="1"/>
    <xf numFmtId="43" fontId="14" fillId="0" borderId="1" xfId="1" applyNumberFormat="1" applyFont="1" applyBorder="1" applyAlignment="1"/>
    <xf numFmtId="165" fontId="14" fillId="0" borderId="1" xfId="0" applyNumberFormat="1" applyFont="1" applyBorder="1" applyAlignment="1"/>
    <xf numFmtId="4" fontId="14" fillId="0" borderId="1" xfId="0" applyNumberFormat="1" applyFont="1" applyBorder="1" applyAlignment="1"/>
    <xf numFmtId="0" fontId="14" fillId="0" borderId="1" xfId="0" applyFont="1" applyBorder="1" applyAlignment="1"/>
    <xf numFmtId="164" fontId="14" fillId="0" borderId="1" xfId="0" applyNumberFormat="1" applyFont="1" applyBorder="1" applyAlignment="1"/>
    <xf numFmtId="43" fontId="14" fillId="0" borderId="1" xfId="0" applyNumberFormat="1" applyFont="1" applyBorder="1" applyAlignment="1"/>
    <xf numFmtId="4" fontId="14" fillId="0" borderId="4" xfId="0" applyNumberFormat="1" applyFont="1" applyBorder="1" applyAlignment="1"/>
    <xf numFmtId="43" fontId="14" fillId="0" borderId="4" xfId="1" applyNumberFormat="1" applyFont="1" applyBorder="1" applyAlignment="1"/>
    <xf numFmtId="1" fontId="14" fillId="0" borderId="1" xfId="0" applyNumberFormat="1" applyFont="1" applyFill="1" applyBorder="1" applyAlignment="1">
      <alignment horizontal="right" vertical="top" wrapText="1"/>
    </xf>
    <xf numFmtId="3" fontId="25" fillId="0" borderId="1" xfId="0" applyNumberFormat="1" applyFont="1" applyFill="1" applyBorder="1" applyAlignment="1">
      <alignment vertical="top" wrapText="1"/>
    </xf>
    <xf numFmtId="0" fontId="14" fillId="0" borderId="0" xfId="0" applyFont="1" applyFill="1"/>
    <xf numFmtId="3" fontId="14" fillId="0" borderId="1" xfId="0" applyNumberFormat="1" applyFont="1" applyFill="1" applyBorder="1" applyAlignment="1">
      <alignment vertical="top"/>
    </xf>
    <xf numFmtId="4" fontId="14" fillId="0" borderId="1" xfId="0" applyNumberFormat="1" applyFont="1" applyFill="1" applyBorder="1"/>
    <xf numFmtId="4" fontId="14" fillId="0" borderId="4" xfId="0" applyNumberFormat="1" applyFont="1" applyFill="1" applyBorder="1"/>
    <xf numFmtId="4" fontId="14" fillId="0" borderId="1" xfId="5" applyNumberFormat="1" applyFont="1" applyFill="1" applyBorder="1" applyAlignment="1">
      <alignment horizontal="center"/>
    </xf>
    <xf numFmtId="43" fontId="14" fillId="0" borderId="1" xfId="1" applyNumberFormat="1" applyFont="1" applyFill="1" applyBorder="1"/>
    <xf numFmtId="165" fontId="14" fillId="0" borderId="1" xfId="0" applyNumberFormat="1" applyFont="1" applyFill="1" applyBorder="1"/>
    <xf numFmtId="0" fontId="27" fillId="0" borderId="1" xfId="0" applyFont="1" applyBorder="1" applyAlignment="1">
      <alignment vertical="top" wrapText="1"/>
    </xf>
    <xf numFmtId="4" fontId="11" fillId="0" borderId="0" xfId="0" applyNumberFormat="1" applyFont="1"/>
    <xf numFmtId="4" fontId="12" fillId="0" borderId="0" xfId="0" applyNumberFormat="1" applyFont="1"/>
    <xf numFmtId="4" fontId="14" fillId="0" borderId="0" xfId="0" applyNumberFormat="1" applyFont="1" applyAlignment="1"/>
    <xf numFmtId="0" fontId="14" fillId="0" borderId="1" xfId="0" applyFont="1" applyFill="1" applyBorder="1" applyAlignment="1">
      <alignment horizontal="left" vertical="top"/>
    </xf>
    <xf numFmtId="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28" fillId="0" borderId="0" xfId="0" applyFont="1"/>
    <xf numFmtId="4" fontId="14" fillId="8" borderId="1" xfId="0" applyNumberFormat="1" applyFont="1" applyFill="1" applyBorder="1" applyAlignment="1">
      <alignment horizontal="left"/>
    </xf>
    <xf numFmtId="0" fontId="14" fillId="8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left" vertical="top" wrapText="1"/>
    </xf>
    <xf numFmtId="43" fontId="25" fillId="0" borderId="1" xfId="0" applyNumberFormat="1" applyFont="1" applyBorder="1"/>
    <xf numFmtId="4" fontId="25" fillId="0" borderId="1" xfId="0" applyNumberFormat="1" applyFont="1" applyBorder="1" applyAlignment="1">
      <alignment horizontal="right"/>
    </xf>
    <xf numFmtId="4" fontId="25" fillId="4" borderId="1" xfId="0" applyNumberFormat="1" applyFont="1" applyFill="1" applyBorder="1" applyAlignment="1">
      <alignment horizontal="right"/>
    </xf>
    <xf numFmtId="164" fontId="14" fillId="12" borderId="1" xfId="0" applyNumberFormat="1" applyFont="1" applyFill="1" applyBorder="1" applyAlignment="1">
      <alignment horizontal="right" vertical="top"/>
    </xf>
    <xf numFmtId="1" fontId="14" fillId="12" borderId="1" xfId="0" applyNumberFormat="1" applyFont="1" applyFill="1" applyBorder="1" applyAlignment="1">
      <alignment vertical="top" wrapText="1"/>
    </xf>
    <xf numFmtId="4" fontId="25" fillId="4" borderId="1" xfId="0" applyNumberFormat="1" applyFont="1" applyFill="1" applyBorder="1"/>
    <xf numFmtId="164" fontId="25" fillId="0" borderId="1" xfId="0" applyNumberFormat="1" applyFont="1" applyBorder="1" applyAlignment="1">
      <alignment vertical="top" wrapText="1"/>
    </xf>
    <xf numFmtId="4" fontId="25" fillId="0" borderId="4" xfId="0" applyNumberFormat="1" applyFont="1" applyBorder="1"/>
    <xf numFmtId="4" fontId="25" fillId="4" borderId="4" xfId="0" applyNumberFormat="1" applyFont="1" applyFill="1" applyBorder="1"/>
    <xf numFmtId="1" fontId="14" fillId="8" borderId="1" xfId="0" applyNumberFormat="1" applyFont="1" applyFill="1" applyBorder="1" applyAlignment="1">
      <alignment vertical="top"/>
    </xf>
    <xf numFmtId="4" fontId="14" fillId="8" borderId="1" xfId="0" applyNumberFormat="1" applyFont="1" applyFill="1" applyBorder="1" applyAlignment="1">
      <alignment vertical="top" wrapText="1"/>
    </xf>
    <xf numFmtId="4" fontId="14" fillId="8" borderId="1" xfId="0" applyNumberFormat="1" applyFont="1" applyFill="1" applyBorder="1" applyAlignment="1">
      <alignment vertical="center"/>
    </xf>
    <xf numFmtId="3" fontId="14" fillId="8" borderId="1" xfId="0" applyNumberFormat="1" applyFont="1" applyFill="1" applyBorder="1"/>
    <xf numFmtId="4" fontId="14" fillId="8" borderId="1" xfId="0" applyNumberFormat="1" applyFont="1" applyFill="1" applyBorder="1"/>
    <xf numFmtId="0" fontId="14" fillId="8" borderId="1" xfId="6" applyFont="1" applyFill="1" applyBorder="1" applyAlignment="1">
      <alignment horizontal="center"/>
    </xf>
    <xf numFmtId="43" fontId="14" fillId="8" borderId="1" xfId="1" applyNumberFormat="1" applyFont="1" applyFill="1" applyBorder="1"/>
    <xf numFmtId="43" fontId="14" fillId="8" borderId="1" xfId="0" applyNumberFormat="1" applyFont="1" applyFill="1" applyBorder="1"/>
    <xf numFmtId="4" fontId="15" fillId="16" borderId="4" xfId="0" applyNumberFormat="1" applyFont="1" applyFill="1" applyBorder="1" applyAlignment="1">
      <alignment horizontal="center" vertical="center" wrapText="1"/>
    </xf>
    <xf numFmtId="4" fontId="15" fillId="16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2" fontId="31" fillId="2" borderId="0" xfId="0" applyNumberFormat="1" applyFont="1" applyFill="1"/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4" fontId="31" fillId="2" borderId="1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/>
    <xf numFmtId="4" fontId="14" fillId="4" borderId="4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vertical="center"/>
    </xf>
    <xf numFmtId="4" fontId="11" fillId="4" borderId="4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vertical="center" wrapText="1"/>
    </xf>
    <xf numFmtId="4" fontId="31" fillId="2" borderId="0" xfId="0" applyNumberFormat="1" applyFont="1" applyFill="1" applyAlignment="1">
      <alignment vertical="center"/>
    </xf>
    <xf numFmtId="4" fontId="12" fillId="4" borderId="1" xfId="0" applyNumberFormat="1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left" vertical="center"/>
    </xf>
    <xf numFmtId="4" fontId="30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left" vertical="center"/>
    </xf>
    <xf numFmtId="3" fontId="12" fillId="0" borderId="1" xfId="0" applyNumberFormat="1" applyFont="1" applyBorder="1"/>
    <xf numFmtId="1" fontId="12" fillId="0" borderId="1" xfId="0" applyNumberFormat="1" applyFont="1" applyBorder="1"/>
    <xf numFmtId="1" fontId="11" fillId="0" borderId="1" xfId="0" applyNumberFormat="1" applyFont="1" applyBorder="1"/>
    <xf numFmtId="4" fontId="11" fillId="4" borderId="1" xfId="0" applyNumberFormat="1" applyFont="1" applyFill="1" applyBorder="1" applyAlignment="1">
      <alignment horizontal="right" vertical="center"/>
    </xf>
    <xf numFmtId="4" fontId="15" fillId="4" borderId="4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left" vertical="top"/>
    </xf>
    <xf numFmtId="4" fontId="11" fillId="4" borderId="1" xfId="0" applyNumberFormat="1" applyFont="1" applyFill="1" applyBorder="1" applyAlignment="1">
      <alignment horizontal="right"/>
    </xf>
    <xf numFmtId="4" fontId="11" fillId="4" borderId="4" xfId="0" applyNumberFormat="1" applyFont="1" applyFill="1" applyBorder="1" applyAlignment="1">
      <alignment horizontal="right"/>
    </xf>
    <xf numFmtId="0" fontId="11" fillId="4" borderId="0" xfId="0" applyFont="1" applyFill="1"/>
    <xf numFmtId="0" fontId="32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2" fontId="31" fillId="2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center"/>
    </xf>
    <xf numFmtId="2" fontId="31" fillId="0" borderId="0" xfId="0" applyNumberFormat="1" applyFont="1"/>
    <xf numFmtId="2" fontId="12" fillId="0" borderId="0" xfId="0" applyNumberFormat="1" applyFont="1"/>
    <xf numFmtId="0" fontId="31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12" borderId="0" xfId="0" applyFont="1" applyFill="1" applyAlignment="1">
      <alignment horizontal="center"/>
    </xf>
    <xf numFmtId="4" fontId="14" fillId="0" borderId="2" xfId="0" applyNumberFormat="1" applyFont="1" applyBorder="1" applyAlignment="1">
      <alignment horizontal="center" vertical="center" textRotation="90"/>
    </xf>
    <xf numFmtId="4" fontId="14" fillId="0" borderId="12" xfId="0" applyNumberFormat="1" applyFont="1" applyBorder="1" applyAlignment="1">
      <alignment horizontal="center" vertical="center" textRotation="90"/>
    </xf>
    <xf numFmtId="4" fontId="14" fillId="0" borderId="3" xfId="0" applyNumberFormat="1" applyFont="1" applyBorder="1" applyAlignment="1">
      <alignment horizontal="center" vertical="center" textRotation="90"/>
    </xf>
    <xf numFmtId="4" fontId="15" fillId="0" borderId="4" xfId="0" applyNumberFormat="1" applyFont="1" applyBorder="1" applyAlignment="1">
      <alignment horizontal="center" vertical="top"/>
    </xf>
    <xf numFmtId="4" fontId="15" fillId="0" borderId="7" xfId="0" applyNumberFormat="1" applyFont="1" applyBorder="1" applyAlignment="1">
      <alignment horizontal="center" vertical="top"/>
    </xf>
    <xf numFmtId="4" fontId="15" fillId="0" borderId="5" xfId="0" applyNumberFormat="1" applyFont="1" applyBorder="1" applyAlignment="1">
      <alignment horizontal="center" vertical="top"/>
    </xf>
    <xf numFmtId="4" fontId="15" fillId="0" borderId="4" xfId="0" applyNumberFormat="1" applyFont="1" applyBorder="1" applyAlignment="1">
      <alignment horizontal="center" vertical="top" wrapText="1"/>
    </xf>
    <xf numFmtId="4" fontId="15" fillId="0" borderId="5" xfId="0" applyNumberFormat="1" applyFont="1" applyBorder="1" applyAlignment="1">
      <alignment horizontal="center" vertical="top" wrapText="1"/>
    </xf>
    <xf numFmtId="4" fontId="15" fillId="16" borderId="4" xfId="0" applyNumberFormat="1" applyFont="1" applyFill="1" applyBorder="1" applyAlignment="1">
      <alignment horizontal="center" vertical="center" wrapText="1"/>
    </xf>
    <xf numFmtId="4" fontId="15" fillId="16" borderId="5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4" fontId="15" fillId="1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top"/>
    </xf>
    <xf numFmtId="4" fontId="15" fillId="0" borderId="3" xfId="0" applyNumberFormat="1" applyFont="1" applyBorder="1" applyAlignment="1">
      <alignment horizontal="center" vertical="top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4" fontId="15" fillId="16" borderId="6" xfId="0" applyNumberFormat="1" applyFont="1" applyFill="1" applyBorder="1" applyAlignment="1">
      <alignment horizontal="center" vertical="center" wrapText="1"/>
    </xf>
    <xf numFmtId="4" fontId="15" fillId="16" borderId="14" xfId="0" applyNumberFormat="1" applyFont="1" applyFill="1" applyBorder="1" applyAlignment="1">
      <alignment horizontal="center" vertical="center" wrapText="1"/>
    </xf>
    <xf numFmtId="4" fontId="15" fillId="16" borderId="8" xfId="0" applyNumberFormat="1" applyFont="1" applyFill="1" applyBorder="1" applyAlignment="1">
      <alignment horizontal="center" vertical="center" wrapText="1"/>
    </xf>
    <xf numFmtId="4" fontId="15" fillId="16" borderId="10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wrapText="1"/>
    </xf>
    <xf numFmtId="4" fontId="15" fillId="0" borderId="13" xfId="0" applyNumberFormat="1" applyFont="1" applyBorder="1"/>
    <xf numFmtId="4" fontId="15" fillId="0" borderId="14" xfId="0" applyNumberFormat="1" applyFont="1" applyBorder="1"/>
    <xf numFmtId="4" fontId="15" fillId="0" borderId="8" xfId="0" applyNumberFormat="1" applyFont="1" applyBorder="1"/>
    <xf numFmtId="4" fontId="15" fillId="0" borderId="9" xfId="0" applyNumberFormat="1" applyFont="1" applyBorder="1"/>
    <xf numFmtId="4" fontId="15" fillId="0" borderId="10" xfId="0" applyNumberFormat="1" applyFont="1" applyBorder="1"/>
    <xf numFmtId="4" fontId="15" fillId="0" borderId="6" xfId="0" applyNumberFormat="1" applyFont="1" applyBorder="1"/>
    <xf numFmtId="4" fontId="15" fillId="8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4" fontId="15" fillId="16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0" fontId="11" fillId="0" borderId="4" xfId="0" applyNumberFormat="1" applyFont="1" applyBorder="1" applyAlignment="1">
      <alignment horizontal="center" vertical="top"/>
    </xf>
    <xf numFmtId="10" fontId="11" fillId="0" borderId="7" xfId="0" applyNumberFormat="1" applyFont="1" applyBorder="1" applyAlignment="1">
      <alignment horizontal="center" vertical="top"/>
    </xf>
    <xf numFmtId="10" fontId="11" fillId="0" borderId="5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16" borderId="1" xfId="0" applyFont="1" applyFill="1" applyBorder="1" applyAlignment="1">
      <alignment horizontal="right" vertical="top" wrapText="1"/>
    </xf>
    <xf numFmtId="4" fontId="15" fillId="4" borderId="6" xfId="0" applyNumberFormat="1" applyFont="1" applyFill="1" applyBorder="1" applyAlignment="1">
      <alignment horizontal="right" vertical="top"/>
    </xf>
    <xf numFmtId="4" fontId="15" fillId="4" borderId="13" xfId="0" applyNumberFormat="1" applyFont="1" applyFill="1" applyBorder="1" applyAlignment="1">
      <alignment horizontal="right" vertical="top"/>
    </xf>
    <xf numFmtId="4" fontId="15" fillId="4" borderId="8" xfId="0" applyNumberFormat="1" applyFont="1" applyFill="1" applyBorder="1" applyAlignment="1">
      <alignment horizontal="right" vertical="top"/>
    </xf>
    <xf numFmtId="4" fontId="15" fillId="4" borderId="9" xfId="0" applyNumberFormat="1" applyFont="1" applyFill="1" applyBorder="1" applyAlignment="1">
      <alignment horizontal="right" vertical="top"/>
    </xf>
    <xf numFmtId="3" fontId="15" fillId="4" borderId="6" xfId="0" applyNumberFormat="1" applyFont="1" applyFill="1" applyBorder="1" applyAlignment="1">
      <alignment horizontal="right" vertical="top"/>
    </xf>
    <xf numFmtId="3" fontId="15" fillId="4" borderId="13" xfId="0" applyNumberFormat="1" applyFont="1" applyFill="1" applyBorder="1" applyAlignment="1">
      <alignment horizontal="right" vertical="top"/>
    </xf>
    <xf numFmtId="3" fontId="15" fillId="4" borderId="14" xfId="0" applyNumberFormat="1" applyFont="1" applyFill="1" applyBorder="1" applyAlignment="1">
      <alignment horizontal="right" vertical="top"/>
    </xf>
    <xf numFmtId="3" fontId="15" fillId="4" borderId="8" xfId="0" applyNumberFormat="1" applyFont="1" applyFill="1" applyBorder="1" applyAlignment="1">
      <alignment horizontal="right" vertical="top"/>
    </xf>
    <xf numFmtId="3" fontId="15" fillId="4" borderId="9" xfId="0" applyNumberFormat="1" applyFont="1" applyFill="1" applyBorder="1" applyAlignment="1">
      <alignment horizontal="right" vertical="top"/>
    </xf>
    <xf numFmtId="3" fontId="15" fillId="4" borderId="10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horizontal="center" vertical="top" textRotation="90" wrapText="1"/>
    </xf>
    <xf numFmtId="0" fontId="14" fillId="4" borderId="12" xfId="0" applyFont="1" applyFill="1" applyBorder="1" applyAlignment="1">
      <alignment horizontal="center" vertical="top" textRotation="90" wrapText="1"/>
    </xf>
    <xf numFmtId="0" fontId="14" fillId="4" borderId="3" xfId="0" applyFont="1" applyFill="1" applyBorder="1" applyAlignment="1">
      <alignment horizontal="center" vertical="top" textRotation="90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center" vertical="top"/>
    </xf>
    <xf numFmtId="10" fontId="15" fillId="0" borderId="4" xfId="0" applyNumberFormat="1" applyFont="1" applyBorder="1" applyAlignment="1">
      <alignment horizontal="center" vertical="top"/>
    </xf>
    <xf numFmtId="10" fontId="15" fillId="0" borderId="7" xfId="0" applyNumberFormat="1" applyFont="1" applyBorder="1" applyAlignment="1">
      <alignment horizontal="center" vertical="top"/>
    </xf>
    <xf numFmtId="10" fontId="15" fillId="0" borderId="5" xfId="0" applyNumberFormat="1" applyFont="1" applyBorder="1" applyAlignment="1">
      <alignment horizontal="center" vertical="top"/>
    </xf>
    <xf numFmtId="0" fontId="15" fillId="4" borderId="1" xfId="0" applyFont="1" applyFill="1" applyBorder="1" applyAlignment="1">
      <alignment horizontal="right" vertical="top"/>
    </xf>
    <xf numFmtId="0" fontId="15" fillId="16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4" fontId="15" fillId="0" borderId="6" xfId="0" applyNumberFormat="1" applyFont="1" applyBorder="1" applyAlignment="1">
      <alignment horizontal="left" vertical="top" wrapText="1"/>
    </xf>
    <xf numFmtId="4" fontId="15" fillId="0" borderId="13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left" vertical="top" wrapText="1"/>
    </xf>
    <xf numFmtId="4" fontId="15" fillId="0" borderId="8" xfId="0" applyNumberFormat="1" applyFont="1" applyBorder="1" applyAlignment="1">
      <alignment horizontal="left" vertical="top" wrapText="1"/>
    </xf>
    <xf numFmtId="4" fontId="15" fillId="0" borderId="9" xfId="0" applyNumberFormat="1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3" fontId="15" fillId="0" borderId="6" xfId="0" applyNumberFormat="1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right" vertical="top" wrapText="1"/>
    </xf>
    <xf numFmtId="4" fontId="14" fillId="0" borderId="3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6" borderId="6" xfId="0" applyFont="1" applyFill="1" applyBorder="1" applyAlignment="1">
      <alignment horizontal="center" vertical="top" wrapText="1"/>
    </xf>
    <xf numFmtId="0" fontId="15" fillId="16" borderId="14" xfId="0" applyFont="1" applyFill="1" applyBorder="1" applyAlignment="1">
      <alignment horizontal="center" vertical="top" wrapText="1"/>
    </xf>
    <xf numFmtId="0" fontId="15" fillId="16" borderId="8" xfId="0" applyFont="1" applyFill="1" applyBorder="1" applyAlignment="1">
      <alignment horizontal="center" vertical="top" wrapText="1"/>
    </xf>
    <xf numFmtId="0" fontId="15" fillId="16" borderId="10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16" borderId="4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2" fillId="16" borderId="1" xfId="0" applyFont="1" applyFill="1" applyBorder="1" applyAlignment="1">
      <alignment horizontal="center" vertical="top" wrapText="1"/>
    </xf>
    <xf numFmtId="0" fontId="2" fillId="16" borderId="4" xfId="0" applyFont="1" applyFill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left" vertical="top" wrapText="1"/>
    </xf>
    <xf numFmtId="4" fontId="15" fillId="0" borderId="3" xfId="0" applyNumberFormat="1" applyFont="1" applyBorder="1" applyAlignment="1">
      <alignment horizontal="left" vertical="top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center" vertical="top"/>
    </xf>
    <xf numFmtId="3" fontId="15" fillId="0" borderId="14" xfId="0" applyNumberFormat="1" applyFont="1" applyBorder="1" applyAlignment="1">
      <alignment horizontal="center" vertical="top"/>
    </xf>
    <xf numFmtId="3" fontId="15" fillId="0" borderId="8" xfId="0" applyNumberFormat="1" applyFont="1" applyBorder="1" applyAlignment="1">
      <alignment horizontal="center" vertical="top"/>
    </xf>
    <xf numFmtId="3" fontId="15" fillId="0" borderId="9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/>
    </xf>
    <xf numFmtId="4" fontId="15" fillId="0" borderId="13" xfId="0" applyNumberFormat="1" applyFont="1" applyBorder="1" applyAlignment="1">
      <alignment horizontal="center" vertical="top"/>
    </xf>
    <xf numFmtId="4" fontId="15" fillId="0" borderId="14" xfId="0" applyNumberFormat="1" applyFont="1" applyBorder="1" applyAlignment="1">
      <alignment horizontal="center" vertical="top"/>
    </xf>
    <xf numFmtId="4" fontId="15" fillId="0" borderId="8" xfId="0" applyNumberFormat="1" applyFont="1" applyBorder="1" applyAlignment="1">
      <alignment horizontal="center" vertical="top"/>
    </xf>
    <xf numFmtId="4" fontId="15" fillId="0" borderId="9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</cellXfs>
  <cellStyles count="1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1_1" xfId="5" xr:uid="{00000000-0005-0000-0000-000005000000}"/>
    <cellStyle name="Normal_DT_1_2" xfId="6" xr:uid="{00000000-0005-0000-0000-000006000000}"/>
    <cellStyle name="Normal_DT_2_1" xfId="7" xr:uid="{00000000-0005-0000-0000-000007000000}"/>
    <cellStyle name="Normal_DT_2_2" xfId="8" xr:uid="{00000000-0005-0000-0000-000008000000}"/>
    <cellStyle name="Normal_DT_2_3" xfId="9" xr:uid="{00000000-0005-0000-0000-000009000000}"/>
    <cellStyle name="Normal_DT_3_1" xfId="10" xr:uid="{00000000-0005-0000-0000-00000A000000}"/>
    <cellStyle name="Normal_DT_3_2" xfId="11" xr:uid="{00000000-0005-0000-0000-00000B000000}"/>
    <cellStyle name="Normal_DT_4_1" xfId="12" xr:uid="{00000000-0005-0000-0000-00000C000000}"/>
    <cellStyle name="Normal_DT_4_2" xfId="13" xr:uid="{00000000-0005-0000-0000-00000D000000}"/>
    <cellStyle name="Normal_DT_4_3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workbookViewId="0">
      <pane ySplit="8" topLeftCell="A21" activePane="bottomLeft" state="frozen"/>
      <selection activeCell="B1" sqref="B1"/>
      <selection pane="bottomLeft" activeCell="E31" sqref="E31:N31"/>
    </sheetView>
  </sheetViews>
  <sheetFormatPr defaultRowHeight="15" x14ac:dyDescent="0.25"/>
  <cols>
    <col min="1" max="1" width="5.7109375" customWidth="1"/>
    <col min="2" max="2" width="8" customWidth="1"/>
    <col min="3" max="3" width="56.42578125" customWidth="1"/>
    <col min="4" max="4" width="16.85546875" customWidth="1"/>
    <col min="5" max="6" width="14.85546875" customWidth="1"/>
    <col min="7" max="7" width="14.28515625" customWidth="1"/>
    <col min="8" max="8" width="15.140625" customWidth="1"/>
    <col min="9" max="9" width="14.85546875" customWidth="1"/>
    <col min="10" max="10" width="15.28515625" customWidth="1"/>
    <col min="11" max="11" width="5.7109375" customWidth="1"/>
    <col min="12" max="12" width="7.42578125" customWidth="1"/>
    <col min="13" max="13" width="14.28515625" customWidth="1"/>
    <col min="14" max="14" width="15" customWidth="1"/>
    <col min="15" max="15" width="16.7109375" bestFit="1" customWidth="1"/>
    <col min="16" max="16" width="13.140625" bestFit="1" customWidth="1"/>
  </cols>
  <sheetData>
    <row r="1" spans="1:16" ht="13.5" customHeight="1" x14ac:dyDescent="0.35">
      <c r="A1" s="794"/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</row>
    <row r="2" spans="1:16" ht="23.25" x14ac:dyDescent="0.35">
      <c r="A2" s="794" t="s">
        <v>404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</row>
    <row r="3" spans="1:16" ht="23.25" x14ac:dyDescent="0.35">
      <c r="A3" s="794" t="s">
        <v>827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</row>
    <row r="4" spans="1:16" ht="23.25" x14ac:dyDescent="0.35">
      <c r="A4" s="795" t="s">
        <v>5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</row>
    <row r="5" spans="1:16" ht="17.4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3"/>
      <c r="O5" s="2"/>
    </row>
    <row r="6" spans="1:16" s="11" customFormat="1" ht="22.9" customHeight="1" x14ac:dyDescent="0.25">
      <c r="A6" s="788" t="s">
        <v>64</v>
      </c>
      <c r="B6" s="788" t="s">
        <v>62</v>
      </c>
      <c r="C6" s="804" t="s">
        <v>14</v>
      </c>
      <c r="D6" s="788" t="s">
        <v>828</v>
      </c>
      <c r="E6" s="790" t="s">
        <v>468</v>
      </c>
      <c r="F6" s="791"/>
      <c r="G6" s="791"/>
      <c r="H6" s="791"/>
      <c r="I6" s="791"/>
      <c r="J6" s="791"/>
      <c r="K6" s="791"/>
      <c r="L6" s="791"/>
      <c r="M6" s="791"/>
      <c r="N6" s="791"/>
      <c r="O6" s="792"/>
    </row>
    <row r="7" spans="1:16" s="11" customFormat="1" ht="33.75" customHeight="1" x14ac:dyDescent="0.25">
      <c r="A7" s="789"/>
      <c r="B7" s="789"/>
      <c r="C7" s="805"/>
      <c r="D7" s="789"/>
      <c r="E7" s="110" t="s">
        <v>457</v>
      </c>
      <c r="F7" s="110" t="s">
        <v>458</v>
      </c>
      <c r="G7" s="110" t="s">
        <v>459</v>
      </c>
      <c r="H7" s="110" t="s">
        <v>460</v>
      </c>
      <c r="I7" s="110" t="s">
        <v>461</v>
      </c>
      <c r="J7" s="110" t="s">
        <v>462</v>
      </c>
      <c r="K7" s="110" t="s">
        <v>463</v>
      </c>
      <c r="L7" s="110" t="s">
        <v>464</v>
      </c>
      <c r="M7" s="110" t="s">
        <v>465</v>
      </c>
      <c r="N7" s="110" t="s">
        <v>466</v>
      </c>
      <c r="O7" s="10" t="s">
        <v>42</v>
      </c>
    </row>
    <row r="8" spans="1:16" ht="9.75" customHeight="1" x14ac:dyDescent="0.25">
      <c r="A8" s="796"/>
      <c r="B8" s="797"/>
      <c r="C8" s="797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</row>
    <row r="9" spans="1:16" ht="18" customHeight="1" x14ac:dyDescent="0.25">
      <c r="A9" s="798">
        <v>1</v>
      </c>
      <c r="B9" s="12">
        <v>10000</v>
      </c>
      <c r="C9" s="13" t="s">
        <v>0</v>
      </c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</row>
    <row r="10" spans="1:16" x14ac:dyDescent="0.25">
      <c r="A10" s="799"/>
      <c r="B10" s="16">
        <v>11000</v>
      </c>
      <c r="C10" s="17" t="str">
        <f>'1.1'!C9</f>
        <v>Community Institutions Development</v>
      </c>
      <c r="D10" s="22">
        <f>'1.1'!G72</f>
        <v>200490250</v>
      </c>
      <c r="E10" s="22">
        <f>'1.1'!H72</f>
        <v>67564450</v>
      </c>
      <c r="F10" s="22">
        <f>'1.1'!I72</f>
        <v>132925800</v>
      </c>
      <c r="G10" s="22">
        <f>'1.1'!J72</f>
        <v>0</v>
      </c>
      <c r="H10" s="22">
        <f>'1.1'!K72</f>
        <v>0</v>
      </c>
      <c r="I10" s="22">
        <f>'1.1'!L72</f>
        <v>0</v>
      </c>
      <c r="J10" s="22">
        <f>'1.1'!M72</f>
        <v>0</v>
      </c>
      <c r="K10" s="22">
        <f>'1.1'!N72</f>
        <v>0</v>
      </c>
      <c r="L10" s="22">
        <f>'1.1'!O72</f>
        <v>0</v>
      </c>
      <c r="M10" s="22">
        <f>'1.1'!P72</f>
        <v>0</v>
      </c>
      <c r="N10" s="22">
        <f>'1.1'!Q72</f>
        <v>0</v>
      </c>
      <c r="O10" s="23">
        <f>N10+M10+L10+K10+J10+I10+H10+G10+F10+E10</f>
        <v>200490250</v>
      </c>
    </row>
    <row r="11" spans="1:16" ht="18" customHeight="1" x14ac:dyDescent="0.25">
      <c r="A11" s="799"/>
      <c r="B11" s="16">
        <v>12000</v>
      </c>
      <c r="C11" s="17" t="str">
        <f>'1.2 '!C9</f>
        <v>Stregthening SHGs and Rural Finance</v>
      </c>
      <c r="D11" s="22">
        <f>'1.2 '!G74</f>
        <v>46923950</v>
      </c>
      <c r="E11" s="22">
        <f>'1.2 '!H74</f>
        <v>4701590</v>
      </c>
      <c r="F11" s="22">
        <f>'1.2 '!I74</f>
        <v>42222360</v>
      </c>
      <c r="G11" s="22">
        <f>'1.2 '!J74</f>
        <v>0</v>
      </c>
      <c r="H11" s="22">
        <f>'1.2 '!K74</f>
        <v>0</v>
      </c>
      <c r="I11" s="22">
        <f>'1.2 '!L74</f>
        <v>0</v>
      </c>
      <c r="J11" s="22">
        <f>'1.2 '!M74</f>
        <v>0</v>
      </c>
      <c r="K11" s="22">
        <f>'1.2 '!N74</f>
        <v>0</v>
      </c>
      <c r="L11" s="22">
        <f>'1.2 '!O74</f>
        <v>0</v>
      </c>
      <c r="M11" s="22">
        <f>'1.2 '!P74</f>
        <v>0</v>
      </c>
      <c r="N11" s="22">
        <f>'1.2 '!Q74</f>
        <v>0</v>
      </c>
      <c r="O11" s="23">
        <f>N11+M11+L11+K11+J11+I11+H11+G11+F11+E11</f>
        <v>46923950</v>
      </c>
    </row>
    <row r="12" spans="1:16" ht="14.25" customHeight="1" x14ac:dyDescent="0.25">
      <c r="A12" s="800"/>
      <c r="B12" s="18"/>
      <c r="C12" s="19" t="s">
        <v>3</v>
      </c>
      <c r="D12" s="24">
        <f>SUM(D10:D11)</f>
        <v>247414200</v>
      </c>
      <c r="E12" s="24">
        <f t="shared" ref="E12:N12" si="0">SUM(E10:E11)</f>
        <v>72266040</v>
      </c>
      <c r="F12" s="24">
        <f t="shared" si="0"/>
        <v>175148160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5">
        <f>SUM(E12:N12)</f>
        <v>247414200</v>
      </c>
    </row>
    <row r="13" spans="1:16" x14ac:dyDescent="0.25">
      <c r="A13" s="2"/>
      <c r="B13" s="20"/>
      <c r="C13" s="21"/>
      <c r="D13" s="26"/>
      <c r="E13" s="26"/>
      <c r="F13" s="26"/>
      <c r="G13" s="26"/>
      <c r="H13" s="26"/>
      <c r="I13" s="26"/>
      <c r="J13" s="26"/>
      <c r="K13" s="26"/>
      <c r="L13" s="23"/>
      <c r="M13" s="23"/>
      <c r="N13" s="23"/>
      <c r="O13" s="23"/>
    </row>
    <row r="14" spans="1:16" x14ac:dyDescent="0.25">
      <c r="A14" s="798">
        <v>2</v>
      </c>
      <c r="B14" s="12">
        <v>20000</v>
      </c>
      <c r="C14" s="360" t="s">
        <v>200</v>
      </c>
      <c r="D14" s="27"/>
      <c r="E14" s="27"/>
      <c r="F14" s="27"/>
      <c r="G14" s="27"/>
      <c r="H14" s="27"/>
      <c r="I14" s="27"/>
      <c r="J14" s="27"/>
      <c r="K14" s="27"/>
      <c r="L14" s="23"/>
      <c r="M14" s="23"/>
      <c r="N14" s="23"/>
      <c r="O14" s="23"/>
    </row>
    <row r="15" spans="1:16" x14ac:dyDescent="0.25">
      <c r="A15" s="799"/>
      <c r="B15" s="88">
        <f>'2.1'!C10</f>
        <v>21000</v>
      </c>
      <c r="C15" s="87" t="str">
        <f>'2.1'!D10</f>
        <v>Natural Resource Management</v>
      </c>
      <c r="D15" s="22">
        <f>'2.1'!H132</f>
        <v>650629700</v>
      </c>
      <c r="E15" s="22">
        <f>'2.1'!I132</f>
        <v>44715500</v>
      </c>
      <c r="F15" s="22">
        <f>'2.1'!J132</f>
        <v>227742000</v>
      </c>
      <c r="G15" s="22">
        <f>'2.1'!K132</f>
        <v>0</v>
      </c>
      <c r="H15" s="22">
        <f>'2.1'!L132</f>
        <v>0</v>
      </c>
      <c r="I15" s="22">
        <f>'2.1'!M132</f>
        <v>51000000</v>
      </c>
      <c r="J15" s="22">
        <f>'2.1'!N132</f>
        <v>170177500</v>
      </c>
      <c r="K15" s="22">
        <f>'2.1'!O132</f>
        <v>0</v>
      </c>
      <c r="L15" s="22">
        <f>'2.1'!P132</f>
        <v>0</v>
      </c>
      <c r="M15" s="22">
        <f>'2.1'!Q132</f>
        <v>20395000</v>
      </c>
      <c r="N15" s="22">
        <f>'2.1'!R132</f>
        <v>136599700</v>
      </c>
      <c r="O15" s="23">
        <f>N15+M15+L15+K15+J15+I15+H15+G15+F15+E15</f>
        <v>650629700</v>
      </c>
      <c r="P15" s="161"/>
    </row>
    <row r="16" spans="1:16" x14ac:dyDescent="0.25">
      <c r="A16" s="799"/>
      <c r="B16" s="88">
        <f>'2.2'!B9</f>
        <v>22000</v>
      </c>
      <c r="C16" s="87" t="str">
        <f>'2.2'!C9</f>
        <v xml:space="preserve"> Food and Nutrition Security</v>
      </c>
      <c r="D16" s="22">
        <f>'2.2'!G34</f>
        <v>40154000</v>
      </c>
      <c r="E16" s="22">
        <f>'2.2'!H34</f>
        <v>5510800</v>
      </c>
      <c r="F16" s="22">
        <f>'2.2'!I34</f>
        <v>32123200</v>
      </c>
      <c r="G16" s="22">
        <f>'2.2'!J34</f>
        <v>2520000</v>
      </c>
      <c r="H16" s="22">
        <f>'2.2'!K34</f>
        <v>0</v>
      </c>
      <c r="I16" s="22">
        <f>'2.2'!L34</f>
        <v>0</v>
      </c>
      <c r="J16" s="22">
        <f>'2.2'!M34</f>
        <v>0</v>
      </c>
      <c r="K16" s="22">
        <f>'2.2'!N34</f>
        <v>0</v>
      </c>
      <c r="L16" s="22">
        <f>'2.2'!O34</f>
        <v>0</v>
      </c>
      <c r="M16" s="22">
        <f>'2.2'!P34</f>
        <v>0</v>
      </c>
      <c r="N16" s="22">
        <f>'2.2'!Q34</f>
        <v>0</v>
      </c>
      <c r="O16" s="23">
        <f>N16+M16+L16+K16+J16+I16+H16+G16+F16+E16</f>
        <v>40154000</v>
      </c>
    </row>
    <row r="17" spans="1:15" x14ac:dyDescent="0.25">
      <c r="A17" s="799"/>
      <c r="B17" s="88">
        <f>'2.3'!B10</f>
        <v>23100</v>
      </c>
      <c r="C17" s="87" t="str">
        <f>'2.3'!C9</f>
        <v>Livelihoods Improvement</v>
      </c>
      <c r="D17" s="22">
        <f>'2.3'!G56</f>
        <v>221000000</v>
      </c>
      <c r="E17" s="22">
        <f>'2.3'!H56</f>
        <v>13695400</v>
      </c>
      <c r="F17" s="22">
        <f>'2.3'!I56</f>
        <v>174469600</v>
      </c>
      <c r="G17" s="22">
        <f>'2.3'!J56</f>
        <v>1811000</v>
      </c>
      <c r="H17" s="22">
        <f>'2.3'!K56</f>
        <v>0</v>
      </c>
      <c r="I17" s="22">
        <f>'2.3'!L56</f>
        <v>9058200</v>
      </c>
      <c r="J17" s="22">
        <f>'2.3'!M56</f>
        <v>0</v>
      </c>
      <c r="K17" s="22">
        <f>'2.3'!N56</f>
        <v>0</v>
      </c>
      <c r="L17" s="22">
        <f>'2.3'!O56</f>
        <v>0</v>
      </c>
      <c r="M17" s="22">
        <f>'2.3'!P56</f>
        <v>11765800</v>
      </c>
      <c r="N17" s="22">
        <f>'2.3'!Q56</f>
        <v>10200000</v>
      </c>
      <c r="O17" s="23">
        <f>N17+M17+L17+K17+J17+I17+H17+G17+F17+E17</f>
        <v>221000000</v>
      </c>
    </row>
    <row r="18" spans="1:15" x14ac:dyDescent="0.25">
      <c r="A18" s="800"/>
      <c r="B18" s="18"/>
      <c r="C18" s="19" t="s">
        <v>3</v>
      </c>
      <c r="D18" s="24">
        <f t="shared" ref="D18:N18" si="1">SUM(D15:D17)</f>
        <v>911783700</v>
      </c>
      <c r="E18" s="24">
        <f t="shared" si="1"/>
        <v>63921700</v>
      </c>
      <c r="F18" s="24">
        <f t="shared" si="1"/>
        <v>434334800</v>
      </c>
      <c r="G18" s="24">
        <f t="shared" si="1"/>
        <v>4331000</v>
      </c>
      <c r="H18" s="24">
        <f t="shared" si="1"/>
        <v>0</v>
      </c>
      <c r="I18" s="24">
        <f t="shared" si="1"/>
        <v>60058200</v>
      </c>
      <c r="J18" s="24">
        <f t="shared" si="1"/>
        <v>170177500</v>
      </c>
      <c r="K18" s="24">
        <f t="shared" si="1"/>
        <v>0</v>
      </c>
      <c r="L18" s="24">
        <f t="shared" si="1"/>
        <v>0</v>
      </c>
      <c r="M18" s="24">
        <f t="shared" si="1"/>
        <v>32160800</v>
      </c>
      <c r="N18" s="24">
        <f t="shared" si="1"/>
        <v>146799700</v>
      </c>
      <c r="O18" s="25">
        <f>SUM(E18:N18)</f>
        <v>911783700</v>
      </c>
    </row>
    <row r="19" spans="1:15" ht="13.5" customHeight="1" x14ac:dyDescent="0.25">
      <c r="A19" s="2"/>
      <c r="B19" s="20"/>
      <c r="C19" s="21"/>
      <c r="D19" s="26"/>
      <c r="E19" s="26"/>
      <c r="F19" s="26"/>
      <c r="G19" s="26"/>
      <c r="H19" s="26"/>
      <c r="I19" s="26"/>
      <c r="J19" s="26"/>
      <c r="K19" s="26"/>
      <c r="L19" s="23"/>
      <c r="M19" s="23"/>
      <c r="N19" s="23"/>
      <c r="O19" s="23"/>
    </row>
    <row r="20" spans="1:15" x14ac:dyDescent="0.25">
      <c r="A20" s="798">
        <v>3</v>
      </c>
      <c r="B20" s="12">
        <v>30000</v>
      </c>
      <c r="C20" s="13" t="s">
        <v>202</v>
      </c>
      <c r="D20" s="27"/>
      <c r="E20" s="27"/>
      <c r="F20" s="27"/>
      <c r="G20" s="27"/>
      <c r="H20" s="27"/>
      <c r="I20" s="27"/>
      <c r="J20" s="27"/>
      <c r="K20" s="27"/>
      <c r="L20" s="23"/>
      <c r="M20" s="23"/>
      <c r="N20" s="23"/>
      <c r="O20" s="23"/>
    </row>
    <row r="21" spans="1:15" x14ac:dyDescent="0.25">
      <c r="A21" s="799"/>
      <c r="B21" s="16">
        <f>'3.1 '!C9</f>
        <v>31000</v>
      </c>
      <c r="C21" s="87" t="str">
        <f>'3.1 '!D9</f>
        <v>Community Infrastructure</v>
      </c>
      <c r="D21" s="22">
        <f>'3.1 '!H53</f>
        <v>444184000</v>
      </c>
      <c r="E21" s="22">
        <f>'3.1 '!I53</f>
        <v>17357000</v>
      </c>
      <c r="F21" s="22">
        <f>'3.1 '!J53</f>
        <v>75600000</v>
      </c>
      <c r="G21" s="22">
        <f>'3.1 '!K53</f>
        <v>43095000</v>
      </c>
      <c r="H21" s="22">
        <f>'3.1 '!L53</f>
        <v>55000000</v>
      </c>
      <c r="I21" s="22">
        <f>'3.1 '!M53</f>
        <v>250957000</v>
      </c>
      <c r="J21" s="22">
        <f>'3.1 '!N53</f>
        <v>720000</v>
      </c>
      <c r="K21" s="22">
        <f>'3.1 '!O53</f>
        <v>0</v>
      </c>
      <c r="L21" s="22">
        <f>'3.1 '!P53</f>
        <v>0</v>
      </c>
      <c r="M21" s="22">
        <f>'3.1 '!Q53</f>
        <v>1455000</v>
      </c>
      <c r="N21" s="22">
        <f>'3.1 '!R53</f>
        <v>0</v>
      </c>
      <c r="O21" s="23">
        <f>N21+M21+L21+K21+J21+I21+H21+G21+F21+E21</f>
        <v>444184000</v>
      </c>
    </row>
    <row r="22" spans="1:15" x14ac:dyDescent="0.25">
      <c r="A22" s="799"/>
      <c r="B22" s="16">
        <f>'3.2 '!B10</f>
        <v>32000</v>
      </c>
      <c r="C22" s="87" t="str">
        <f>'3.2 '!C10</f>
        <v>Drudgery Reduction</v>
      </c>
      <c r="D22" s="22">
        <f>'3.2 '!G52</f>
        <v>231620000</v>
      </c>
      <c r="E22" s="22">
        <f>'3.2 '!H52</f>
        <v>14903000</v>
      </c>
      <c r="F22" s="22">
        <f>'3.2 '!I52</f>
        <v>143696000</v>
      </c>
      <c r="G22" s="22">
        <f>'3.2 '!J52</f>
        <v>0</v>
      </c>
      <c r="H22" s="22">
        <f>'3.2 '!K52</f>
        <v>0</v>
      </c>
      <c r="I22" s="22">
        <f>'3.2 '!L52</f>
        <v>58178000</v>
      </c>
      <c r="J22" s="22">
        <f>'3.2 '!M52</f>
        <v>0</v>
      </c>
      <c r="K22" s="22">
        <f>'3.2 '!N52</f>
        <v>0</v>
      </c>
      <c r="L22" s="22">
        <f>'3.2 '!O52</f>
        <v>0</v>
      </c>
      <c r="M22" s="22">
        <f>'3.2 '!P52</f>
        <v>14843000</v>
      </c>
      <c r="N22" s="22">
        <f>'3.2 '!Q52</f>
        <v>0</v>
      </c>
      <c r="O22" s="23">
        <f>N22+M22+L22+K22+J22+I22+H22+G22+F22+E22</f>
        <v>231620000</v>
      </c>
    </row>
    <row r="23" spans="1:15" x14ac:dyDescent="0.25">
      <c r="A23" s="800"/>
      <c r="B23" s="18"/>
      <c r="C23" s="19" t="s">
        <v>3</v>
      </c>
      <c r="D23" s="24">
        <f>SUM(D21:D22)</f>
        <v>675804000</v>
      </c>
      <c r="E23" s="24">
        <f t="shared" ref="E23:N23" si="2">SUM(E21:E22)</f>
        <v>32260000</v>
      </c>
      <c r="F23" s="24">
        <f t="shared" si="2"/>
        <v>219296000</v>
      </c>
      <c r="G23" s="24">
        <f t="shared" si="2"/>
        <v>43095000</v>
      </c>
      <c r="H23" s="24">
        <f t="shared" si="2"/>
        <v>55000000</v>
      </c>
      <c r="I23" s="24">
        <f t="shared" si="2"/>
        <v>309135000</v>
      </c>
      <c r="J23" s="24">
        <f t="shared" si="2"/>
        <v>720000</v>
      </c>
      <c r="K23" s="24">
        <f t="shared" si="2"/>
        <v>0</v>
      </c>
      <c r="L23" s="24">
        <f t="shared" si="2"/>
        <v>0</v>
      </c>
      <c r="M23" s="24">
        <f t="shared" si="2"/>
        <v>16298000</v>
      </c>
      <c r="N23" s="24">
        <f t="shared" si="2"/>
        <v>0</v>
      </c>
      <c r="O23" s="25">
        <f>SUM(E23:N23)</f>
        <v>675804000</v>
      </c>
    </row>
    <row r="24" spans="1:15" x14ac:dyDescent="0.25">
      <c r="A24" s="2"/>
      <c r="B24" s="20"/>
      <c r="C24" s="21"/>
      <c r="D24" s="26"/>
      <c r="E24" s="26"/>
      <c r="F24" s="26"/>
      <c r="G24" s="26"/>
      <c r="H24" s="26"/>
      <c r="I24" s="26"/>
      <c r="J24" s="26"/>
      <c r="K24" s="26"/>
      <c r="L24" s="23"/>
      <c r="M24" s="23"/>
      <c r="N24" s="23"/>
      <c r="O24" s="23"/>
    </row>
    <row r="25" spans="1:15" x14ac:dyDescent="0.25">
      <c r="A25" s="798">
        <v>4</v>
      </c>
      <c r="B25" s="12">
        <v>40000</v>
      </c>
      <c r="C25" s="13" t="str">
        <f>'4.1 '!C5:Q5</f>
        <v>Programme Management</v>
      </c>
      <c r="D25" s="27"/>
      <c r="E25" s="27"/>
      <c r="F25" s="27"/>
      <c r="G25" s="27"/>
      <c r="H25" s="27"/>
      <c r="I25" s="27"/>
      <c r="J25" s="27"/>
      <c r="K25" s="27"/>
      <c r="L25" s="25"/>
      <c r="M25" s="25"/>
      <c r="N25" s="25"/>
      <c r="O25" s="193"/>
    </row>
    <row r="26" spans="1:15" ht="15.75" customHeight="1" x14ac:dyDescent="0.25">
      <c r="A26" s="799"/>
      <c r="B26" s="16">
        <v>41000</v>
      </c>
      <c r="C26" s="17" t="str">
        <f>'4.1 '!C10</f>
        <v xml:space="preserve"> Project Management Unit</v>
      </c>
      <c r="D26" s="23">
        <f>'4.1 '!G117</f>
        <v>59242000</v>
      </c>
      <c r="E26" s="23">
        <f>'4.1 '!H117</f>
        <v>24038000</v>
      </c>
      <c r="F26" s="23">
        <f>'4.1 '!I117</f>
        <v>35204000</v>
      </c>
      <c r="G26" s="23">
        <f>'4.1 '!J117</f>
        <v>0</v>
      </c>
      <c r="H26" s="23">
        <f>'4.1 '!K117</f>
        <v>0</v>
      </c>
      <c r="I26" s="23">
        <f>'4.1 '!L117</f>
        <v>0</v>
      </c>
      <c r="J26" s="23">
        <f>'4.1 '!M117</f>
        <v>0</v>
      </c>
      <c r="K26" s="23">
        <f>'4.1 '!N117</f>
        <v>0</v>
      </c>
      <c r="L26" s="23">
        <f>'4.1 '!O117</f>
        <v>0</v>
      </c>
      <c r="M26" s="23">
        <f>'4.1 '!P117</f>
        <v>0</v>
      </c>
      <c r="N26" s="23">
        <f>'4.1 '!Q117</f>
        <v>0</v>
      </c>
      <c r="O26" s="194">
        <f>N26+M26+L26+K26+J26+I26+H26+G26+F26+E26</f>
        <v>59242000</v>
      </c>
    </row>
    <row r="27" spans="1:15" ht="15.75" customHeight="1" x14ac:dyDescent="0.25">
      <c r="A27" s="799"/>
      <c r="B27" s="16">
        <f>'4.2'!B10</f>
        <v>42000</v>
      </c>
      <c r="C27" s="86" t="str">
        <f>'4.2'!C10</f>
        <v>Micro-Project Agency  Unit</v>
      </c>
      <c r="D27" s="23">
        <f>'4.2'!G112</f>
        <v>94103900</v>
      </c>
      <c r="E27" s="23">
        <f>'4.2'!H112</f>
        <v>35748700</v>
      </c>
      <c r="F27" s="23">
        <f>'4.2'!I112</f>
        <v>58355200</v>
      </c>
      <c r="G27" s="23">
        <f>'4.2'!J112</f>
        <v>0</v>
      </c>
      <c r="H27" s="23">
        <f>'4.2'!K112</f>
        <v>0</v>
      </c>
      <c r="I27" s="23">
        <f>'4.2'!L112</f>
        <v>0</v>
      </c>
      <c r="J27" s="23">
        <f>'4.2'!M112</f>
        <v>0</v>
      </c>
      <c r="K27" s="23">
        <f>'4.2'!N112</f>
        <v>0</v>
      </c>
      <c r="L27" s="23">
        <f>'4.2'!O112</f>
        <v>0</v>
      </c>
      <c r="M27" s="23">
        <f>'4.2'!P112</f>
        <v>0</v>
      </c>
      <c r="N27" s="23">
        <f>'4.2'!Q112</f>
        <v>0</v>
      </c>
      <c r="O27" s="194">
        <f>N27+M27+L27+K27+J27+I27+H27+G27+F27+E27</f>
        <v>94103900</v>
      </c>
    </row>
    <row r="28" spans="1:15" x14ac:dyDescent="0.25">
      <c r="A28" s="799"/>
      <c r="B28" s="16">
        <f>'4.3 '!B10</f>
        <v>43000</v>
      </c>
      <c r="C28" s="86" t="str">
        <f>'4.3 '!C10</f>
        <v>Monitoring and Evaluation and KM</v>
      </c>
      <c r="D28" s="23">
        <f>'4.3 '!G42</f>
        <v>7925000</v>
      </c>
      <c r="E28" s="23">
        <f>'4.3 '!H42</f>
        <v>1585000</v>
      </c>
      <c r="F28" s="23">
        <f>'4.3 '!I42</f>
        <v>6340000</v>
      </c>
      <c r="G28" s="23">
        <f>'4.3 '!J42</f>
        <v>0</v>
      </c>
      <c r="H28" s="23">
        <f>'4.3 '!K42</f>
        <v>0</v>
      </c>
      <c r="I28" s="23">
        <f>'4.3 '!L42</f>
        <v>0</v>
      </c>
      <c r="J28" s="23">
        <f>'4.3 '!M42</f>
        <v>0</v>
      </c>
      <c r="K28" s="23">
        <f>'4.3 '!N42</f>
        <v>0</v>
      </c>
      <c r="L28" s="23">
        <f>'4.3 '!O42</f>
        <v>0</v>
      </c>
      <c r="M28" s="23">
        <f>'4.3 '!P42</f>
        <v>0</v>
      </c>
      <c r="N28" s="23">
        <f>'4.3 '!Q42</f>
        <v>0</v>
      </c>
      <c r="O28" s="194">
        <f>N28+M28+L28+K28+J28+I28+H28+G28+F28+E28</f>
        <v>7925000</v>
      </c>
    </row>
    <row r="29" spans="1:15" x14ac:dyDescent="0.25">
      <c r="A29" s="800"/>
      <c r="B29" s="18"/>
      <c r="C29" s="19" t="s">
        <v>3</v>
      </c>
      <c r="D29" s="25">
        <f>SUM(D26:D28)</f>
        <v>161270900</v>
      </c>
      <c r="E29" s="25">
        <f t="shared" ref="E29:N29" si="3">SUM(E26:E28)</f>
        <v>61371700</v>
      </c>
      <c r="F29" s="25">
        <f t="shared" si="3"/>
        <v>99899200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>SUM(E29:N29)</f>
        <v>161270900</v>
      </c>
    </row>
    <row r="30" spans="1:15" x14ac:dyDescent="0.25">
      <c r="A30" s="2"/>
      <c r="B30" s="2"/>
      <c r="C30" s="2"/>
      <c r="D30" s="23"/>
      <c r="E30" s="23"/>
      <c r="F30" s="23"/>
      <c r="G30" s="23"/>
      <c r="H30" s="23"/>
      <c r="I30" s="23"/>
      <c r="J30" s="23"/>
      <c r="K30" s="23"/>
      <c r="L30" s="28"/>
      <c r="M30" s="28"/>
      <c r="N30" s="28"/>
      <c r="O30" s="28"/>
    </row>
    <row r="31" spans="1:15" x14ac:dyDescent="0.25">
      <c r="A31" s="801" t="s">
        <v>4</v>
      </c>
      <c r="B31" s="802"/>
      <c r="C31" s="803"/>
      <c r="D31" s="25">
        <f>D29+D23+D18+D12</f>
        <v>1996272800</v>
      </c>
      <c r="E31" s="25">
        <f t="shared" ref="E31:N31" si="4">E29+E23+E18+E12</f>
        <v>229819440</v>
      </c>
      <c r="F31" s="25">
        <f t="shared" si="4"/>
        <v>928678160</v>
      </c>
      <c r="G31" s="25">
        <f t="shared" si="4"/>
        <v>47426000</v>
      </c>
      <c r="H31" s="25">
        <f t="shared" si="4"/>
        <v>55000000</v>
      </c>
      <c r="I31" s="25">
        <f t="shared" si="4"/>
        <v>369193200</v>
      </c>
      <c r="J31" s="25">
        <f t="shared" si="4"/>
        <v>170897500</v>
      </c>
      <c r="K31" s="25">
        <f t="shared" si="4"/>
        <v>0</v>
      </c>
      <c r="L31" s="25">
        <f t="shared" si="4"/>
        <v>0</v>
      </c>
      <c r="M31" s="25">
        <f t="shared" si="4"/>
        <v>48458800</v>
      </c>
      <c r="N31" s="25">
        <f t="shared" si="4"/>
        <v>146799700</v>
      </c>
      <c r="O31" s="25">
        <f>O29+O23+O18+O12</f>
        <v>1996272800</v>
      </c>
    </row>
    <row r="32" spans="1:15" x14ac:dyDescent="0.2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</row>
    <row r="33" spans="1:15" ht="18.75" hidden="1" x14ac:dyDescent="0.3">
      <c r="A33" s="29" t="s">
        <v>456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9"/>
      <c r="N33" s="5"/>
      <c r="O33" s="5"/>
    </row>
    <row r="34" spans="1:15" x14ac:dyDescent="0.25">
      <c r="A34" s="6"/>
      <c r="B34" s="793"/>
      <c r="C34" s="793"/>
      <c r="D34" s="793"/>
      <c r="E34" s="109"/>
      <c r="F34" s="109"/>
      <c r="G34" s="109"/>
      <c r="H34" s="109"/>
      <c r="I34" s="109"/>
      <c r="J34" s="109"/>
      <c r="K34" s="109"/>
      <c r="L34" s="6"/>
      <c r="M34" s="6"/>
      <c r="N34" s="6"/>
      <c r="O34" s="6"/>
    </row>
    <row r="35" spans="1: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6"/>
    </row>
    <row r="36" spans="1:15" x14ac:dyDescent="0.25">
      <c r="O36" s="1"/>
    </row>
    <row r="38" spans="1:15" x14ac:dyDescent="0.25">
      <c r="O38" s="161"/>
    </row>
  </sheetData>
  <mergeCells count="16">
    <mergeCell ref="D6:D7"/>
    <mergeCell ref="E6:O6"/>
    <mergeCell ref="B34:D34"/>
    <mergeCell ref="A1:O1"/>
    <mergeCell ref="A2:O2"/>
    <mergeCell ref="A3:O3"/>
    <mergeCell ref="A4:O4"/>
    <mergeCell ref="A8:C8"/>
    <mergeCell ref="A9:A12"/>
    <mergeCell ref="A14:A18"/>
    <mergeCell ref="A20:A23"/>
    <mergeCell ref="A25:A29"/>
    <mergeCell ref="A31:C31"/>
    <mergeCell ref="A6:A7"/>
    <mergeCell ref="C6:C7"/>
    <mergeCell ref="B6:B7"/>
  </mergeCells>
  <pageMargins left="0.26" right="0.3" top="0.53" bottom="0.18" header="0.17" footer="0.16"/>
  <pageSetup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FD60"/>
  <sheetViews>
    <sheetView zoomScale="81" zoomScaleNormal="81" workbookViewId="0">
      <pane xSplit="7" ySplit="9" topLeftCell="AZ27" activePane="bottomRight" state="frozen"/>
      <selection pane="topRight" activeCell="H1" sqref="H1"/>
      <selection pane="bottomLeft" activeCell="A10" sqref="A10"/>
      <selection pane="bottomRight" activeCell="BL32" sqref="BL32"/>
    </sheetView>
  </sheetViews>
  <sheetFormatPr defaultRowHeight="15.75" x14ac:dyDescent="0.25"/>
  <cols>
    <col min="1" max="1" width="12.28515625" style="39" customWidth="1"/>
    <col min="2" max="2" width="10.28515625" style="39" customWidth="1"/>
    <col min="3" max="3" width="31.5703125" style="204" customWidth="1"/>
    <col min="4" max="4" width="13.28515625" style="39" customWidth="1"/>
    <col min="5" max="5" width="17.28515625" style="39" bestFit="1" customWidth="1"/>
    <col min="6" max="6" width="7.7109375" style="40" customWidth="1"/>
    <col min="7" max="7" width="16.85546875" style="39" bestFit="1" customWidth="1"/>
    <col min="8" max="8" width="15.140625" style="39" customWidth="1"/>
    <col min="9" max="9" width="16.85546875" style="39" customWidth="1"/>
    <col min="10" max="10" width="14.140625" style="39" customWidth="1"/>
    <col min="11" max="11" width="10.5703125" style="39" customWidth="1"/>
    <col min="12" max="12" width="17.85546875" style="39" customWidth="1"/>
    <col min="13" max="13" width="12.140625" style="39" customWidth="1"/>
    <col min="14" max="14" width="5.5703125" style="39" customWidth="1"/>
    <col min="15" max="15" width="7.140625" style="39" customWidth="1"/>
    <col min="16" max="16" width="15.140625" style="39" customWidth="1"/>
    <col min="17" max="17" width="8.140625" style="39" customWidth="1"/>
    <col min="18" max="18" width="8" style="39" customWidth="1"/>
    <col min="19" max="20" width="8.5703125" style="39" customWidth="1"/>
    <col min="21" max="21" width="9.85546875" style="39" customWidth="1"/>
    <col min="22" max="23" width="15.85546875" style="82" customWidth="1"/>
    <col min="24" max="25" width="17" style="82" customWidth="1"/>
    <col min="26" max="26" width="5.5703125" style="39" customWidth="1"/>
    <col min="27" max="27" width="15.85546875" style="82" customWidth="1"/>
    <col min="28" max="28" width="5.140625" style="39" customWidth="1"/>
    <col min="29" max="29" width="15.7109375" style="39" customWidth="1"/>
    <col min="30" max="30" width="7.140625" style="39" customWidth="1"/>
    <col min="31" max="31" width="14" style="39" customWidth="1"/>
    <col min="32" max="32" width="5.140625" style="39" customWidth="1"/>
    <col min="33" max="33" width="16.140625" style="39" customWidth="1"/>
    <col min="34" max="34" width="5.140625" style="39" customWidth="1"/>
    <col min="35" max="35" width="19.140625" style="39" customWidth="1"/>
    <col min="36" max="36" width="5.140625" style="39" customWidth="1"/>
    <col min="37" max="37" width="13.85546875" style="39" customWidth="1"/>
    <col min="38" max="38" width="7.85546875" style="39" customWidth="1"/>
    <col min="39" max="39" width="15.28515625" style="39" customWidth="1"/>
    <col min="40" max="40" width="5.140625" style="39" customWidth="1"/>
    <col min="41" max="41" width="14.140625" style="39" customWidth="1"/>
    <col min="42" max="42" width="9" style="39" customWidth="1"/>
    <col min="43" max="43" width="15.28515625" style="39" customWidth="1"/>
    <col min="44" max="44" width="13.140625" style="39" customWidth="1"/>
    <col min="45" max="45" width="14.140625" style="39" customWidth="1"/>
    <col min="46" max="46" width="6.7109375" style="39" customWidth="1"/>
    <col min="47" max="47" width="16.7109375" style="39" customWidth="1"/>
    <col min="48" max="48" width="7.28515625" style="39" customWidth="1"/>
    <col min="49" max="49" width="17.42578125" style="39" customWidth="1"/>
    <col min="50" max="50" width="8.7109375" style="39" customWidth="1"/>
    <col min="51" max="51" width="19.42578125" style="39" customWidth="1"/>
    <col min="52" max="52" width="5.140625" style="39" customWidth="1"/>
    <col min="53" max="53" width="15.140625" style="39" customWidth="1"/>
    <col min="54" max="54" width="5.140625" style="39" customWidth="1"/>
    <col min="55" max="55" width="16.5703125" style="39" customWidth="1"/>
    <col min="56" max="56" width="5.140625" style="39" customWidth="1"/>
    <col min="57" max="57" width="16.42578125" style="39" customWidth="1"/>
    <col min="58" max="58" width="5.5703125" style="39" customWidth="1"/>
    <col min="59" max="59" width="14.42578125" style="39" customWidth="1"/>
    <col min="60" max="60" width="5.140625" style="39" customWidth="1"/>
    <col min="61" max="61" width="13" style="39" customWidth="1"/>
    <col min="62" max="62" width="6.7109375" style="39" customWidth="1"/>
    <col min="63" max="63" width="18.85546875" style="39" customWidth="1"/>
    <col min="64" max="64" width="27.5703125" style="39" customWidth="1"/>
    <col min="65" max="65" width="9.140625" style="39" customWidth="1"/>
    <col min="66" max="66" width="17.28515625" style="39" bestFit="1" customWidth="1"/>
    <col min="67" max="67" width="9.140625" style="39" customWidth="1"/>
    <col min="68" max="68" width="15.7109375" style="39" customWidth="1"/>
    <col min="69" max="69" width="9.140625" style="39" customWidth="1"/>
    <col min="70" max="70" width="18.7109375" style="39" customWidth="1"/>
    <col min="71" max="73" width="9.140625" style="39" customWidth="1"/>
    <col min="74" max="74" width="20.42578125" style="39" customWidth="1"/>
    <col min="75" max="76" width="9.140625" style="39" customWidth="1"/>
    <col min="77" max="16384" width="9.140625" style="39"/>
  </cols>
  <sheetData>
    <row r="1" spans="1:74" x14ac:dyDescent="0.25">
      <c r="A1" s="825" t="s">
        <v>409</v>
      </c>
      <c r="B1" s="825"/>
      <c r="C1" s="827" t="s">
        <v>403</v>
      </c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67"/>
      <c r="S1" s="67"/>
      <c r="T1" s="67"/>
      <c r="U1" s="67"/>
    </row>
    <row r="2" spans="1:74" ht="20.100000000000001" customHeight="1" x14ac:dyDescent="0.25">
      <c r="A2" s="825" t="s">
        <v>405</v>
      </c>
      <c r="B2" s="825"/>
      <c r="C2" s="827" t="s">
        <v>404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67"/>
      <c r="S2" s="67"/>
      <c r="T2" s="67"/>
      <c r="U2" s="67"/>
    </row>
    <row r="3" spans="1:74" ht="20.100000000000001" customHeight="1" x14ac:dyDescent="0.25">
      <c r="A3" s="825" t="s">
        <v>406</v>
      </c>
      <c r="B3" s="825"/>
      <c r="C3" s="827" t="s">
        <v>752</v>
      </c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67"/>
      <c r="S3" s="67"/>
      <c r="T3" s="67"/>
      <c r="U3" s="67"/>
      <c r="Z3" s="361" t="s">
        <v>787</v>
      </c>
      <c r="AA3" s="361">
        <v>8.34</v>
      </c>
      <c r="AB3" s="361"/>
      <c r="AC3" s="361">
        <v>2.85</v>
      </c>
      <c r="AD3" s="361"/>
      <c r="AE3" s="361">
        <v>8.3800000000000008</v>
      </c>
      <c r="AF3" s="361"/>
      <c r="AG3" s="361">
        <v>7.49</v>
      </c>
      <c r="AH3" s="361"/>
      <c r="AI3" s="361">
        <v>3.33</v>
      </c>
      <c r="AJ3" s="361"/>
      <c r="AK3" s="361">
        <v>6.64</v>
      </c>
      <c r="AL3" s="361"/>
      <c r="AM3" s="361">
        <v>3.67</v>
      </c>
      <c r="AN3" s="361"/>
      <c r="AO3" s="361">
        <v>5.0599999999999996</v>
      </c>
      <c r="AP3" s="361"/>
      <c r="AQ3" s="361">
        <v>5.94</v>
      </c>
      <c r="AR3" s="361"/>
      <c r="AS3" s="361">
        <v>6.85</v>
      </c>
      <c r="AT3" s="361"/>
      <c r="AU3" s="361">
        <v>7.45</v>
      </c>
      <c r="AV3" s="361"/>
      <c r="AW3" s="361">
        <v>5.13</v>
      </c>
      <c r="AX3" s="361"/>
      <c r="AY3" s="361">
        <v>4.8600000000000003</v>
      </c>
      <c r="AZ3" s="361"/>
      <c r="BA3" s="361">
        <v>5.79</v>
      </c>
      <c r="BB3" s="361"/>
      <c r="BC3" s="361">
        <v>5.3</v>
      </c>
      <c r="BD3" s="361"/>
      <c r="BE3" s="361">
        <v>3.47</v>
      </c>
      <c r="BF3" s="361"/>
      <c r="BG3" s="361">
        <v>9.42</v>
      </c>
      <c r="BH3" s="361"/>
      <c r="BI3" s="361"/>
      <c r="BJ3" s="361"/>
      <c r="BK3" s="361"/>
    </row>
    <row r="4" spans="1:74" ht="20.100000000000001" customHeight="1" x14ac:dyDescent="0.25">
      <c r="A4" s="825" t="s">
        <v>419</v>
      </c>
      <c r="B4" s="825"/>
      <c r="C4" s="827" t="s">
        <v>202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67"/>
      <c r="S4" s="67"/>
      <c r="T4" s="67"/>
      <c r="U4" s="67"/>
      <c r="Z4" s="361" t="s">
        <v>785</v>
      </c>
      <c r="AA4" s="361">
        <v>48</v>
      </c>
      <c r="AB4" s="361"/>
      <c r="AC4" s="361">
        <v>23</v>
      </c>
      <c r="AD4" s="361"/>
      <c r="AE4" s="361">
        <v>80</v>
      </c>
      <c r="AF4" s="361"/>
      <c r="AG4" s="361">
        <v>105</v>
      </c>
      <c r="AH4" s="361"/>
      <c r="AI4" s="361">
        <v>43</v>
      </c>
      <c r="AJ4" s="361"/>
      <c r="AK4" s="361">
        <v>75</v>
      </c>
      <c r="AL4" s="361"/>
      <c r="AM4" s="361">
        <v>41</v>
      </c>
      <c r="AN4" s="361"/>
      <c r="AO4" s="361">
        <v>101</v>
      </c>
      <c r="AP4" s="361"/>
      <c r="AQ4" s="361">
        <v>8</v>
      </c>
      <c r="AR4" s="361"/>
      <c r="AS4" s="361">
        <v>33</v>
      </c>
      <c r="AT4" s="361"/>
      <c r="AU4" s="361">
        <v>53</v>
      </c>
      <c r="AV4" s="361"/>
      <c r="AW4" s="361">
        <v>52</v>
      </c>
      <c r="AX4" s="361"/>
      <c r="AY4" s="361">
        <v>76</v>
      </c>
      <c r="AZ4" s="361"/>
      <c r="BA4" s="361">
        <v>82</v>
      </c>
      <c r="BB4" s="361"/>
      <c r="BC4" s="361">
        <v>104</v>
      </c>
      <c r="BD4" s="361"/>
      <c r="BE4" s="361">
        <v>147</v>
      </c>
      <c r="BF4" s="361"/>
      <c r="BG4" s="361">
        <v>54</v>
      </c>
      <c r="BH4" s="361"/>
      <c r="BI4" s="361"/>
      <c r="BJ4" s="361"/>
      <c r="BK4" s="361"/>
    </row>
    <row r="5" spans="1:74" ht="20.100000000000001" customHeight="1" x14ac:dyDescent="0.25">
      <c r="A5" s="825" t="s">
        <v>418</v>
      </c>
      <c r="B5" s="825"/>
      <c r="C5" s="827" t="s">
        <v>417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67"/>
      <c r="S5" s="67"/>
      <c r="T5" s="67"/>
      <c r="U5" s="67"/>
      <c r="Z5" s="361" t="s">
        <v>786</v>
      </c>
      <c r="AA5" s="453">
        <f>AA4/1125*100</f>
        <v>4.2666666666666666</v>
      </c>
      <c r="AB5" s="453">
        <f t="shared" ref="AB5:BG5" si="0">AB4/1125*100</f>
        <v>0</v>
      </c>
      <c r="AC5" s="453">
        <f t="shared" si="0"/>
        <v>2.0444444444444447</v>
      </c>
      <c r="AD5" s="453">
        <f t="shared" si="0"/>
        <v>0</v>
      </c>
      <c r="AE5" s="453">
        <f t="shared" si="0"/>
        <v>7.1111111111111107</v>
      </c>
      <c r="AF5" s="453">
        <f t="shared" si="0"/>
        <v>0</v>
      </c>
      <c r="AG5" s="453">
        <f t="shared" si="0"/>
        <v>9.3333333333333339</v>
      </c>
      <c r="AH5" s="453">
        <f t="shared" si="0"/>
        <v>0</v>
      </c>
      <c r="AI5" s="453">
        <f t="shared" si="0"/>
        <v>3.822222222222222</v>
      </c>
      <c r="AJ5" s="453">
        <f t="shared" si="0"/>
        <v>0</v>
      </c>
      <c r="AK5" s="453">
        <f t="shared" si="0"/>
        <v>6.666666666666667</v>
      </c>
      <c r="AL5" s="453">
        <f t="shared" si="0"/>
        <v>0</v>
      </c>
      <c r="AM5" s="453">
        <f t="shared" si="0"/>
        <v>3.6444444444444448</v>
      </c>
      <c r="AN5" s="453">
        <f t="shared" si="0"/>
        <v>0</v>
      </c>
      <c r="AO5" s="453">
        <f t="shared" si="0"/>
        <v>8.9777777777777779</v>
      </c>
      <c r="AP5" s="453">
        <f t="shared" si="0"/>
        <v>0</v>
      </c>
      <c r="AQ5" s="453">
        <f t="shared" si="0"/>
        <v>0.71111111111111114</v>
      </c>
      <c r="AR5" s="453">
        <f t="shared" si="0"/>
        <v>0</v>
      </c>
      <c r="AS5" s="453">
        <f t="shared" si="0"/>
        <v>2.9333333333333331</v>
      </c>
      <c r="AT5" s="453">
        <f t="shared" si="0"/>
        <v>0</v>
      </c>
      <c r="AU5" s="453">
        <f t="shared" si="0"/>
        <v>4.7111111111111112</v>
      </c>
      <c r="AV5" s="453">
        <f t="shared" si="0"/>
        <v>0</v>
      </c>
      <c r="AW5" s="453">
        <f t="shared" si="0"/>
        <v>4.6222222222222218</v>
      </c>
      <c r="AX5" s="453">
        <f t="shared" si="0"/>
        <v>0</v>
      </c>
      <c r="AY5" s="453">
        <f t="shared" si="0"/>
        <v>6.7555555555555546</v>
      </c>
      <c r="AZ5" s="453">
        <f t="shared" si="0"/>
        <v>0</v>
      </c>
      <c r="BA5" s="453">
        <f t="shared" si="0"/>
        <v>7.2888888888888896</v>
      </c>
      <c r="BB5" s="453">
        <f t="shared" si="0"/>
        <v>0</v>
      </c>
      <c r="BC5" s="453">
        <f t="shared" si="0"/>
        <v>9.2444444444444436</v>
      </c>
      <c r="BD5" s="453">
        <f t="shared" si="0"/>
        <v>0</v>
      </c>
      <c r="BE5" s="453">
        <f t="shared" si="0"/>
        <v>13.066666666666665</v>
      </c>
      <c r="BF5" s="453">
        <f t="shared" si="0"/>
        <v>0</v>
      </c>
      <c r="BG5" s="453">
        <f t="shared" si="0"/>
        <v>4.8</v>
      </c>
      <c r="BH5" s="361"/>
      <c r="BI5" s="361"/>
      <c r="BJ5" s="361"/>
      <c r="BK5" s="361"/>
    </row>
    <row r="6" spans="1:74" x14ac:dyDescent="0.25"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</row>
    <row r="7" spans="1:74" ht="15.75" customHeight="1" x14ac:dyDescent="0.25">
      <c r="A7" s="968"/>
      <c r="B7" s="969"/>
      <c r="C7" s="969"/>
      <c r="D7" s="970"/>
      <c r="E7" s="971" t="s">
        <v>22</v>
      </c>
      <c r="F7" s="972"/>
      <c r="G7" s="973"/>
      <c r="H7" s="906" t="s">
        <v>402</v>
      </c>
      <c r="I7" s="907"/>
      <c r="J7" s="907"/>
      <c r="K7" s="907"/>
      <c r="L7" s="907"/>
      <c r="M7" s="907"/>
      <c r="N7" s="907"/>
      <c r="O7" s="907"/>
      <c r="P7" s="907"/>
      <c r="Q7" s="908"/>
      <c r="R7" s="958" t="s">
        <v>66</v>
      </c>
      <c r="S7" s="959"/>
      <c r="T7" s="959"/>
      <c r="U7" s="960"/>
      <c r="V7" s="974" t="s">
        <v>6</v>
      </c>
      <c r="W7" s="975"/>
      <c r="X7" s="975"/>
      <c r="Y7" s="976"/>
      <c r="Z7" s="964" t="s">
        <v>434</v>
      </c>
      <c r="AA7" s="965"/>
      <c r="AB7" s="964" t="s">
        <v>435</v>
      </c>
      <c r="AC7" s="965"/>
      <c r="AD7" s="910" t="s">
        <v>436</v>
      </c>
      <c r="AE7" s="910"/>
      <c r="AF7" s="910" t="s">
        <v>437</v>
      </c>
      <c r="AG7" s="910"/>
      <c r="AH7" s="910" t="s">
        <v>657</v>
      </c>
      <c r="AI7" s="910"/>
      <c r="AJ7" s="910" t="s">
        <v>439</v>
      </c>
      <c r="AK7" s="910"/>
      <c r="AL7" s="910" t="s">
        <v>440</v>
      </c>
      <c r="AM7" s="910"/>
      <c r="AN7" s="910" t="s">
        <v>441</v>
      </c>
      <c r="AO7" s="910"/>
      <c r="AP7" s="910" t="s">
        <v>442</v>
      </c>
      <c r="AQ7" s="910"/>
      <c r="AR7" s="910" t="s">
        <v>443</v>
      </c>
      <c r="AS7" s="910"/>
      <c r="AT7" s="910" t="s">
        <v>444</v>
      </c>
      <c r="AU7" s="910"/>
      <c r="AV7" s="910" t="s">
        <v>445</v>
      </c>
      <c r="AW7" s="910"/>
      <c r="AX7" s="910" t="s">
        <v>446</v>
      </c>
      <c r="AY7" s="910"/>
      <c r="AZ7" s="910" t="s">
        <v>447</v>
      </c>
      <c r="BA7" s="910"/>
      <c r="BB7" s="910" t="s">
        <v>448</v>
      </c>
      <c r="BC7" s="910"/>
      <c r="BD7" s="910" t="s">
        <v>449</v>
      </c>
      <c r="BE7" s="910"/>
      <c r="BF7" s="910" t="s">
        <v>450</v>
      </c>
      <c r="BG7" s="910"/>
      <c r="BH7" s="910" t="s">
        <v>451</v>
      </c>
      <c r="BI7" s="910"/>
      <c r="BJ7" s="910" t="s">
        <v>18</v>
      </c>
      <c r="BK7" s="982"/>
      <c r="BL7" s="841" t="s">
        <v>498</v>
      </c>
    </row>
    <row r="8" spans="1:74" s="106" customFormat="1" ht="29.25" customHeight="1" x14ac:dyDescent="0.25">
      <c r="A8" s="954" t="s">
        <v>14</v>
      </c>
      <c r="B8" s="954" t="s">
        <v>25</v>
      </c>
      <c r="C8" s="913" t="s">
        <v>12</v>
      </c>
      <c r="D8" s="913" t="s">
        <v>15</v>
      </c>
      <c r="E8" s="356" t="s">
        <v>23</v>
      </c>
      <c r="F8" s="105" t="s">
        <v>24</v>
      </c>
      <c r="G8" s="913" t="s">
        <v>63</v>
      </c>
      <c r="H8" s="118" t="s">
        <v>457</v>
      </c>
      <c r="I8" s="118" t="s">
        <v>458</v>
      </c>
      <c r="J8" s="118" t="s">
        <v>459</v>
      </c>
      <c r="K8" s="118" t="s">
        <v>460</v>
      </c>
      <c r="L8" s="118" t="s">
        <v>461</v>
      </c>
      <c r="M8" s="118" t="s">
        <v>462</v>
      </c>
      <c r="N8" s="118" t="s">
        <v>463</v>
      </c>
      <c r="O8" s="118" t="s">
        <v>464</v>
      </c>
      <c r="P8" s="118" t="s">
        <v>465</v>
      </c>
      <c r="Q8" s="118" t="s">
        <v>466</v>
      </c>
      <c r="R8" s="961"/>
      <c r="S8" s="962"/>
      <c r="T8" s="962"/>
      <c r="U8" s="963"/>
      <c r="V8" s="977"/>
      <c r="W8" s="978"/>
      <c r="X8" s="978"/>
      <c r="Y8" s="979"/>
      <c r="Z8" s="966"/>
      <c r="AA8" s="967"/>
      <c r="AB8" s="966"/>
      <c r="AC8" s="967"/>
      <c r="AD8" s="910" t="s">
        <v>50</v>
      </c>
      <c r="AE8" s="910"/>
      <c r="AF8" s="910" t="s">
        <v>51</v>
      </c>
      <c r="AG8" s="910"/>
      <c r="AH8" s="910" t="s">
        <v>52</v>
      </c>
      <c r="AI8" s="910"/>
      <c r="AJ8" s="910" t="s">
        <v>53</v>
      </c>
      <c r="AK8" s="910"/>
      <c r="AL8" s="910" t="s">
        <v>54</v>
      </c>
      <c r="AM8" s="910"/>
      <c r="AN8" s="910" t="s">
        <v>55</v>
      </c>
      <c r="AO8" s="910"/>
      <c r="AP8" s="910" t="s">
        <v>56</v>
      </c>
      <c r="AQ8" s="910"/>
      <c r="AR8" s="910" t="s">
        <v>57</v>
      </c>
      <c r="AS8" s="910"/>
      <c r="AT8" s="910" t="s">
        <v>58</v>
      </c>
      <c r="AU8" s="910"/>
      <c r="AV8" s="910" t="s">
        <v>59</v>
      </c>
      <c r="AW8" s="910"/>
      <c r="AX8" s="910" t="s">
        <v>60</v>
      </c>
      <c r="AY8" s="910"/>
      <c r="AZ8" s="910" t="s">
        <v>61</v>
      </c>
      <c r="BA8" s="910"/>
      <c r="BB8" s="910" t="s">
        <v>45</v>
      </c>
      <c r="BC8" s="910"/>
      <c r="BD8" s="910" t="s">
        <v>42</v>
      </c>
      <c r="BE8" s="910"/>
      <c r="BF8" s="910"/>
      <c r="BG8" s="910"/>
      <c r="BH8" s="910"/>
      <c r="BI8" s="910"/>
      <c r="BJ8" s="910"/>
      <c r="BK8" s="982"/>
      <c r="BL8" s="841"/>
      <c r="BN8" s="840" t="s">
        <v>496</v>
      </c>
      <c r="BO8" s="840"/>
      <c r="BP8" s="840"/>
      <c r="BQ8" s="840"/>
      <c r="BR8" s="840"/>
      <c r="BS8" s="840" t="s">
        <v>497</v>
      </c>
      <c r="BT8" s="840"/>
      <c r="BU8" s="840"/>
      <c r="BV8" s="841" t="s">
        <v>18</v>
      </c>
    </row>
    <row r="9" spans="1:74" s="106" customFormat="1" ht="45" customHeight="1" x14ac:dyDescent="0.25">
      <c r="A9" s="957"/>
      <c r="B9" s="957"/>
      <c r="C9" s="914"/>
      <c r="D9" s="914"/>
      <c r="E9" s="357"/>
      <c r="F9" s="107"/>
      <c r="G9" s="914"/>
      <c r="H9" s="311">
        <v>12.2</v>
      </c>
      <c r="I9" s="311">
        <v>80</v>
      </c>
      <c r="J9" s="311">
        <v>0</v>
      </c>
      <c r="K9" s="311">
        <v>0</v>
      </c>
      <c r="L9" s="311">
        <v>3.1</v>
      </c>
      <c r="M9" s="311">
        <v>0</v>
      </c>
      <c r="N9" s="154">
        <v>0</v>
      </c>
      <c r="O9" s="154">
        <v>0</v>
      </c>
      <c r="P9" s="154">
        <v>4.7</v>
      </c>
      <c r="Q9" s="154">
        <v>0</v>
      </c>
      <c r="R9" s="108" t="s">
        <v>7</v>
      </c>
      <c r="S9" s="108" t="s">
        <v>8</v>
      </c>
      <c r="T9" s="108" t="s">
        <v>9</v>
      </c>
      <c r="U9" s="108" t="s">
        <v>10</v>
      </c>
      <c r="V9" s="78" t="s">
        <v>7</v>
      </c>
      <c r="W9" s="78" t="s">
        <v>8</v>
      </c>
      <c r="X9" s="78" t="s">
        <v>9</v>
      </c>
      <c r="Y9" s="78" t="s">
        <v>10</v>
      </c>
      <c r="Z9" s="363" t="s">
        <v>15</v>
      </c>
      <c r="AA9" s="364" t="s">
        <v>16</v>
      </c>
      <c r="AB9" s="365" t="s">
        <v>15</v>
      </c>
      <c r="AC9" s="365" t="s">
        <v>16</v>
      </c>
      <c r="AD9" s="365" t="s">
        <v>15</v>
      </c>
      <c r="AE9" s="365" t="s">
        <v>16</v>
      </c>
      <c r="AF9" s="365" t="s">
        <v>15</v>
      </c>
      <c r="AG9" s="365" t="s">
        <v>16</v>
      </c>
      <c r="AH9" s="365" t="s">
        <v>15</v>
      </c>
      <c r="AI9" s="365" t="s">
        <v>16</v>
      </c>
      <c r="AJ9" s="365" t="s">
        <v>15</v>
      </c>
      <c r="AK9" s="365" t="s">
        <v>16</v>
      </c>
      <c r="AL9" s="365" t="s">
        <v>15</v>
      </c>
      <c r="AM9" s="365" t="s">
        <v>16</v>
      </c>
      <c r="AN9" s="365" t="s">
        <v>15</v>
      </c>
      <c r="AO9" s="365" t="s">
        <v>16</v>
      </c>
      <c r="AP9" s="365" t="s">
        <v>15</v>
      </c>
      <c r="AQ9" s="365" t="s">
        <v>16</v>
      </c>
      <c r="AR9" s="365" t="s">
        <v>15</v>
      </c>
      <c r="AS9" s="365" t="s">
        <v>16</v>
      </c>
      <c r="AT9" s="365" t="s">
        <v>15</v>
      </c>
      <c r="AU9" s="365" t="s">
        <v>16</v>
      </c>
      <c r="AV9" s="365" t="s">
        <v>15</v>
      </c>
      <c r="AW9" s="365" t="s">
        <v>16</v>
      </c>
      <c r="AX9" s="365" t="s">
        <v>15</v>
      </c>
      <c r="AY9" s="365" t="s">
        <v>16</v>
      </c>
      <c r="AZ9" s="365" t="s">
        <v>15</v>
      </c>
      <c r="BA9" s="365" t="s">
        <v>16</v>
      </c>
      <c r="BB9" s="365" t="s">
        <v>15</v>
      </c>
      <c r="BC9" s="365" t="s">
        <v>16</v>
      </c>
      <c r="BD9" s="365" t="s">
        <v>15</v>
      </c>
      <c r="BE9" s="365" t="s">
        <v>16</v>
      </c>
      <c r="BF9" s="365" t="s">
        <v>15</v>
      </c>
      <c r="BG9" s="365" t="s">
        <v>16</v>
      </c>
      <c r="BH9" s="365" t="s">
        <v>15</v>
      </c>
      <c r="BI9" s="365" t="s">
        <v>16</v>
      </c>
      <c r="BJ9" s="365" t="s">
        <v>15</v>
      </c>
      <c r="BK9" s="366" t="s">
        <v>16</v>
      </c>
      <c r="BL9" s="841"/>
      <c r="BN9" s="118" t="s">
        <v>487</v>
      </c>
      <c r="BO9" s="367" t="s">
        <v>488</v>
      </c>
      <c r="BP9" s="367" t="s">
        <v>489</v>
      </c>
      <c r="BQ9" s="368" t="s">
        <v>490</v>
      </c>
      <c r="BR9" s="369" t="s">
        <v>491</v>
      </c>
      <c r="BS9" s="367" t="s">
        <v>492</v>
      </c>
      <c r="BT9" s="367" t="s">
        <v>493</v>
      </c>
      <c r="BU9" s="369" t="s">
        <v>494</v>
      </c>
      <c r="BV9" s="841"/>
    </row>
    <row r="10" spans="1:74" ht="30.75" customHeight="1" x14ac:dyDescent="0.25">
      <c r="A10" s="954" t="s">
        <v>202</v>
      </c>
      <c r="B10" s="41">
        <v>32000</v>
      </c>
      <c r="C10" s="42" t="s">
        <v>227</v>
      </c>
      <c r="D10" s="38"/>
      <c r="E10" s="375"/>
      <c r="F10" s="45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5"/>
      <c r="S10" s="45"/>
      <c r="T10" s="45"/>
      <c r="U10" s="45"/>
      <c r="V10" s="83"/>
      <c r="W10" s="83"/>
      <c r="X10" s="83"/>
      <c r="Y10" s="83"/>
      <c r="Z10" s="46"/>
      <c r="AA10" s="84"/>
      <c r="AB10" s="46"/>
      <c r="AC10" s="84"/>
      <c r="AD10" s="46"/>
      <c r="AE10" s="84"/>
      <c r="AF10" s="46"/>
      <c r="AG10" s="84"/>
      <c r="AH10" s="46"/>
      <c r="AI10" s="84"/>
      <c r="AJ10" s="46"/>
      <c r="AK10" s="84"/>
      <c r="AL10" s="46"/>
      <c r="AM10" s="84"/>
      <c r="AN10" s="46"/>
      <c r="AO10" s="84"/>
      <c r="AP10" s="46"/>
      <c r="AQ10" s="84"/>
      <c r="AR10" s="46"/>
      <c r="AS10" s="84"/>
      <c r="AT10" s="46"/>
      <c r="AU10" s="84"/>
      <c r="AV10" s="46"/>
      <c r="AW10" s="84"/>
      <c r="AX10" s="46"/>
      <c r="AY10" s="84"/>
      <c r="AZ10" s="46"/>
      <c r="BA10" s="84"/>
      <c r="BB10" s="46"/>
      <c r="BC10" s="84"/>
      <c r="BD10" s="46"/>
      <c r="BE10" s="84"/>
      <c r="BF10" s="46"/>
      <c r="BG10" s="84"/>
      <c r="BH10" s="46"/>
      <c r="BI10" s="84"/>
      <c r="BJ10" s="46"/>
      <c r="BK10" s="116"/>
      <c r="BL10" s="47"/>
      <c r="BN10" s="113"/>
      <c r="BO10" s="113"/>
      <c r="BP10" s="113"/>
      <c r="BQ10" s="113"/>
      <c r="BR10" s="113"/>
      <c r="BS10" s="113"/>
      <c r="BT10" s="113"/>
      <c r="BU10" s="113"/>
      <c r="BV10" s="47"/>
    </row>
    <row r="11" spans="1:74" ht="31.5" x14ac:dyDescent="0.25">
      <c r="A11" s="955"/>
      <c r="B11" s="41">
        <v>32100</v>
      </c>
      <c r="C11" s="216" t="s">
        <v>228</v>
      </c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9"/>
      <c r="R11" s="50"/>
      <c r="S11" s="50"/>
      <c r="T11" s="51"/>
      <c r="U11" s="52"/>
      <c r="V11" s="77"/>
      <c r="W11" s="77"/>
      <c r="X11" s="77"/>
      <c r="Y11" s="77"/>
      <c r="Z11" s="47"/>
      <c r="AA11" s="85"/>
      <c r="AB11" s="47"/>
      <c r="AC11" s="85"/>
      <c r="AD11" s="47"/>
      <c r="AE11" s="85"/>
      <c r="AF11" s="47"/>
      <c r="AG11" s="85"/>
      <c r="AH11" s="47"/>
      <c r="AI11" s="85"/>
      <c r="AJ11" s="47"/>
      <c r="AK11" s="85"/>
      <c r="AL11" s="47"/>
      <c r="AM11" s="85"/>
      <c r="AN11" s="47"/>
      <c r="AO11" s="85"/>
      <c r="AP11" s="47"/>
      <c r="AQ11" s="85"/>
      <c r="AR11" s="47"/>
      <c r="AS11" s="85"/>
      <c r="AT11" s="47"/>
      <c r="AU11" s="85"/>
      <c r="AV11" s="47"/>
      <c r="AW11" s="85"/>
      <c r="AX11" s="47"/>
      <c r="AY11" s="85"/>
      <c r="AZ11" s="47"/>
      <c r="BA11" s="85"/>
      <c r="BB11" s="47"/>
      <c r="BC11" s="85"/>
      <c r="BD11" s="47"/>
      <c r="BE11" s="85"/>
      <c r="BF11" s="47"/>
      <c r="BG11" s="85"/>
      <c r="BH11" s="47"/>
      <c r="BI11" s="85"/>
      <c r="BJ11" s="47"/>
      <c r="BK11" s="117"/>
      <c r="BL11" s="47"/>
      <c r="BN11" s="113"/>
      <c r="BO11" s="113"/>
      <c r="BP11" s="113"/>
      <c r="BQ11" s="113"/>
      <c r="BR11" s="113"/>
      <c r="BS11" s="113"/>
      <c r="BT11" s="113"/>
      <c r="BU11" s="113"/>
      <c r="BV11" s="181">
        <f>BR11+BU11</f>
        <v>0</v>
      </c>
    </row>
    <row r="12" spans="1:74" ht="31.5" x14ac:dyDescent="0.25">
      <c r="A12" s="955"/>
      <c r="B12" s="41"/>
      <c r="C12" s="38" t="s">
        <v>641</v>
      </c>
      <c r="D12" s="38" t="s">
        <v>209</v>
      </c>
      <c r="E12" s="375">
        <v>0</v>
      </c>
      <c r="F12" s="454">
        <f>BJ12</f>
        <v>4647</v>
      </c>
      <c r="G12" s="79">
        <f>F12*E12</f>
        <v>0</v>
      </c>
      <c r="H12" s="79">
        <f>G12*0.1</f>
        <v>0</v>
      </c>
      <c r="I12" s="79">
        <f>G12*0.8</f>
        <v>0</v>
      </c>
      <c r="J12" s="79">
        <f>G12*0</f>
        <v>0</v>
      </c>
      <c r="K12" s="79">
        <f>G12*0</f>
        <v>0</v>
      </c>
      <c r="L12" s="79">
        <f>G12*0</f>
        <v>0</v>
      </c>
      <c r="M12" s="79">
        <f>G12*0</f>
        <v>0</v>
      </c>
      <c r="N12" s="79">
        <f>G12*0</f>
        <v>0</v>
      </c>
      <c r="O12" s="80">
        <f>G12*0</f>
        <v>0</v>
      </c>
      <c r="P12" s="80">
        <f>G12*0.1</f>
        <v>0</v>
      </c>
      <c r="Q12" s="76">
        <f>G12*0</f>
        <v>0</v>
      </c>
      <c r="R12" s="54"/>
      <c r="S12" s="54">
        <f>F12*0.4</f>
        <v>1858.8000000000002</v>
      </c>
      <c r="T12" s="54">
        <f>F12*0.3</f>
        <v>1394.1</v>
      </c>
      <c r="U12" s="54">
        <f>F12*0.3</f>
        <v>1394.1</v>
      </c>
      <c r="V12" s="53">
        <f>R12*E12</f>
        <v>0</v>
      </c>
      <c r="W12" s="53">
        <f>S12*E12</f>
        <v>0</v>
      </c>
      <c r="X12" s="53">
        <f>T12*E12</f>
        <v>0</v>
      </c>
      <c r="Y12" s="53">
        <f>U12*E12</f>
        <v>0</v>
      </c>
      <c r="Z12" s="455">
        <v>450</v>
      </c>
      <c r="AA12" s="53">
        <f>Z12*E12</f>
        <v>0</v>
      </c>
      <c r="AB12" s="455">
        <v>300</v>
      </c>
      <c r="AC12" s="53">
        <f>AB12*E12</f>
        <v>0</v>
      </c>
      <c r="AD12" s="455">
        <v>250</v>
      </c>
      <c r="AE12" s="53">
        <f>AD12*E12</f>
        <v>0</v>
      </c>
      <c r="AF12" s="455">
        <v>300</v>
      </c>
      <c r="AG12" s="53">
        <f>AF12*E12</f>
        <v>0</v>
      </c>
      <c r="AH12" s="455">
        <v>150</v>
      </c>
      <c r="AI12" s="53">
        <f>AH12*E12</f>
        <v>0</v>
      </c>
      <c r="AJ12" s="455">
        <v>50</v>
      </c>
      <c r="AK12" s="53">
        <f>AJ12*E12</f>
        <v>0</v>
      </c>
      <c r="AL12" s="455">
        <v>1000</v>
      </c>
      <c r="AM12" s="53">
        <f>AL12*E12</f>
        <v>0</v>
      </c>
      <c r="AN12" s="455">
        <v>200</v>
      </c>
      <c r="AO12" s="53">
        <f>AN12*E12</f>
        <v>0</v>
      </c>
      <c r="AP12" s="455">
        <v>50</v>
      </c>
      <c r="AQ12" s="53">
        <f>AP12*E12</f>
        <v>0</v>
      </c>
      <c r="AR12" s="455">
        <v>150</v>
      </c>
      <c r="AS12" s="53">
        <f>AR12*E12</f>
        <v>0</v>
      </c>
      <c r="AT12" s="455"/>
      <c r="AU12" s="53"/>
      <c r="AV12" s="455"/>
      <c r="AW12" s="53"/>
      <c r="AX12" s="455"/>
      <c r="AY12" s="53">
        <f>AX12*E12</f>
        <v>0</v>
      </c>
      <c r="AZ12" s="455">
        <v>247</v>
      </c>
      <c r="BA12" s="53">
        <f>AZ12*E12</f>
        <v>0</v>
      </c>
      <c r="BB12" s="455">
        <v>600</v>
      </c>
      <c r="BC12" s="53">
        <f>BB12*E12</f>
        <v>0</v>
      </c>
      <c r="BD12" s="455">
        <v>700</v>
      </c>
      <c r="BE12" s="53">
        <f>BD12*E12</f>
        <v>0</v>
      </c>
      <c r="BF12" s="455">
        <v>200</v>
      </c>
      <c r="BG12" s="53">
        <f>BF12*E12</f>
        <v>0</v>
      </c>
      <c r="BH12" s="455"/>
      <c r="BI12" s="53">
        <f>BH12*E12</f>
        <v>0</v>
      </c>
      <c r="BJ12" s="47">
        <f t="shared" ref="BJ12:BK27" si="1">Z12+AB12+AD12+AF12+AH12+AJ12+AL12+AN12+AP12+AR12+AT12+AV12+AX12+AZ12+BB12+BD12+BF12+BH12</f>
        <v>4647</v>
      </c>
      <c r="BK12" s="117">
        <f t="shared" si="1"/>
        <v>0</v>
      </c>
      <c r="BL12" s="341" t="s">
        <v>473</v>
      </c>
      <c r="BN12" s="113"/>
      <c r="BO12" s="113"/>
      <c r="BP12" s="113">
        <f>G12</f>
        <v>0</v>
      </c>
      <c r="BQ12" s="113"/>
      <c r="BR12" s="113">
        <f>BN12+BO12+BP12+BQ12</f>
        <v>0</v>
      </c>
      <c r="BS12" s="113"/>
      <c r="BT12" s="113"/>
      <c r="BU12" s="113">
        <f>BS12+BT12</f>
        <v>0</v>
      </c>
      <c r="BV12" s="181">
        <f t="shared" ref="BV12:BV52" si="2">BR12+BU12</f>
        <v>0</v>
      </c>
    </row>
    <row r="13" spans="1:74" x14ac:dyDescent="0.25">
      <c r="A13" s="955"/>
      <c r="B13" s="42"/>
      <c r="C13" s="38" t="s">
        <v>229</v>
      </c>
      <c r="D13" s="38" t="s">
        <v>209</v>
      </c>
      <c r="E13" s="375">
        <f>3*100000</f>
        <v>300000</v>
      </c>
      <c r="F13" s="454">
        <f t="shared" ref="F13:F37" si="3">BJ13</f>
        <v>24</v>
      </c>
      <c r="G13" s="79">
        <f>E13*F13</f>
        <v>7200000</v>
      </c>
      <c r="H13" s="79">
        <f>G13*0.1</f>
        <v>720000</v>
      </c>
      <c r="I13" s="79">
        <f t="shared" ref="I13:I37" si="4">G13*0.8</f>
        <v>5760000</v>
      </c>
      <c r="J13" s="79">
        <f>G13*0</f>
        <v>0</v>
      </c>
      <c r="K13" s="79">
        <f>G13*0</f>
        <v>0</v>
      </c>
      <c r="L13" s="79">
        <f>G13*0</f>
        <v>0</v>
      </c>
      <c r="M13" s="79">
        <f>G13*0</f>
        <v>0</v>
      </c>
      <c r="N13" s="79">
        <f>G13*0</f>
        <v>0</v>
      </c>
      <c r="O13" s="80">
        <f>G13*0</f>
        <v>0</v>
      </c>
      <c r="P13" s="80">
        <f>G13*0.1</f>
        <v>720000</v>
      </c>
      <c r="Q13" s="76">
        <f>G13*0</f>
        <v>0</v>
      </c>
      <c r="R13" s="57"/>
      <c r="S13" s="54">
        <f t="shared" ref="S13:S50" si="5">F13*0.4</f>
        <v>9.6000000000000014</v>
      </c>
      <c r="T13" s="54">
        <f t="shared" ref="T13:T48" si="6">F13*0.3</f>
        <v>7.1999999999999993</v>
      </c>
      <c r="U13" s="54">
        <f t="shared" ref="U13:U49" si="7">F13*0.3</f>
        <v>7.1999999999999993</v>
      </c>
      <c r="V13" s="53">
        <f t="shared" ref="V13:V37" si="8">R13*E13</f>
        <v>0</v>
      </c>
      <c r="W13" s="53">
        <f t="shared" ref="W13:W37" si="9">S13*E13</f>
        <v>2880000.0000000005</v>
      </c>
      <c r="X13" s="53">
        <f t="shared" ref="X13:X37" si="10">T13*E13</f>
        <v>2160000</v>
      </c>
      <c r="Y13" s="53">
        <f t="shared" ref="Y13:Y37" si="11">U13*E13</f>
        <v>2160000</v>
      </c>
      <c r="Z13" s="47">
        <v>2</v>
      </c>
      <c r="AA13" s="53">
        <f t="shared" ref="AA13:AA50" si="12">Z13*E13</f>
        <v>600000</v>
      </c>
      <c r="AB13" s="47">
        <v>1</v>
      </c>
      <c r="AC13" s="53">
        <f t="shared" ref="AC13:AC50" si="13">AB13*E13</f>
        <v>300000</v>
      </c>
      <c r="AD13" s="47">
        <v>1</v>
      </c>
      <c r="AE13" s="53">
        <f t="shared" ref="AE13:AE50" si="14">AD13*E13</f>
        <v>300000</v>
      </c>
      <c r="AF13" s="47">
        <v>0</v>
      </c>
      <c r="AG13" s="53">
        <f t="shared" ref="AG13:AG50" si="15">AF13*E13</f>
        <v>0</v>
      </c>
      <c r="AH13" s="47">
        <v>1</v>
      </c>
      <c r="AI13" s="53">
        <f t="shared" ref="AI13:AI50" si="16">AH13*E13</f>
        <v>300000</v>
      </c>
      <c r="AJ13" s="47">
        <v>3</v>
      </c>
      <c r="AK13" s="53">
        <f t="shared" ref="AK13:AK37" si="17">AJ13*E13</f>
        <v>900000</v>
      </c>
      <c r="AL13" s="47">
        <v>2</v>
      </c>
      <c r="AM13" s="53">
        <f t="shared" ref="AM13:AM50" si="18">AL13*E13</f>
        <v>600000</v>
      </c>
      <c r="AN13" s="47">
        <v>0</v>
      </c>
      <c r="AO13" s="53">
        <f t="shared" ref="AO13:AO37" si="19">AN13*E13</f>
        <v>0</v>
      </c>
      <c r="AP13" s="47">
        <v>0</v>
      </c>
      <c r="AQ13" s="53">
        <f t="shared" ref="AQ13:AQ50" si="20">AP13*E13</f>
        <v>0</v>
      </c>
      <c r="AR13" s="47">
        <v>1</v>
      </c>
      <c r="AS13" s="53">
        <f t="shared" ref="AS13:AS50" si="21">AR13*E13</f>
        <v>300000</v>
      </c>
      <c r="AT13" s="47">
        <v>2</v>
      </c>
      <c r="AU13" s="53">
        <f>AT13*E13</f>
        <v>600000</v>
      </c>
      <c r="AV13" s="47">
        <v>2</v>
      </c>
      <c r="AW13" s="53">
        <f>AV13*E13</f>
        <v>600000</v>
      </c>
      <c r="AX13" s="47">
        <v>4</v>
      </c>
      <c r="AY13" s="53">
        <f>AX13*E13</f>
        <v>1200000</v>
      </c>
      <c r="AZ13" s="47">
        <v>2</v>
      </c>
      <c r="BA13" s="53">
        <f t="shared" ref="BA13:BA50" si="22">AZ13*E13</f>
        <v>600000</v>
      </c>
      <c r="BB13" s="47">
        <v>1</v>
      </c>
      <c r="BC13" s="53">
        <f t="shared" ref="BC13:BC50" si="23">BB13*E13</f>
        <v>300000</v>
      </c>
      <c r="BD13" s="47">
        <v>1</v>
      </c>
      <c r="BE13" s="53">
        <f t="shared" ref="BE13:BE45" si="24">BD13*E13</f>
        <v>300000</v>
      </c>
      <c r="BF13" s="47">
        <v>1</v>
      </c>
      <c r="BG13" s="53">
        <f t="shared" ref="BG13:BG50" si="25">BF13*E13</f>
        <v>300000</v>
      </c>
      <c r="BH13" s="47"/>
      <c r="BI13" s="53">
        <f t="shared" ref="BI13:BI50" si="26">BH13*E13</f>
        <v>0</v>
      </c>
      <c r="BJ13" s="47">
        <f t="shared" si="1"/>
        <v>24</v>
      </c>
      <c r="BK13" s="117">
        <f t="shared" si="1"/>
        <v>7200000</v>
      </c>
      <c r="BL13" s="341" t="s">
        <v>473</v>
      </c>
      <c r="BN13" s="113">
        <f>G13</f>
        <v>7200000</v>
      </c>
      <c r="BO13" s="113"/>
      <c r="BP13" s="113"/>
      <c r="BQ13" s="113"/>
      <c r="BR13" s="113">
        <f t="shared" ref="BR13:BR37" si="27">BN13+BO13+BP13+BQ13</f>
        <v>7200000</v>
      </c>
      <c r="BS13" s="113"/>
      <c r="BT13" s="113"/>
      <c r="BU13" s="113">
        <f>BS13+BT13</f>
        <v>0</v>
      </c>
      <c r="BV13" s="181">
        <f t="shared" si="2"/>
        <v>7200000</v>
      </c>
    </row>
    <row r="14" spans="1:74" x14ac:dyDescent="0.25">
      <c r="A14" s="955"/>
      <c r="B14" s="119"/>
      <c r="C14" s="353" t="s">
        <v>642</v>
      </c>
      <c r="D14" s="38" t="s">
        <v>209</v>
      </c>
      <c r="E14" s="456">
        <v>120000</v>
      </c>
      <c r="F14" s="454">
        <f t="shared" si="3"/>
        <v>11</v>
      </c>
      <c r="G14" s="79">
        <f t="shared" ref="G14:G37" si="28">E14*F14</f>
        <v>1320000</v>
      </c>
      <c r="H14" s="79">
        <f t="shared" ref="H14:H37" si="29">G14*0.1</f>
        <v>132000</v>
      </c>
      <c r="I14" s="79">
        <f t="shared" si="4"/>
        <v>1056000</v>
      </c>
      <c r="J14" s="120"/>
      <c r="K14" s="120"/>
      <c r="L14" s="120"/>
      <c r="M14" s="120"/>
      <c r="N14" s="120"/>
      <c r="O14" s="121"/>
      <c r="P14" s="80">
        <f t="shared" ref="P14:P37" si="30">G14*0.1</f>
        <v>132000</v>
      </c>
      <c r="Q14" s="122"/>
      <c r="R14" s="123"/>
      <c r="S14" s="54">
        <f t="shared" si="5"/>
        <v>4.4000000000000004</v>
      </c>
      <c r="T14" s="54">
        <f t="shared" si="6"/>
        <v>3.3</v>
      </c>
      <c r="U14" s="54">
        <f t="shared" si="7"/>
        <v>3.3</v>
      </c>
      <c r="V14" s="53">
        <f t="shared" si="8"/>
        <v>0</v>
      </c>
      <c r="W14" s="53">
        <f t="shared" si="9"/>
        <v>528000</v>
      </c>
      <c r="X14" s="53">
        <f t="shared" si="10"/>
        <v>396000</v>
      </c>
      <c r="Y14" s="53">
        <f t="shared" si="11"/>
        <v>396000</v>
      </c>
      <c r="Z14" s="124">
        <v>0</v>
      </c>
      <c r="AA14" s="53">
        <f t="shared" si="12"/>
        <v>0</v>
      </c>
      <c r="AB14" s="124">
        <v>0</v>
      </c>
      <c r="AC14" s="53">
        <f t="shared" si="13"/>
        <v>0</v>
      </c>
      <c r="AD14" s="124">
        <v>0</v>
      </c>
      <c r="AE14" s="722">
        <f t="shared" si="14"/>
        <v>0</v>
      </c>
      <c r="AF14" s="124">
        <v>2</v>
      </c>
      <c r="AG14" s="53">
        <f t="shared" si="15"/>
        <v>240000</v>
      </c>
      <c r="AH14" s="124">
        <v>2</v>
      </c>
      <c r="AI14" s="53">
        <f t="shared" si="16"/>
        <v>240000</v>
      </c>
      <c r="AJ14" s="124">
        <v>1</v>
      </c>
      <c r="AK14" s="53">
        <f t="shared" si="17"/>
        <v>120000</v>
      </c>
      <c r="AL14" s="124">
        <v>0</v>
      </c>
      <c r="AM14" s="53">
        <f t="shared" si="18"/>
        <v>0</v>
      </c>
      <c r="AN14" s="124"/>
      <c r="AO14" s="53">
        <f t="shared" si="19"/>
        <v>0</v>
      </c>
      <c r="AP14" s="124">
        <v>1</v>
      </c>
      <c r="AQ14" s="53">
        <f t="shared" si="20"/>
        <v>120000</v>
      </c>
      <c r="AR14" s="124">
        <v>2</v>
      </c>
      <c r="AS14" s="53">
        <f t="shared" si="21"/>
        <v>240000</v>
      </c>
      <c r="AT14" s="124"/>
      <c r="AU14" s="53">
        <f t="shared" ref="AU14:AU37" si="31">AT14*E14</f>
        <v>0</v>
      </c>
      <c r="AV14" s="124">
        <v>0</v>
      </c>
      <c r="AW14" s="53">
        <f t="shared" ref="AW14:AW37" si="32">AV14*E14</f>
        <v>0</v>
      </c>
      <c r="AX14" s="124">
        <v>0</v>
      </c>
      <c r="AY14" s="53">
        <f>AX14*E14</f>
        <v>0</v>
      </c>
      <c r="AZ14" s="124">
        <v>3</v>
      </c>
      <c r="BA14" s="53">
        <f t="shared" si="22"/>
        <v>360000</v>
      </c>
      <c r="BB14" s="124">
        <v>0</v>
      </c>
      <c r="BC14" s="53">
        <f t="shared" si="23"/>
        <v>0</v>
      </c>
      <c r="BD14" s="124">
        <v>0</v>
      </c>
      <c r="BE14" s="53">
        <f t="shared" si="24"/>
        <v>0</v>
      </c>
      <c r="BF14" s="124">
        <v>0</v>
      </c>
      <c r="BG14" s="53">
        <f t="shared" si="25"/>
        <v>0</v>
      </c>
      <c r="BH14" s="124"/>
      <c r="BI14" s="53">
        <f t="shared" si="26"/>
        <v>0</v>
      </c>
      <c r="BJ14" s="47">
        <f t="shared" si="1"/>
        <v>11</v>
      </c>
      <c r="BK14" s="117">
        <f t="shared" si="1"/>
        <v>1320000</v>
      </c>
      <c r="BL14" s="341" t="s">
        <v>473</v>
      </c>
      <c r="BN14" s="113">
        <f t="shared" ref="BN14:BN37" si="33">G14</f>
        <v>1320000</v>
      </c>
      <c r="BO14" s="125"/>
      <c r="BP14" s="125"/>
      <c r="BQ14" s="125"/>
      <c r="BR14" s="113">
        <f t="shared" si="27"/>
        <v>1320000</v>
      </c>
      <c r="BS14" s="113"/>
      <c r="BT14" s="113"/>
      <c r="BU14" s="113"/>
      <c r="BV14" s="181">
        <f t="shared" si="2"/>
        <v>1320000</v>
      </c>
    </row>
    <row r="15" spans="1:74" x14ac:dyDescent="0.25">
      <c r="A15" s="955"/>
      <c r="B15" s="119"/>
      <c r="C15" s="353" t="s">
        <v>670</v>
      </c>
      <c r="D15" s="38" t="s">
        <v>209</v>
      </c>
      <c r="E15" s="456">
        <v>250000</v>
      </c>
      <c r="F15" s="454">
        <f t="shared" si="3"/>
        <v>0</v>
      </c>
      <c r="G15" s="79">
        <f t="shared" si="28"/>
        <v>0</v>
      </c>
      <c r="H15" s="79">
        <f t="shared" si="29"/>
        <v>0</v>
      </c>
      <c r="I15" s="79">
        <f t="shared" si="4"/>
        <v>0</v>
      </c>
      <c r="J15" s="120"/>
      <c r="K15" s="120"/>
      <c r="L15" s="120"/>
      <c r="M15" s="120"/>
      <c r="N15" s="120"/>
      <c r="O15" s="121"/>
      <c r="P15" s="80">
        <f t="shared" si="30"/>
        <v>0</v>
      </c>
      <c r="Q15" s="122"/>
      <c r="R15" s="123"/>
      <c r="S15" s="54">
        <f t="shared" si="5"/>
        <v>0</v>
      </c>
      <c r="T15" s="54">
        <f t="shared" si="6"/>
        <v>0</v>
      </c>
      <c r="U15" s="54">
        <f t="shared" si="7"/>
        <v>0</v>
      </c>
      <c r="V15" s="53">
        <f t="shared" si="8"/>
        <v>0</v>
      </c>
      <c r="W15" s="53">
        <f t="shared" si="9"/>
        <v>0</v>
      </c>
      <c r="X15" s="53">
        <f t="shared" si="10"/>
        <v>0</v>
      </c>
      <c r="Y15" s="53">
        <f t="shared" si="11"/>
        <v>0</v>
      </c>
      <c r="Z15" s="124"/>
      <c r="AA15" s="53">
        <f t="shared" si="12"/>
        <v>0</v>
      </c>
      <c r="AB15" s="124"/>
      <c r="AC15" s="53">
        <f t="shared" si="13"/>
        <v>0</v>
      </c>
      <c r="AD15" s="124"/>
      <c r="AE15" s="53">
        <f t="shared" si="14"/>
        <v>0</v>
      </c>
      <c r="AF15" s="124">
        <v>0</v>
      </c>
      <c r="AG15" s="53">
        <f t="shared" si="15"/>
        <v>0</v>
      </c>
      <c r="AH15" s="124"/>
      <c r="AI15" s="53">
        <f t="shared" si="16"/>
        <v>0</v>
      </c>
      <c r="AJ15" s="124"/>
      <c r="AK15" s="53">
        <f t="shared" si="17"/>
        <v>0</v>
      </c>
      <c r="AL15" s="124"/>
      <c r="AM15" s="53">
        <f t="shared" si="18"/>
        <v>0</v>
      </c>
      <c r="AN15" s="124"/>
      <c r="AO15" s="53">
        <f t="shared" si="19"/>
        <v>0</v>
      </c>
      <c r="AP15" s="124"/>
      <c r="AQ15" s="53">
        <f t="shared" si="20"/>
        <v>0</v>
      </c>
      <c r="AR15" s="124"/>
      <c r="AS15" s="53">
        <f t="shared" si="21"/>
        <v>0</v>
      </c>
      <c r="AT15" s="124"/>
      <c r="AU15" s="53">
        <f t="shared" si="31"/>
        <v>0</v>
      </c>
      <c r="AV15" s="124">
        <v>0</v>
      </c>
      <c r="AW15" s="53">
        <f t="shared" si="32"/>
        <v>0</v>
      </c>
      <c r="AX15" s="124">
        <v>0</v>
      </c>
      <c r="AY15" s="53">
        <f t="shared" ref="AY15:AY37" si="34">AX15*E15</f>
        <v>0</v>
      </c>
      <c r="AZ15" s="124"/>
      <c r="BA15" s="53">
        <f t="shared" si="22"/>
        <v>0</v>
      </c>
      <c r="BB15" s="124">
        <v>0</v>
      </c>
      <c r="BC15" s="53">
        <f t="shared" si="23"/>
        <v>0</v>
      </c>
      <c r="BD15" s="124"/>
      <c r="BE15" s="53">
        <f t="shared" si="24"/>
        <v>0</v>
      </c>
      <c r="BF15" s="124"/>
      <c r="BG15" s="53">
        <f t="shared" si="25"/>
        <v>0</v>
      </c>
      <c r="BH15" s="124"/>
      <c r="BI15" s="53">
        <f t="shared" si="26"/>
        <v>0</v>
      </c>
      <c r="BJ15" s="47">
        <f t="shared" si="1"/>
        <v>0</v>
      </c>
      <c r="BK15" s="117">
        <f t="shared" si="1"/>
        <v>0</v>
      </c>
      <c r="BL15" s="341" t="s">
        <v>473</v>
      </c>
      <c r="BN15" s="113">
        <f t="shared" si="33"/>
        <v>0</v>
      </c>
      <c r="BO15" s="125"/>
      <c r="BP15" s="125"/>
      <c r="BQ15" s="125"/>
      <c r="BR15" s="113">
        <f t="shared" si="27"/>
        <v>0</v>
      </c>
      <c r="BS15" s="113"/>
      <c r="BT15" s="113"/>
      <c r="BU15" s="113"/>
      <c r="BV15" s="181">
        <f t="shared" si="2"/>
        <v>0</v>
      </c>
    </row>
    <row r="16" spans="1:74" ht="31.5" customHeight="1" x14ac:dyDescent="0.25">
      <c r="A16" s="955"/>
      <c r="B16" s="119"/>
      <c r="C16" s="353" t="s">
        <v>643</v>
      </c>
      <c r="D16" s="38" t="s">
        <v>209</v>
      </c>
      <c r="E16" s="456">
        <v>600000</v>
      </c>
      <c r="F16" s="454">
        <f t="shared" si="3"/>
        <v>1</v>
      </c>
      <c r="G16" s="79">
        <f t="shared" si="28"/>
        <v>600000</v>
      </c>
      <c r="H16" s="79">
        <f t="shared" si="29"/>
        <v>60000</v>
      </c>
      <c r="I16" s="79">
        <f t="shared" si="4"/>
        <v>480000</v>
      </c>
      <c r="J16" s="120"/>
      <c r="K16" s="120"/>
      <c r="L16" s="120"/>
      <c r="M16" s="120"/>
      <c r="N16" s="120"/>
      <c r="O16" s="121"/>
      <c r="P16" s="80">
        <f t="shared" si="30"/>
        <v>60000</v>
      </c>
      <c r="Q16" s="122"/>
      <c r="R16" s="123"/>
      <c r="S16" s="54">
        <f t="shared" si="5"/>
        <v>0.4</v>
      </c>
      <c r="T16" s="54">
        <f t="shared" si="6"/>
        <v>0.3</v>
      </c>
      <c r="U16" s="54">
        <f t="shared" si="7"/>
        <v>0.3</v>
      </c>
      <c r="V16" s="53">
        <f t="shared" si="8"/>
        <v>0</v>
      </c>
      <c r="W16" s="53">
        <f t="shared" si="9"/>
        <v>240000</v>
      </c>
      <c r="X16" s="53">
        <f t="shared" si="10"/>
        <v>180000</v>
      </c>
      <c r="Y16" s="53">
        <f t="shared" si="11"/>
        <v>180000</v>
      </c>
      <c r="Z16" s="124"/>
      <c r="AA16" s="53">
        <f t="shared" si="12"/>
        <v>0</v>
      </c>
      <c r="AB16" s="124"/>
      <c r="AC16" s="53">
        <f t="shared" si="13"/>
        <v>0</v>
      </c>
      <c r="AD16" s="124"/>
      <c r="AE16" s="53">
        <f t="shared" si="14"/>
        <v>0</v>
      </c>
      <c r="AF16" s="124"/>
      <c r="AG16" s="53">
        <f t="shared" si="15"/>
        <v>0</v>
      </c>
      <c r="AH16" s="124"/>
      <c r="AI16" s="53">
        <f t="shared" si="16"/>
        <v>0</v>
      </c>
      <c r="AJ16" s="124"/>
      <c r="AK16" s="53">
        <f t="shared" si="17"/>
        <v>0</v>
      </c>
      <c r="AL16" s="124">
        <v>0</v>
      </c>
      <c r="AM16" s="53">
        <f t="shared" si="18"/>
        <v>0</v>
      </c>
      <c r="AN16" s="124">
        <v>0</v>
      </c>
      <c r="AO16" s="53">
        <f t="shared" si="19"/>
        <v>0</v>
      </c>
      <c r="AP16" s="124"/>
      <c r="AQ16" s="53">
        <f t="shared" si="20"/>
        <v>0</v>
      </c>
      <c r="AR16" s="124"/>
      <c r="AS16" s="53">
        <f t="shared" si="21"/>
        <v>0</v>
      </c>
      <c r="AT16" s="124"/>
      <c r="AU16" s="53">
        <f t="shared" si="31"/>
        <v>0</v>
      </c>
      <c r="AV16" s="124">
        <v>1</v>
      </c>
      <c r="AW16" s="53">
        <f t="shared" si="32"/>
        <v>600000</v>
      </c>
      <c r="AX16" s="124"/>
      <c r="AY16" s="53">
        <f t="shared" si="34"/>
        <v>0</v>
      </c>
      <c r="AZ16" s="124"/>
      <c r="BA16" s="53">
        <f t="shared" si="22"/>
        <v>0</v>
      </c>
      <c r="BB16" s="124"/>
      <c r="BC16" s="53">
        <f t="shared" si="23"/>
        <v>0</v>
      </c>
      <c r="BD16" s="124">
        <v>0</v>
      </c>
      <c r="BE16" s="53">
        <f t="shared" si="24"/>
        <v>0</v>
      </c>
      <c r="BF16" s="124"/>
      <c r="BG16" s="53">
        <f t="shared" si="25"/>
        <v>0</v>
      </c>
      <c r="BH16" s="124"/>
      <c r="BI16" s="53">
        <f t="shared" si="26"/>
        <v>0</v>
      </c>
      <c r="BJ16" s="47">
        <f t="shared" si="1"/>
        <v>1</v>
      </c>
      <c r="BK16" s="117">
        <f t="shared" si="1"/>
        <v>600000</v>
      </c>
      <c r="BL16" s="341" t="s">
        <v>473</v>
      </c>
      <c r="BN16" s="113">
        <f t="shared" si="33"/>
        <v>600000</v>
      </c>
      <c r="BO16" s="125"/>
      <c r="BP16" s="125"/>
      <c r="BQ16" s="125"/>
      <c r="BR16" s="113">
        <f t="shared" si="27"/>
        <v>600000</v>
      </c>
      <c r="BS16" s="113"/>
      <c r="BT16" s="113"/>
      <c r="BU16" s="113"/>
      <c r="BV16" s="181">
        <f t="shared" si="2"/>
        <v>600000</v>
      </c>
    </row>
    <row r="17" spans="1:74" ht="31.5" x14ac:dyDescent="0.25">
      <c r="A17" s="955"/>
      <c r="B17" s="119"/>
      <c r="C17" s="353" t="s">
        <v>644</v>
      </c>
      <c r="D17" s="38" t="s">
        <v>209</v>
      </c>
      <c r="E17" s="456">
        <v>500000</v>
      </c>
      <c r="F17" s="454">
        <f t="shared" si="3"/>
        <v>2</v>
      </c>
      <c r="G17" s="79">
        <f t="shared" si="28"/>
        <v>1000000</v>
      </c>
      <c r="H17" s="79">
        <f t="shared" si="29"/>
        <v>100000</v>
      </c>
      <c r="I17" s="79">
        <f t="shared" si="4"/>
        <v>800000</v>
      </c>
      <c r="J17" s="120"/>
      <c r="K17" s="120"/>
      <c r="L17" s="120"/>
      <c r="M17" s="120"/>
      <c r="N17" s="120"/>
      <c r="O17" s="121"/>
      <c r="P17" s="80">
        <f t="shared" si="30"/>
        <v>100000</v>
      </c>
      <c r="Q17" s="122"/>
      <c r="R17" s="123"/>
      <c r="S17" s="54">
        <f t="shared" si="5"/>
        <v>0.8</v>
      </c>
      <c r="T17" s="54">
        <f t="shared" si="6"/>
        <v>0.6</v>
      </c>
      <c r="U17" s="54">
        <f t="shared" si="7"/>
        <v>0.6</v>
      </c>
      <c r="V17" s="53">
        <f t="shared" si="8"/>
        <v>0</v>
      </c>
      <c r="W17" s="53">
        <f t="shared" si="9"/>
        <v>400000</v>
      </c>
      <c r="X17" s="53">
        <f t="shared" si="10"/>
        <v>300000</v>
      </c>
      <c r="Y17" s="53">
        <f t="shared" si="11"/>
        <v>300000</v>
      </c>
      <c r="Z17" s="124">
        <v>2</v>
      </c>
      <c r="AA17" s="53">
        <f t="shared" si="12"/>
        <v>1000000</v>
      </c>
      <c r="AB17" s="124">
        <v>0</v>
      </c>
      <c r="AC17" s="53">
        <f t="shared" si="13"/>
        <v>0</v>
      </c>
      <c r="AD17" s="124">
        <v>0</v>
      </c>
      <c r="AE17" s="53">
        <f t="shared" si="14"/>
        <v>0</v>
      </c>
      <c r="AF17" s="124">
        <v>0</v>
      </c>
      <c r="AG17" s="53">
        <f t="shared" si="15"/>
        <v>0</v>
      </c>
      <c r="AH17" s="124">
        <v>0</v>
      </c>
      <c r="AI17" s="53">
        <f t="shared" si="16"/>
        <v>0</v>
      </c>
      <c r="AJ17" s="124"/>
      <c r="AK17" s="53">
        <f t="shared" si="17"/>
        <v>0</v>
      </c>
      <c r="AL17" s="124">
        <v>0</v>
      </c>
      <c r="AM17" s="53">
        <f t="shared" si="18"/>
        <v>0</v>
      </c>
      <c r="AN17" s="124"/>
      <c r="AO17" s="53">
        <f t="shared" si="19"/>
        <v>0</v>
      </c>
      <c r="AP17" s="124"/>
      <c r="AQ17" s="53">
        <f t="shared" si="20"/>
        <v>0</v>
      </c>
      <c r="AR17" s="124"/>
      <c r="AS17" s="53">
        <f t="shared" si="21"/>
        <v>0</v>
      </c>
      <c r="AT17" s="124"/>
      <c r="AU17" s="53">
        <f t="shared" si="31"/>
        <v>0</v>
      </c>
      <c r="AV17" s="124"/>
      <c r="AW17" s="53">
        <f t="shared" si="32"/>
        <v>0</v>
      </c>
      <c r="AX17" s="124"/>
      <c r="AY17" s="53">
        <f t="shared" si="34"/>
        <v>0</v>
      </c>
      <c r="AZ17" s="124"/>
      <c r="BA17" s="53">
        <f t="shared" si="22"/>
        <v>0</v>
      </c>
      <c r="BB17" s="124"/>
      <c r="BC17" s="53">
        <f t="shared" si="23"/>
        <v>0</v>
      </c>
      <c r="BD17" s="124"/>
      <c r="BE17" s="53">
        <f t="shared" si="24"/>
        <v>0</v>
      </c>
      <c r="BF17" s="124"/>
      <c r="BG17" s="53">
        <f t="shared" si="25"/>
        <v>0</v>
      </c>
      <c r="BH17" s="124"/>
      <c r="BI17" s="53">
        <f t="shared" si="26"/>
        <v>0</v>
      </c>
      <c r="BJ17" s="47">
        <f t="shared" si="1"/>
        <v>2</v>
      </c>
      <c r="BK17" s="117">
        <f t="shared" si="1"/>
        <v>1000000</v>
      </c>
      <c r="BL17" s="341" t="s">
        <v>473</v>
      </c>
      <c r="BN17" s="113">
        <f t="shared" si="33"/>
        <v>1000000</v>
      </c>
      <c r="BO17" s="125"/>
      <c r="BP17" s="125"/>
      <c r="BQ17" s="125"/>
      <c r="BR17" s="113">
        <f t="shared" si="27"/>
        <v>1000000</v>
      </c>
      <c r="BS17" s="113"/>
      <c r="BT17" s="113"/>
      <c r="BU17" s="113"/>
      <c r="BV17" s="181">
        <f t="shared" si="2"/>
        <v>1000000</v>
      </c>
    </row>
    <row r="18" spans="1:74" x14ac:dyDescent="0.25">
      <c r="A18" s="955"/>
      <c r="B18" s="119"/>
      <c r="C18" s="353" t="s">
        <v>671</v>
      </c>
      <c r="D18" s="38" t="s">
        <v>209</v>
      </c>
      <c r="E18" s="456">
        <v>250000</v>
      </c>
      <c r="F18" s="454">
        <f t="shared" si="3"/>
        <v>8</v>
      </c>
      <c r="G18" s="79">
        <f t="shared" si="28"/>
        <v>2000000</v>
      </c>
      <c r="H18" s="79">
        <f t="shared" si="29"/>
        <v>200000</v>
      </c>
      <c r="I18" s="79">
        <f t="shared" si="4"/>
        <v>1600000</v>
      </c>
      <c r="J18" s="120"/>
      <c r="K18" s="120"/>
      <c r="L18" s="120"/>
      <c r="M18" s="120"/>
      <c r="N18" s="120"/>
      <c r="O18" s="121"/>
      <c r="P18" s="80">
        <f t="shared" si="30"/>
        <v>200000</v>
      </c>
      <c r="Q18" s="122"/>
      <c r="R18" s="123"/>
      <c r="S18" s="54">
        <f t="shared" si="5"/>
        <v>3.2</v>
      </c>
      <c r="T18" s="54">
        <f t="shared" si="6"/>
        <v>2.4</v>
      </c>
      <c r="U18" s="54">
        <f t="shared" si="7"/>
        <v>2.4</v>
      </c>
      <c r="V18" s="53">
        <f t="shared" si="8"/>
        <v>0</v>
      </c>
      <c r="W18" s="53">
        <f t="shared" si="9"/>
        <v>800000</v>
      </c>
      <c r="X18" s="53">
        <f t="shared" si="10"/>
        <v>600000</v>
      </c>
      <c r="Y18" s="53">
        <f t="shared" si="11"/>
        <v>600000</v>
      </c>
      <c r="Z18" s="124"/>
      <c r="AA18" s="53">
        <f t="shared" si="12"/>
        <v>0</v>
      </c>
      <c r="AB18" s="124">
        <v>0</v>
      </c>
      <c r="AC18" s="53">
        <f t="shared" si="13"/>
        <v>0</v>
      </c>
      <c r="AD18" s="124">
        <v>0</v>
      </c>
      <c r="AE18" s="53">
        <f t="shared" si="14"/>
        <v>0</v>
      </c>
      <c r="AF18" s="124">
        <v>0</v>
      </c>
      <c r="AG18" s="53">
        <f t="shared" si="15"/>
        <v>0</v>
      </c>
      <c r="AH18" s="124">
        <v>1</v>
      </c>
      <c r="AI18" s="53">
        <f t="shared" si="16"/>
        <v>250000</v>
      </c>
      <c r="AJ18" s="124"/>
      <c r="AK18" s="53">
        <f t="shared" si="17"/>
        <v>0</v>
      </c>
      <c r="AL18" s="124"/>
      <c r="AM18" s="53">
        <f t="shared" si="18"/>
        <v>0</v>
      </c>
      <c r="AN18" s="124"/>
      <c r="AO18" s="53">
        <f t="shared" si="19"/>
        <v>0</v>
      </c>
      <c r="AP18" s="124">
        <v>0</v>
      </c>
      <c r="AQ18" s="53">
        <f t="shared" si="20"/>
        <v>0</v>
      </c>
      <c r="AR18" s="124">
        <v>6</v>
      </c>
      <c r="AS18" s="53">
        <f t="shared" si="21"/>
        <v>1500000</v>
      </c>
      <c r="AT18" s="124">
        <v>0</v>
      </c>
      <c r="AU18" s="53">
        <f t="shared" si="31"/>
        <v>0</v>
      </c>
      <c r="AV18" s="124">
        <v>1</v>
      </c>
      <c r="AW18" s="53">
        <f t="shared" si="32"/>
        <v>250000</v>
      </c>
      <c r="AX18" s="124"/>
      <c r="AY18" s="53">
        <f t="shared" si="34"/>
        <v>0</v>
      </c>
      <c r="AZ18" s="124"/>
      <c r="BA18" s="53">
        <f t="shared" si="22"/>
        <v>0</v>
      </c>
      <c r="BB18" s="124">
        <v>0</v>
      </c>
      <c r="BC18" s="53">
        <f t="shared" si="23"/>
        <v>0</v>
      </c>
      <c r="BD18" s="124"/>
      <c r="BE18" s="53">
        <f t="shared" si="24"/>
        <v>0</v>
      </c>
      <c r="BF18" s="124"/>
      <c r="BG18" s="53">
        <f t="shared" si="25"/>
        <v>0</v>
      </c>
      <c r="BH18" s="124"/>
      <c r="BI18" s="53">
        <f t="shared" si="26"/>
        <v>0</v>
      </c>
      <c r="BJ18" s="47">
        <f t="shared" si="1"/>
        <v>8</v>
      </c>
      <c r="BK18" s="117">
        <f t="shared" si="1"/>
        <v>2000000</v>
      </c>
      <c r="BL18" s="341" t="s">
        <v>473</v>
      </c>
      <c r="BN18" s="113">
        <f t="shared" si="33"/>
        <v>2000000</v>
      </c>
      <c r="BO18" s="125"/>
      <c r="BP18" s="125"/>
      <c r="BQ18" s="125"/>
      <c r="BR18" s="113">
        <f t="shared" si="27"/>
        <v>2000000</v>
      </c>
      <c r="BS18" s="113"/>
      <c r="BT18" s="113"/>
      <c r="BU18" s="113"/>
      <c r="BV18" s="181">
        <f t="shared" si="2"/>
        <v>2000000</v>
      </c>
    </row>
    <row r="19" spans="1:74" s="165" customFormat="1" x14ac:dyDescent="0.25">
      <c r="A19" s="955"/>
      <c r="B19" s="147"/>
      <c r="C19" s="354" t="s">
        <v>645</v>
      </c>
      <c r="D19" s="171" t="s">
        <v>209</v>
      </c>
      <c r="E19" s="457">
        <v>300000</v>
      </c>
      <c r="F19" s="458">
        <f t="shared" si="3"/>
        <v>9</v>
      </c>
      <c r="G19" s="79">
        <f t="shared" si="28"/>
        <v>2700000</v>
      </c>
      <c r="H19" s="163">
        <f t="shared" si="29"/>
        <v>270000</v>
      </c>
      <c r="I19" s="163">
        <f t="shared" si="4"/>
        <v>2160000</v>
      </c>
      <c r="J19" s="148"/>
      <c r="K19" s="148"/>
      <c r="L19" s="148"/>
      <c r="M19" s="148"/>
      <c r="N19" s="148"/>
      <c r="O19" s="149"/>
      <c r="P19" s="164">
        <f t="shared" si="30"/>
        <v>270000</v>
      </c>
      <c r="Q19" s="150"/>
      <c r="R19" s="151"/>
      <c r="S19" s="167">
        <f t="shared" si="5"/>
        <v>3.6</v>
      </c>
      <c r="T19" s="167">
        <f t="shared" si="6"/>
        <v>2.6999999999999997</v>
      </c>
      <c r="U19" s="167">
        <f t="shared" si="7"/>
        <v>2.6999999999999997</v>
      </c>
      <c r="V19" s="53">
        <f t="shared" si="8"/>
        <v>0</v>
      </c>
      <c r="W19" s="53">
        <f t="shared" si="9"/>
        <v>1080000</v>
      </c>
      <c r="X19" s="53">
        <f t="shared" si="10"/>
        <v>809999.99999999988</v>
      </c>
      <c r="Y19" s="53">
        <f t="shared" si="11"/>
        <v>809999.99999999988</v>
      </c>
      <c r="Z19" s="152"/>
      <c r="AA19" s="53">
        <f t="shared" si="12"/>
        <v>0</v>
      </c>
      <c r="AB19" s="152">
        <v>1</v>
      </c>
      <c r="AC19" s="53">
        <f t="shared" si="13"/>
        <v>300000</v>
      </c>
      <c r="AD19" s="152"/>
      <c r="AE19" s="53">
        <f t="shared" si="14"/>
        <v>0</v>
      </c>
      <c r="AF19" s="152">
        <v>0</v>
      </c>
      <c r="AG19" s="53">
        <f t="shared" si="15"/>
        <v>0</v>
      </c>
      <c r="AH19" s="152">
        <v>1</v>
      </c>
      <c r="AI19" s="53">
        <f t="shared" si="16"/>
        <v>300000</v>
      </c>
      <c r="AJ19" s="152">
        <v>0</v>
      </c>
      <c r="AK19" s="53">
        <f t="shared" si="17"/>
        <v>0</v>
      </c>
      <c r="AL19" s="152">
        <v>0</v>
      </c>
      <c r="AM19" s="53">
        <f t="shared" si="18"/>
        <v>0</v>
      </c>
      <c r="AN19" s="152"/>
      <c r="AO19" s="53">
        <f t="shared" si="19"/>
        <v>0</v>
      </c>
      <c r="AP19" s="152">
        <v>0</v>
      </c>
      <c r="AQ19" s="53">
        <f t="shared" si="20"/>
        <v>0</v>
      </c>
      <c r="AR19" s="152">
        <v>4</v>
      </c>
      <c r="AS19" s="53">
        <f t="shared" si="21"/>
        <v>1200000</v>
      </c>
      <c r="AT19" s="152">
        <v>0</v>
      </c>
      <c r="AU19" s="53">
        <f t="shared" si="31"/>
        <v>0</v>
      </c>
      <c r="AV19" s="152">
        <v>2</v>
      </c>
      <c r="AW19" s="53">
        <f t="shared" si="32"/>
        <v>600000</v>
      </c>
      <c r="AX19" s="152"/>
      <c r="AY19" s="53">
        <f t="shared" si="34"/>
        <v>0</v>
      </c>
      <c r="AZ19" s="152">
        <v>0</v>
      </c>
      <c r="BA19" s="53">
        <f t="shared" si="22"/>
        <v>0</v>
      </c>
      <c r="BB19" s="152">
        <v>1</v>
      </c>
      <c r="BC19" s="53">
        <f t="shared" si="23"/>
        <v>300000</v>
      </c>
      <c r="BD19" s="152"/>
      <c r="BE19" s="53">
        <f t="shared" si="24"/>
        <v>0</v>
      </c>
      <c r="BF19" s="152"/>
      <c r="BG19" s="53">
        <f t="shared" si="25"/>
        <v>0</v>
      </c>
      <c r="BH19" s="152"/>
      <c r="BI19" s="53">
        <f t="shared" si="26"/>
        <v>0</v>
      </c>
      <c r="BJ19" s="136">
        <f t="shared" si="1"/>
        <v>9</v>
      </c>
      <c r="BK19" s="331">
        <f t="shared" si="1"/>
        <v>2700000</v>
      </c>
      <c r="BL19" s="342" t="s">
        <v>473</v>
      </c>
      <c r="BN19" s="113">
        <f t="shared" si="33"/>
        <v>2700000</v>
      </c>
      <c r="BO19" s="166"/>
      <c r="BP19" s="166"/>
      <c r="BQ19" s="166"/>
      <c r="BR19" s="113">
        <f t="shared" si="27"/>
        <v>2700000</v>
      </c>
      <c r="BS19" s="178"/>
      <c r="BT19" s="178"/>
      <c r="BU19" s="178"/>
      <c r="BV19" s="181">
        <f t="shared" si="2"/>
        <v>2700000</v>
      </c>
    </row>
    <row r="20" spans="1:74" x14ac:dyDescent="0.25">
      <c r="A20" s="955"/>
      <c r="B20" s="119"/>
      <c r="C20" s="353" t="s">
        <v>653</v>
      </c>
      <c r="D20" s="38" t="s">
        <v>209</v>
      </c>
      <c r="E20" s="456">
        <v>300000</v>
      </c>
      <c r="F20" s="454">
        <f t="shared" si="3"/>
        <v>15</v>
      </c>
      <c r="G20" s="79">
        <f t="shared" si="28"/>
        <v>4500000</v>
      </c>
      <c r="H20" s="79">
        <f t="shared" si="29"/>
        <v>450000</v>
      </c>
      <c r="I20" s="79">
        <f t="shared" si="4"/>
        <v>3600000</v>
      </c>
      <c r="J20" s="120"/>
      <c r="K20" s="120"/>
      <c r="L20" s="120"/>
      <c r="M20" s="120"/>
      <c r="N20" s="120"/>
      <c r="O20" s="121"/>
      <c r="P20" s="80">
        <f t="shared" si="30"/>
        <v>450000</v>
      </c>
      <c r="Q20" s="122"/>
      <c r="R20" s="123"/>
      <c r="S20" s="54">
        <f t="shared" si="5"/>
        <v>6</v>
      </c>
      <c r="T20" s="54">
        <f t="shared" si="6"/>
        <v>4.5</v>
      </c>
      <c r="U20" s="54">
        <f t="shared" si="7"/>
        <v>4.5</v>
      </c>
      <c r="V20" s="53">
        <f t="shared" si="8"/>
        <v>0</v>
      </c>
      <c r="W20" s="53">
        <f t="shared" si="9"/>
        <v>1800000</v>
      </c>
      <c r="X20" s="53">
        <f t="shared" si="10"/>
        <v>1350000</v>
      </c>
      <c r="Y20" s="53">
        <f t="shared" si="11"/>
        <v>1350000</v>
      </c>
      <c r="Z20" s="124"/>
      <c r="AA20" s="53">
        <f t="shared" si="12"/>
        <v>0</v>
      </c>
      <c r="AB20" s="124">
        <v>0</v>
      </c>
      <c r="AC20" s="53">
        <f t="shared" si="13"/>
        <v>0</v>
      </c>
      <c r="AD20" s="124">
        <v>2</v>
      </c>
      <c r="AE20" s="722">
        <f t="shared" si="14"/>
        <v>600000</v>
      </c>
      <c r="AF20" s="124">
        <v>0</v>
      </c>
      <c r="AG20" s="53">
        <f t="shared" si="15"/>
        <v>0</v>
      </c>
      <c r="AH20" s="124">
        <v>1</v>
      </c>
      <c r="AI20" s="53">
        <f t="shared" si="16"/>
        <v>300000</v>
      </c>
      <c r="AJ20" s="124"/>
      <c r="AK20" s="53">
        <f t="shared" si="17"/>
        <v>0</v>
      </c>
      <c r="AL20" s="124"/>
      <c r="AM20" s="53">
        <f t="shared" si="18"/>
        <v>0</v>
      </c>
      <c r="AN20" s="124">
        <v>2</v>
      </c>
      <c r="AO20" s="53">
        <f t="shared" si="19"/>
        <v>600000</v>
      </c>
      <c r="AP20" s="124">
        <v>1</v>
      </c>
      <c r="AQ20" s="53">
        <f t="shared" si="20"/>
        <v>300000</v>
      </c>
      <c r="AR20" s="124">
        <v>6</v>
      </c>
      <c r="AS20" s="53">
        <f t="shared" si="21"/>
        <v>1800000</v>
      </c>
      <c r="AT20" s="124">
        <v>1</v>
      </c>
      <c r="AU20" s="53">
        <f t="shared" si="31"/>
        <v>300000</v>
      </c>
      <c r="AV20" s="124">
        <v>0</v>
      </c>
      <c r="AW20" s="53">
        <f t="shared" si="32"/>
        <v>0</v>
      </c>
      <c r="AX20" s="124">
        <v>0</v>
      </c>
      <c r="AY20" s="53">
        <f t="shared" si="34"/>
        <v>0</v>
      </c>
      <c r="AZ20" s="124"/>
      <c r="BA20" s="53">
        <f t="shared" si="22"/>
        <v>0</v>
      </c>
      <c r="BB20" s="642">
        <v>1</v>
      </c>
      <c r="BC20" s="53">
        <f t="shared" si="23"/>
        <v>300000</v>
      </c>
      <c r="BD20" s="124">
        <v>1</v>
      </c>
      <c r="BE20" s="53">
        <f t="shared" si="24"/>
        <v>300000</v>
      </c>
      <c r="BF20" s="124"/>
      <c r="BG20" s="53">
        <f t="shared" si="25"/>
        <v>0</v>
      </c>
      <c r="BH20" s="124"/>
      <c r="BI20" s="53">
        <f t="shared" si="26"/>
        <v>0</v>
      </c>
      <c r="BJ20" s="47">
        <f t="shared" si="1"/>
        <v>15</v>
      </c>
      <c r="BK20" s="117">
        <f t="shared" si="1"/>
        <v>4500000</v>
      </c>
      <c r="BL20" s="341" t="s">
        <v>473</v>
      </c>
      <c r="BN20" s="113">
        <f t="shared" si="33"/>
        <v>4500000</v>
      </c>
      <c r="BO20" s="125"/>
      <c r="BP20" s="125"/>
      <c r="BQ20" s="125"/>
      <c r="BR20" s="113">
        <f t="shared" si="27"/>
        <v>4500000</v>
      </c>
      <c r="BS20" s="113"/>
      <c r="BT20" s="113"/>
      <c r="BU20" s="113"/>
      <c r="BV20" s="181">
        <f t="shared" si="2"/>
        <v>4500000</v>
      </c>
    </row>
    <row r="21" spans="1:74" x14ac:dyDescent="0.25">
      <c r="A21" s="955"/>
      <c r="B21" s="119"/>
      <c r="C21" s="353" t="s">
        <v>762</v>
      </c>
      <c r="D21" s="38" t="s">
        <v>209</v>
      </c>
      <c r="E21" s="456">
        <v>200000</v>
      </c>
      <c r="F21" s="454">
        <f t="shared" si="3"/>
        <v>5</v>
      </c>
      <c r="G21" s="79">
        <f t="shared" si="28"/>
        <v>1000000</v>
      </c>
      <c r="H21" s="79">
        <f t="shared" si="29"/>
        <v>100000</v>
      </c>
      <c r="I21" s="79">
        <f t="shared" si="4"/>
        <v>800000</v>
      </c>
      <c r="J21" s="120"/>
      <c r="K21" s="120"/>
      <c r="L21" s="120"/>
      <c r="M21" s="120"/>
      <c r="N21" s="120"/>
      <c r="O21" s="121"/>
      <c r="P21" s="80">
        <f t="shared" si="30"/>
        <v>100000</v>
      </c>
      <c r="Q21" s="122"/>
      <c r="R21" s="123"/>
      <c r="S21" s="54">
        <f t="shared" si="5"/>
        <v>2</v>
      </c>
      <c r="T21" s="54">
        <f t="shared" si="6"/>
        <v>1.5</v>
      </c>
      <c r="U21" s="54">
        <f t="shared" si="7"/>
        <v>1.5</v>
      </c>
      <c r="V21" s="53">
        <f t="shared" si="8"/>
        <v>0</v>
      </c>
      <c r="W21" s="53">
        <f t="shared" si="9"/>
        <v>400000</v>
      </c>
      <c r="X21" s="53">
        <f t="shared" si="10"/>
        <v>300000</v>
      </c>
      <c r="Y21" s="53">
        <f t="shared" si="11"/>
        <v>300000</v>
      </c>
      <c r="Z21" s="124"/>
      <c r="AA21" s="53">
        <f t="shared" si="12"/>
        <v>0</v>
      </c>
      <c r="AB21" s="124"/>
      <c r="AC21" s="53">
        <f t="shared" si="13"/>
        <v>0</v>
      </c>
      <c r="AD21" s="124"/>
      <c r="AE21" s="53">
        <f t="shared" si="14"/>
        <v>0</v>
      </c>
      <c r="AF21" s="124"/>
      <c r="AG21" s="53">
        <f t="shared" si="15"/>
        <v>0</v>
      </c>
      <c r="AH21" s="124"/>
      <c r="AI21" s="53">
        <f t="shared" si="16"/>
        <v>0</v>
      </c>
      <c r="AJ21" s="124"/>
      <c r="AK21" s="53">
        <f t="shared" si="17"/>
        <v>0</v>
      </c>
      <c r="AL21" s="124">
        <v>0</v>
      </c>
      <c r="AM21" s="53">
        <f t="shared" si="18"/>
        <v>0</v>
      </c>
      <c r="AN21" s="124">
        <v>1</v>
      </c>
      <c r="AO21" s="53">
        <f t="shared" si="19"/>
        <v>200000</v>
      </c>
      <c r="AP21" s="124"/>
      <c r="AQ21" s="53">
        <f t="shared" si="20"/>
        <v>0</v>
      </c>
      <c r="AR21" s="124"/>
      <c r="AS21" s="53">
        <f t="shared" si="21"/>
        <v>0</v>
      </c>
      <c r="AT21" s="124">
        <v>0</v>
      </c>
      <c r="AU21" s="53">
        <f t="shared" si="31"/>
        <v>0</v>
      </c>
      <c r="AV21" s="124">
        <v>0</v>
      </c>
      <c r="AW21" s="53">
        <f t="shared" si="32"/>
        <v>0</v>
      </c>
      <c r="AX21" s="124">
        <v>1</v>
      </c>
      <c r="AY21" s="53">
        <f t="shared" si="34"/>
        <v>200000</v>
      </c>
      <c r="AZ21" s="124"/>
      <c r="BA21" s="53">
        <f t="shared" si="22"/>
        <v>0</v>
      </c>
      <c r="BB21" s="124">
        <v>0</v>
      </c>
      <c r="BC21" s="53">
        <f t="shared" si="23"/>
        <v>0</v>
      </c>
      <c r="BD21" s="124">
        <v>2</v>
      </c>
      <c r="BE21" s="53">
        <f t="shared" si="24"/>
        <v>400000</v>
      </c>
      <c r="BF21" s="124">
        <v>1</v>
      </c>
      <c r="BG21" s="53">
        <f t="shared" si="25"/>
        <v>200000</v>
      </c>
      <c r="BH21" s="124"/>
      <c r="BI21" s="53">
        <f t="shared" si="26"/>
        <v>0</v>
      </c>
      <c r="BJ21" s="47">
        <f t="shared" si="1"/>
        <v>5</v>
      </c>
      <c r="BK21" s="117">
        <f t="shared" si="1"/>
        <v>1000000</v>
      </c>
      <c r="BL21" s="341" t="s">
        <v>473</v>
      </c>
      <c r="BN21" s="113">
        <f t="shared" si="33"/>
        <v>1000000</v>
      </c>
      <c r="BO21" s="125"/>
      <c r="BP21" s="125"/>
      <c r="BQ21" s="125"/>
      <c r="BR21" s="113">
        <f t="shared" si="27"/>
        <v>1000000</v>
      </c>
      <c r="BS21" s="113"/>
      <c r="BT21" s="113"/>
      <c r="BU21" s="113"/>
      <c r="BV21" s="181">
        <f t="shared" si="2"/>
        <v>1000000</v>
      </c>
    </row>
    <row r="22" spans="1:74" x14ac:dyDescent="0.25">
      <c r="A22" s="955"/>
      <c r="B22" s="119"/>
      <c r="C22" s="353" t="s">
        <v>647</v>
      </c>
      <c r="D22" s="38" t="s">
        <v>209</v>
      </c>
      <c r="E22" s="456">
        <v>250000</v>
      </c>
      <c r="F22" s="454">
        <f t="shared" si="3"/>
        <v>19</v>
      </c>
      <c r="G22" s="79">
        <f t="shared" si="28"/>
        <v>4750000</v>
      </c>
      <c r="H22" s="79">
        <f t="shared" si="29"/>
        <v>475000</v>
      </c>
      <c r="I22" s="79">
        <f t="shared" si="4"/>
        <v>3800000</v>
      </c>
      <c r="J22" s="120"/>
      <c r="K22" s="120"/>
      <c r="L22" s="120"/>
      <c r="M22" s="120"/>
      <c r="N22" s="120"/>
      <c r="O22" s="121"/>
      <c r="P22" s="80">
        <f t="shared" si="30"/>
        <v>475000</v>
      </c>
      <c r="Q22" s="122"/>
      <c r="R22" s="123"/>
      <c r="S22" s="54">
        <f t="shared" si="5"/>
        <v>7.6000000000000005</v>
      </c>
      <c r="T22" s="54">
        <f t="shared" si="6"/>
        <v>5.7</v>
      </c>
      <c r="U22" s="54">
        <f t="shared" si="7"/>
        <v>5.7</v>
      </c>
      <c r="V22" s="53">
        <f t="shared" si="8"/>
        <v>0</v>
      </c>
      <c r="W22" s="53">
        <f t="shared" si="9"/>
        <v>1900000.0000000002</v>
      </c>
      <c r="X22" s="53">
        <f t="shared" si="10"/>
        <v>1425000</v>
      </c>
      <c r="Y22" s="53">
        <f t="shared" si="11"/>
        <v>1425000</v>
      </c>
      <c r="Z22" s="124">
        <v>5</v>
      </c>
      <c r="AA22" s="53">
        <f t="shared" si="12"/>
        <v>1250000</v>
      </c>
      <c r="AB22" s="124">
        <v>0</v>
      </c>
      <c r="AC22" s="53">
        <f t="shared" si="13"/>
        <v>0</v>
      </c>
      <c r="AD22" s="124">
        <v>2</v>
      </c>
      <c r="AE22" s="722">
        <f t="shared" si="14"/>
        <v>500000</v>
      </c>
      <c r="AF22" s="124">
        <v>0</v>
      </c>
      <c r="AG22" s="53">
        <f t="shared" si="15"/>
        <v>0</v>
      </c>
      <c r="AH22" s="124">
        <v>2</v>
      </c>
      <c r="AI22" s="53">
        <f t="shared" si="16"/>
        <v>500000</v>
      </c>
      <c r="AJ22" s="124">
        <v>1</v>
      </c>
      <c r="AK22" s="53">
        <f t="shared" si="17"/>
        <v>250000</v>
      </c>
      <c r="AL22" s="124">
        <v>1</v>
      </c>
      <c r="AM22" s="53">
        <f t="shared" si="18"/>
        <v>250000</v>
      </c>
      <c r="AN22" s="124"/>
      <c r="AO22" s="53">
        <f t="shared" si="19"/>
        <v>0</v>
      </c>
      <c r="AP22" s="124"/>
      <c r="AQ22" s="53">
        <f t="shared" si="20"/>
        <v>0</v>
      </c>
      <c r="AR22" s="124">
        <v>2</v>
      </c>
      <c r="AS22" s="53">
        <f t="shared" si="21"/>
        <v>500000</v>
      </c>
      <c r="AT22" s="124">
        <v>1</v>
      </c>
      <c r="AU22" s="53">
        <f t="shared" si="31"/>
        <v>250000</v>
      </c>
      <c r="AV22" s="124">
        <v>2</v>
      </c>
      <c r="AW22" s="53">
        <f t="shared" si="32"/>
        <v>500000</v>
      </c>
      <c r="AX22" s="124">
        <v>1</v>
      </c>
      <c r="AY22" s="53">
        <f t="shared" si="34"/>
        <v>250000</v>
      </c>
      <c r="AZ22" s="124"/>
      <c r="BA22" s="53">
        <f t="shared" si="22"/>
        <v>0</v>
      </c>
      <c r="BB22" s="124">
        <v>1</v>
      </c>
      <c r="BC22" s="53">
        <f t="shared" si="23"/>
        <v>250000</v>
      </c>
      <c r="BD22" s="124"/>
      <c r="BE22" s="53">
        <f t="shared" si="24"/>
        <v>0</v>
      </c>
      <c r="BF22" s="124">
        <v>1</v>
      </c>
      <c r="BG22" s="53">
        <f t="shared" si="25"/>
        <v>250000</v>
      </c>
      <c r="BH22" s="124"/>
      <c r="BI22" s="53">
        <f t="shared" si="26"/>
        <v>0</v>
      </c>
      <c r="BJ22" s="47">
        <f t="shared" si="1"/>
        <v>19</v>
      </c>
      <c r="BK22" s="117">
        <f t="shared" si="1"/>
        <v>4750000</v>
      </c>
      <c r="BL22" s="341" t="s">
        <v>473</v>
      </c>
      <c r="BN22" s="113">
        <f t="shared" si="33"/>
        <v>4750000</v>
      </c>
      <c r="BO22" s="125"/>
      <c r="BP22" s="125"/>
      <c r="BQ22" s="125"/>
      <c r="BR22" s="113">
        <f t="shared" si="27"/>
        <v>4750000</v>
      </c>
      <c r="BS22" s="113"/>
      <c r="BT22" s="113"/>
      <c r="BU22" s="113"/>
      <c r="BV22" s="181">
        <f t="shared" si="2"/>
        <v>4750000</v>
      </c>
    </row>
    <row r="23" spans="1:74" x14ac:dyDescent="0.25">
      <c r="A23" s="955"/>
      <c r="B23" s="119"/>
      <c r="C23" s="353" t="s">
        <v>646</v>
      </c>
      <c r="D23" s="38" t="s">
        <v>209</v>
      </c>
      <c r="E23" s="456">
        <v>150000</v>
      </c>
      <c r="F23" s="454">
        <f t="shared" si="3"/>
        <v>9</v>
      </c>
      <c r="G23" s="79">
        <f t="shared" si="28"/>
        <v>1350000</v>
      </c>
      <c r="H23" s="79">
        <f t="shared" si="29"/>
        <v>135000</v>
      </c>
      <c r="I23" s="79">
        <f t="shared" si="4"/>
        <v>1080000</v>
      </c>
      <c r="J23" s="120"/>
      <c r="K23" s="120"/>
      <c r="L23" s="120"/>
      <c r="M23" s="120"/>
      <c r="N23" s="120"/>
      <c r="O23" s="121"/>
      <c r="P23" s="80">
        <f t="shared" si="30"/>
        <v>135000</v>
      </c>
      <c r="Q23" s="122"/>
      <c r="R23" s="123"/>
      <c r="S23" s="54">
        <f t="shared" si="5"/>
        <v>3.6</v>
      </c>
      <c r="T23" s="54">
        <f t="shared" si="6"/>
        <v>2.6999999999999997</v>
      </c>
      <c r="U23" s="54">
        <f t="shared" si="7"/>
        <v>2.6999999999999997</v>
      </c>
      <c r="V23" s="53">
        <f t="shared" si="8"/>
        <v>0</v>
      </c>
      <c r="W23" s="53">
        <f t="shared" si="9"/>
        <v>540000</v>
      </c>
      <c r="X23" s="53">
        <f t="shared" si="10"/>
        <v>404999.99999999994</v>
      </c>
      <c r="Y23" s="53">
        <f t="shared" si="11"/>
        <v>404999.99999999994</v>
      </c>
      <c r="Z23" s="124"/>
      <c r="AA23" s="53">
        <f t="shared" si="12"/>
        <v>0</v>
      </c>
      <c r="AB23" s="124"/>
      <c r="AC23" s="53">
        <f t="shared" si="13"/>
        <v>0</v>
      </c>
      <c r="AD23" s="124"/>
      <c r="AE23" s="53">
        <f t="shared" si="14"/>
        <v>0</v>
      </c>
      <c r="AF23" s="124"/>
      <c r="AG23" s="53">
        <f t="shared" si="15"/>
        <v>0</v>
      </c>
      <c r="AH23" s="124"/>
      <c r="AI23" s="53">
        <f t="shared" si="16"/>
        <v>0</v>
      </c>
      <c r="AJ23" s="124">
        <v>1</v>
      </c>
      <c r="AK23" s="53">
        <f t="shared" si="17"/>
        <v>150000</v>
      </c>
      <c r="AL23" s="124">
        <v>0</v>
      </c>
      <c r="AM23" s="53">
        <f t="shared" si="18"/>
        <v>0</v>
      </c>
      <c r="AN23" s="124">
        <v>0</v>
      </c>
      <c r="AO23" s="53">
        <f t="shared" si="19"/>
        <v>0</v>
      </c>
      <c r="AP23" s="124"/>
      <c r="AQ23" s="53">
        <f t="shared" si="20"/>
        <v>0</v>
      </c>
      <c r="AR23" s="124"/>
      <c r="AS23" s="53">
        <f t="shared" si="21"/>
        <v>0</v>
      </c>
      <c r="AT23" s="124">
        <v>0</v>
      </c>
      <c r="AU23" s="53">
        <f t="shared" si="31"/>
        <v>0</v>
      </c>
      <c r="AV23" s="124">
        <v>0</v>
      </c>
      <c r="AW23" s="53">
        <f t="shared" si="32"/>
        <v>0</v>
      </c>
      <c r="AX23" s="124">
        <v>1</v>
      </c>
      <c r="AY23" s="53">
        <f t="shared" si="34"/>
        <v>150000</v>
      </c>
      <c r="AZ23" s="124">
        <v>3</v>
      </c>
      <c r="BA23" s="53">
        <f t="shared" si="22"/>
        <v>450000</v>
      </c>
      <c r="BB23" s="124"/>
      <c r="BC23" s="53">
        <f t="shared" si="23"/>
        <v>0</v>
      </c>
      <c r="BD23" s="124">
        <v>2</v>
      </c>
      <c r="BE23" s="53">
        <f t="shared" si="24"/>
        <v>300000</v>
      </c>
      <c r="BF23" s="124">
        <v>2</v>
      </c>
      <c r="BG23" s="53">
        <f t="shared" si="25"/>
        <v>300000</v>
      </c>
      <c r="BH23" s="124"/>
      <c r="BI23" s="53">
        <f t="shared" si="26"/>
        <v>0</v>
      </c>
      <c r="BJ23" s="47">
        <f t="shared" si="1"/>
        <v>9</v>
      </c>
      <c r="BK23" s="117">
        <f t="shared" si="1"/>
        <v>1350000</v>
      </c>
      <c r="BL23" s="341" t="s">
        <v>473</v>
      </c>
      <c r="BN23" s="113">
        <f t="shared" si="33"/>
        <v>1350000</v>
      </c>
      <c r="BO23" s="125"/>
      <c r="BP23" s="125"/>
      <c r="BQ23" s="125"/>
      <c r="BR23" s="113">
        <f t="shared" si="27"/>
        <v>1350000</v>
      </c>
      <c r="BS23" s="113"/>
      <c r="BT23" s="113"/>
      <c r="BU23" s="113"/>
      <c r="BV23" s="181">
        <f t="shared" si="2"/>
        <v>1350000</v>
      </c>
    </row>
    <row r="24" spans="1:74" x14ac:dyDescent="0.25">
      <c r="A24" s="955"/>
      <c r="B24" s="119"/>
      <c r="C24" s="353" t="s">
        <v>648</v>
      </c>
      <c r="D24" s="38" t="s">
        <v>209</v>
      </c>
      <c r="E24" s="456">
        <v>600000</v>
      </c>
      <c r="F24" s="454">
        <f t="shared" si="3"/>
        <v>162</v>
      </c>
      <c r="G24" s="79">
        <f t="shared" si="28"/>
        <v>97200000</v>
      </c>
      <c r="H24" s="79">
        <f t="shared" si="29"/>
        <v>9720000</v>
      </c>
      <c r="I24" s="79">
        <f t="shared" si="4"/>
        <v>77760000</v>
      </c>
      <c r="J24" s="120"/>
      <c r="K24" s="120"/>
      <c r="L24" s="120"/>
      <c r="M24" s="120"/>
      <c r="N24" s="120"/>
      <c r="O24" s="121"/>
      <c r="P24" s="80">
        <f t="shared" si="30"/>
        <v>9720000</v>
      </c>
      <c r="Q24" s="122"/>
      <c r="R24" s="123">
        <v>40</v>
      </c>
      <c r="S24" s="54">
        <v>0</v>
      </c>
      <c r="T24" s="54">
        <v>68</v>
      </c>
      <c r="U24" s="54">
        <v>20</v>
      </c>
      <c r="V24" s="53">
        <f t="shared" si="8"/>
        <v>24000000</v>
      </c>
      <c r="W24" s="53">
        <f t="shared" si="9"/>
        <v>0</v>
      </c>
      <c r="X24" s="53">
        <f t="shared" si="10"/>
        <v>40800000</v>
      </c>
      <c r="Y24" s="53">
        <f t="shared" si="11"/>
        <v>12000000</v>
      </c>
      <c r="Z24" s="124">
        <v>10</v>
      </c>
      <c r="AA24" s="53">
        <f t="shared" si="12"/>
        <v>6000000</v>
      </c>
      <c r="AB24" s="124">
        <v>8</v>
      </c>
      <c r="AC24" s="53">
        <f t="shared" si="13"/>
        <v>4800000</v>
      </c>
      <c r="AD24" s="124">
        <v>6</v>
      </c>
      <c r="AE24" s="53">
        <f t="shared" si="14"/>
        <v>3600000</v>
      </c>
      <c r="AF24" s="124">
        <v>10</v>
      </c>
      <c r="AG24" s="53">
        <f t="shared" si="15"/>
        <v>6000000</v>
      </c>
      <c r="AH24" s="124">
        <v>10</v>
      </c>
      <c r="AI24" s="53">
        <f t="shared" si="16"/>
        <v>6000000</v>
      </c>
      <c r="AJ24" s="124">
        <v>10</v>
      </c>
      <c r="AK24" s="53">
        <f t="shared" si="17"/>
        <v>6000000</v>
      </c>
      <c r="AL24" s="124">
        <v>4</v>
      </c>
      <c r="AM24" s="53">
        <f t="shared" si="18"/>
        <v>2400000</v>
      </c>
      <c r="AN24" s="642">
        <v>15</v>
      </c>
      <c r="AO24" s="53">
        <f t="shared" si="19"/>
        <v>9000000</v>
      </c>
      <c r="AP24" s="124">
        <v>5</v>
      </c>
      <c r="AQ24" s="53">
        <f t="shared" si="20"/>
        <v>3000000</v>
      </c>
      <c r="AR24" s="124">
        <v>10</v>
      </c>
      <c r="AS24" s="53">
        <f t="shared" si="21"/>
        <v>6000000</v>
      </c>
      <c r="AT24" s="124">
        <v>5</v>
      </c>
      <c r="AU24" s="53">
        <f t="shared" si="31"/>
        <v>3000000</v>
      </c>
      <c r="AV24" s="124">
        <v>10</v>
      </c>
      <c r="AW24" s="53">
        <f t="shared" si="32"/>
        <v>6000000</v>
      </c>
      <c r="AX24" s="124">
        <v>5</v>
      </c>
      <c r="AY24" s="53">
        <f t="shared" si="34"/>
        <v>3000000</v>
      </c>
      <c r="AZ24" s="124">
        <v>20</v>
      </c>
      <c r="BA24" s="53">
        <f t="shared" si="22"/>
        <v>12000000</v>
      </c>
      <c r="BB24" s="124">
        <v>10</v>
      </c>
      <c r="BC24" s="53">
        <f t="shared" si="23"/>
        <v>6000000</v>
      </c>
      <c r="BD24" s="124">
        <v>16</v>
      </c>
      <c r="BE24" s="53">
        <f t="shared" si="24"/>
        <v>9600000</v>
      </c>
      <c r="BF24" s="124">
        <v>8</v>
      </c>
      <c r="BG24" s="53">
        <f t="shared" si="25"/>
        <v>4800000</v>
      </c>
      <c r="BH24" s="124"/>
      <c r="BI24" s="53">
        <f t="shared" si="26"/>
        <v>0</v>
      </c>
      <c r="BJ24" s="47">
        <f t="shared" si="1"/>
        <v>162</v>
      </c>
      <c r="BK24" s="117">
        <f t="shared" si="1"/>
        <v>97200000</v>
      </c>
      <c r="BL24" s="341" t="s">
        <v>473</v>
      </c>
      <c r="BN24" s="113">
        <f t="shared" si="33"/>
        <v>97200000</v>
      </c>
      <c r="BO24" s="125"/>
      <c r="BP24" s="125"/>
      <c r="BQ24" s="125"/>
      <c r="BR24" s="113">
        <f t="shared" si="27"/>
        <v>97200000</v>
      </c>
      <c r="BS24" s="113"/>
      <c r="BT24" s="113"/>
      <c r="BU24" s="113"/>
      <c r="BV24" s="181">
        <f t="shared" si="2"/>
        <v>97200000</v>
      </c>
    </row>
    <row r="25" spans="1:74" ht="35.25" customHeight="1" x14ac:dyDescent="0.25">
      <c r="A25" s="955"/>
      <c r="B25" s="119"/>
      <c r="C25" s="353" t="s">
        <v>724</v>
      </c>
      <c r="D25" s="38" t="s">
        <v>209</v>
      </c>
      <c r="E25" s="456">
        <v>250000</v>
      </c>
      <c r="F25" s="454">
        <f t="shared" si="3"/>
        <v>20</v>
      </c>
      <c r="G25" s="79">
        <f t="shared" si="28"/>
        <v>5000000</v>
      </c>
      <c r="H25" s="79">
        <f t="shared" si="29"/>
        <v>500000</v>
      </c>
      <c r="I25" s="79">
        <f t="shared" si="4"/>
        <v>4000000</v>
      </c>
      <c r="J25" s="120"/>
      <c r="K25" s="120"/>
      <c r="L25" s="120"/>
      <c r="M25" s="120"/>
      <c r="N25" s="120"/>
      <c r="O25" s="121"/>
      <c r="P25" s="80">
        <f t="shared" si="30"/>
        <v>500000</v>
      </c>
      <c r="Q25" s="122"/>
      <c r="R25" s="123"/>
      <c r="S25" s="54">
        <f t="shared" si="5"/>
        <v>8</v>
      </c>
      <c r="T25" s="54">
        <f t="shared" si="6"/>
        <v>6</v>
      </c>
      <c r="U25" s="54">
        <f t="shared" si="7"/>
        <v>6</v>
      </c>
      <c r="V25" s="53">
        <f t="shared" si="8"/>
        <v>0</v>
      </c>
      <c r="W25" s="53">
        <f t="shared" si="9"/>
        <v>2000000</v>
      </c>
      <c r="X25" s="53">
        <f t="shared" si="10"/>
        <v>1500000</v>
      </c>
      <c r="Y25" s="53">
        <f t="shared" si="11"/>
        <v>1500000</v>
      </c>
      <c r="Z25" s="124">
        <v>4</v>
      </c>
      <c r="AA25" s="53">
        <f t="shared" si="12"/>
        <v>1000000</v>
      </c>
      <c r="AB25" s="124">
        <v>1</v>
      </c>
      <c r="AC25" s="53">
        <f t="shared" si="13"/>
        <v>250000</v>
      </c>
      <c r="AD25" s="124">
        <v>0</v>
      </c>
      <c r="AE25" s="53">
        <f t="shared" si="14"/>
        <v>0</v>
      </c>
      <c r="AF25" s="124">
        <v>0</v>
      </c>
      <c r="AG25" s="53">
        <f t="shared" si="15"/>
        <v>0</v>
      </c>
      <c r="AH25" s="124">
        <v>0</v>
      </c>
      <c r="AI25" s="53">
        <f t="shared" si="16"/>
        <v>0</v>
      </c>
      <c r="AJ25" s="124">
        <v>1</v>
      </c>
      <c r="AK25" s="53">
        <f t="shared" si="17"/>
        <v>250000</v>
      </c>
      <c r="AL25" s="124">
        <v>0</v>
      </c>
      <c r="AM25" s="53">
        <f t="shared" si="18"/>
        <v>0</v>
      </c>
      <c r="AN25" s="124">
        <v>4</v>
      </c>
      <c r="AO25" s="53">
        <f t="shared" si="19"/>
        <v>1000000</v>
      </c>
      <c r="AP25" s="124"/>
      <c r="AQ25" s="53">
        <f t="shared" si="20"/>
        <v>0</v>
      </c>
      <c r="AR25" s="124">
        <v>1</v>
      </c>
      <c r="AS25" s="53">
        <f t="shared" si="21"/>
        <v>250000</v>
      </c>
      <c r="AT25" s="124">
        <v>2</v>
      </c>
      <c r="AU25" s="53">
        <f t="shared" si="31"/>
        <v>500000</v>
      </c>
      <c r="AV25" s="124">
        <v>1</v>
      </c>
      <c r="AW25" s="53">
        <f t="shared" si="32"/>
        <v>250000</v>
      </c>
      <c r="AX25" s="124">
        <v>0</v>
      </c>
      <c r="AY25" s="53">
        <f t="shared" si="34"/>
        <v>0</v>
      </c>
      <c r="AZ25" s="124">
        <v>1</v>
      </c>
      <c r="BA25" s="53">
        <f t="shared" si="22"/>
        <v>250000</v>
      </c>
      <c r="BB25" s="124">
        <v>2</v>
      </c>
      <c r="BC25" s="53">
        <f t="shared" si="23"/>
        <v>500000</v>
      </c>
      <c r="BD25" s="124">
        <v>2</v>
      </c>
      <c r="BE25" s="53">
        <f t="shared" si="24"/>
        <v>500000</v>
      </c>
      <c r="BF25" s="124">
        <v>1</v>
      </c>
      <c r="BG25" s="53">
        <f t="shared" si="25"/>
        <v>250000</v>
      </c>
      <c r="BH25" s="124"/>
      <c r="BI25" s="53">
        <f t="shared" si="26"/>
        <v>0</v>
      </c>
      <c r="BJ25" s="47">
        <f t="shared" si="1"/>
        <v>20</v>
      </c>
      <c r="BK25" s="117">
        <f t="shared" si="1"/>
        <v>5000000</v>
      </c>
      <c r="BL25" s="341" t="s">
        <v>473</v>
      </c>
      <c r="BN25" s="113">
        <f t="shared" si="33"/>
        <v>5000000</v>
      </c>
      <c r="BO25" s="125"/>
      <c r="BP25" s="125"/>
      <c r="BQ25" s="125"/>
      <c r="BR25" s="113">
        <f t="shared" si="27"/>
        <v>5000000</v>
      </c>
      <c r="BS25" s="113"/>
      <c r="BT25" s="113"/>
      <c r="BU25" s="113"/>
      <c r="BV25" s="181">
        <f t="shared" si="2"/>
        <v>5000000</v>
      </c>
    </row>
    <row r="26" spans="1:74" x14ac:dyDescent="0.25">
      <c r="A26" s="955"/>
      <c r="B26" s="119"/>
      <c r="C26" s="353" t="s">
        <v>649</v>
      </c>
      <c r="D26" s="38" t="s">
        <v>209</v>
      </c>
      <c r="E26" s="456">
        <v>100000</v>
      </c>
      <c r="F26" s="454">
        <f t="shared" si="3"/>
        <v>9</v>
      </c>
      <c r="G26" s="79">
        <f t="shared" si="28"/>
        <v>900000</v>
      </c>
      <c r="H26" s="79">
        <f t="shared" si="29"/>
        <v>90000</v>
      </c>
      <c r="I26" s="79">
        <f t="shared" si="4"/>
        <v>720000</v>
      </c>
      <c r="J26" s="120"/>
      <c r="K26" s="120"/>
      <c r="L26" s="120"/>
      <c r="M26" s="120"/>
      <c r="N26" s="120"/>
      <c r="O26" s="121"/>
      <c r="P26" s="80">
        <f t="shared" si="30"/>
        <v>90000</v>
      </c>
      <c r="Q26" s="122"/>
      <c r="R26" s="123"/>
      <c r="S26" s="54">
        <v>0</v>
      </c>
      <c r="T26" s="54">
        <v>3</v>
      </c>
      <c r="U26" s="54">
        <v>6</v>
      </c>
      <c r="V26" s="53">
        <f t="shared" si="8"/>
        <v>0</v>
      </c>
      <c r="W26" s="53">
        <f t="shared" si="9"/>
        <v>0</v>
      </c>
      <c r="X26" s="53">
        <f t="shared" si="10"/>
        <v>300000</v>
      </c>
      <c r="Y26" s="53">
        <f t="shared" si="11"/>
        <v>600000</v>
      </c>
      <c r="Z26" s="124">
        <v>2</v>
      </c>
      <c r="AA26" s="53">
        <f t="shared" si="12"/>
        <v>200000</v>
      </c>
      <c r="AB26" s="124">
        <v>0</v>
      </c>
      <c r="AC26" s="53">
        <f t="shared" si="13"/>
        <v>0</v>
      </c>
      <c r="AD26" s="124">
        <v>0</v>
      </c>
      <c r="AE26" s="53">
        <f t="shared" si="14"/>
        <v>0</v>
      </c>
      <c r="AF26" s="124">
        <v>0</v>
      </c>
      <c r="AG26" s="53">
        <f t="shared" si="15"/>
        <v>0</v>
      </c>
      <c r="AH26" s="124">
        <v>1</v>
      </c>
      <c r="AI26" s="53">
        <f t="shared" si="16"/>
        <v>100000</v>
      </c>
      <c r="AJ26" s="124">
        <v>1</v>
      </c>
      <c r="AK26" s="53">
        <f t="shared" si="17"/>
        <v>100000</v>
      </c>
      <c r="AL26" s="124"/>
      <c r="AM26" s="53">
        <f t="shared" si="18"/>
        <v>0</v>
      </c>
      <c r="AN26" s="124"/>
      <c r="AO26" s="53">
        <f t="shared" si="19"/>
        <v>0</v>
      </c>
      <c r="AP26" s="124">
        <v>0</v>
      </c>
      <c r="AQ26" s="53">
        <f t="shared" si="20"/>
        <v>0</v>
      </c>
      <c r="AR26" s="124">
        <v>2</v>
      </c>
      <c r="AS26" s="53">
        <f t="shared" si="21"/>
        <v>200000</v>
      </c>
      <c r="AT26" s="124">
        <v>0</v>
      </c>
      <c r="AU26" s="53">
        <f t="shared" si="31"/>
        <v>0</v>
      </c>
      <c r="AV26" s="124">
        <v>0</v>
      </c>
      <c r="AW26" s="53">
        <f t="shared" si="32"/>
        <v>0</v>
      </c>
      <c r="AX26" s="124">
        <v>0</v>
      </c>
      <c r="AY26" s="53">
        <f t="shared" si="34"/>
        <v>0</v>
      </c>
      <c r="AZ26" s="124">
        <v>1</v>
      </c>
      <c r="BA26" s="53">
        <f t="shared" si="22"/>
        <v>100000</v>
      </c>
      <c r="BB26" s="124">
        <v>2</v>
      </c>
      <c r="BC26" s="53">
        <f t="shared" si="23"/>
        <v>200000</v>
      </c>
      <c r="BD26" s="124"/>
      <c r="BE26" s="53">
        <f t="shared" si="24"/>
        <v>0</v>
      </c>
      <c r="BF26" s="124"/>
      <c r="BG26" s="53">
        <f t="shared" si="25"/>
        <v>0</v>
      </c>
      <c r="BH26" s="124"/>
      <c r="BI26" s="53">
        <f t="shared" si="26"/>
        <v>0</v>
      </c>
      <c r="BJ26" s="47">
        <f t="shared" si="1"/>
        <v>9</v>
      </c>
      <c r="BK26" s="117">
        <f t="shared" si="1"/>
        <v>900000</v>
      </c>
      <c r="BL26" s="341" t="s">
        <v>473</v>
      </c>
      <c r="BN26" s="113">
        <f t="shared" si="33"/>
        <v>900000</v>
      </c>
      <c r="BO26" s="125"/>
      <c r="BP26" s="125"/>
      <c r="BQ26" s="125"/>
      <c r="BR26" s="113">
        <f t="shared" si="27"/>
        <v>900000</v>
      </c>
      <c r="BS26" s="113"/>
      <c r="BT26" s="113"/>
      <c r="BU26" s="113"/>
      <c r="BV26" s="181">
        <f t="shared" si="2"/>
        <v>900000</v>
      </c>
    </row>
    <row r="27" spans="1:74" x14ac:dyDescent="0.25">
      <c r="A27" s="955"/>
      <c r="B27" s="119"/>
      <c r="C27" s="353" t="s">
        <v>650</v>
      </c>
      <c r="D27" s="38" t="s">
        <v>209</v>
      </c>
      <c r="E27" s="456">
        <v>5000000</v>
      </c>
      <c r="F27" s="454">
        <f t="shared" si="3"/>
        <v>1</v>
      </c>
      <c r="G27" s="79">
        <f t="shared" si="28"/>
        <v>5000000</v>
      </c>
      <c r="H27" s="79">
        <f t="shared" si="29"/>
        <v>500000</v>
      </c>
      <c r="I27" s="79">
        <f t="shared" si="4"/>
        <v>4000000</v>
      </c>
      <c r="J27" s="120"/>
      <c r="K27" s="120"/>
      <c r="L27" s="120"/>
      <c r="M27" s="120"/>
      <c r="N27" s="120"/>
      <c r="O27" s="121"/>
      <c r="P27" s="80">
        <f t="shared" si="30"/>
        <v>500000</v>
      </c>
      <c r="Q27" s="122"/>
      <c r="R27" s="123"/>
      <c r="S27" s="54">
        <f t="shared" si="5"/>
        <v>0.4</v>
      </c>
      <c r="T27" s="54">
        <v>1</v>
      </c>
      <c r="U27" s="54">
        <f t="shared" si="7"/>
        <v>0.3</v>
      </c>
      <c r="V27" s="53">
        <f t="shared" si="8"/>
        <v>0</v>
      </c>
      <c r="W27" s="53">
        <f t="shared" si="9"/>
        <v>2000000</v>
      </c>
      <c r="X27" s="53">
        <f t="shared" si="10"/>
        <v>5000000</v>
      </c>
      <c r="Y27" s="53">
        <f t="shared" si="11"/>
        <v>1500000</v>
      </c>
      <c r="Z27" s="124"/>
      <c r="AA27" s="53">
        <f t="shared" si="12"/>
        <v>0</v>
      </c>
      <c r="AB27" s="124"/>
      <c r="AC27" s="53">
        <f t="shared" si="13"/>
        <v>0</v>
      </c>
      <c r="AD27" s="124"/>
      <c r="AE27" s="53">
        <f t="shared" si="14"/>
        <v>0</v>
      </c>
      <c r="AF27" s="124">
        <v>0</v>
      </c>
      <c r="AG27" s="53">
        <f t="shared" si="15"/>
        <v>0</v>
      </c>
      <c r="AH27" s="124"/>
      <c r="AI27" s="53">
        <f t="shared" si="16"/>
        <v>0</v>
      </c>
      <c r="AJ27" s="124"/>
      <c r="AK27" s="53">
        <f t="shared" si="17"/>
        <v>0</v>
      </c>
      <c r="AL27" s="124"/>
      <c r="AM27" s="53">
        <f t="shared" si="18"/>
        <v>0</v>
      </c>
      <c r="AN27" s="124"/>
      <c r="AO27" s="53">
        <f t="shared" si="19"/>
        <v>0</v>
      </c>
      <c r="AP27" s="124">
        <v>0</v>
      </c>
      <c r="AQ27" s="53">
        <f t="shared" si="20"/>
        <v>0</v>
      </c>
      <c r="AR27" s="124">
        <v>1</v>
      </c>
      <c r="AS27" s="53">
        <f t="shared" si="21"/>
        <v>5000000</v>
      </c>
      <c r="AT27" s="124">
        <v>0</v>
      </c>
      <c r="AU27" s="53">
        <f t="shared" si="31"/>
        <v>0</v>
      </c>
      <c r="AV27" s="124">
        <v>0</v>
      </c>
      <c r="AW27" s="53">
        <f t="shared" si="32"/>
        <v>0</v>
      </c>
      <c r="AX27" s="124">
        <v>0</v>
      </c>
      <c r="AY27" s="53">
        <f t="shared" si="34"/>
        <v>0</v>
      </c>
      <c r="AZ27" s="124"/>
      <c r="BA27" s="53">
        <f t="shared" si="22"/>
        <v>0</v>
      </c>
      <c r="BB27" s="124"/>
      <c r="BC27" s="53">
        <f t="shared" si="23"/>
        <v>0</v>
      </c>
      <c r="BD27" s="124"/>
      <c r="BE27" s="53">
        <f t="shared" si="24"/>
        <v>0</v>
      </c>
      <c r="BF27" s="124"/>
      <c r="BG27" s="53">
        <f t="shared" si="25"/>
        <v>0</v>
      </c>
      <c r="BH27" s="124"/>
      <c r="BI27" s="53">
        <f t="shared" si="26"/>
        <v>0</v>
      </c>
      <c r="BJ27" s="47">
        <f t="shared" si="1"/>
        <v>1</v>
      </c>
      <c r="BK27" s="117">
        <f t="shared" si="1"/>
        <v>5000000</v>
      </c>
      <c r="BL27" s="341" t="s">
        <v>473</v>
      </c>
      <c r="BN27" s="113">
        <f t="shared" si="33"/>
        <v>5000000</v>
      </c>
      <c r="BO27" s="125"/>
      <c r="BP27" s="125"/>
      <c r="BQ27" s="125"/>
      <c r="BR27" s="113">
        <f t="shared" si="27"/>
        <v>5000000</v>
      </c>
      <c r="BS27" s="113"/>
      <c r="BT27" s="113"/>
      <c r="BU27" s="113"/>
      <c r="BV27" s="181">
        <f t="shared" si="2"/>
        <v>5000000</v>
      </c>
    </row>
    <row r="28" spans="1:74" x14ac:dyDescent="0.25">
      <c r="A28" s="955"/>
      <c r="B28" s="119"/>
      <c r="C28" s="353" t="s">
        <v>651</v>
      </c>
      <c r="D28" s="38" t="s">
        <v>209</v>
      </c>
      <c r="E28" s="457">
        <v>30000</v>
      </c>
      <c r="F28" s="454">
        <f t="shared" si="3"/>
        <v>0</v>
      </c>
      <c r="G28" s="79">
        <f t="shared" si="28"/>
        <v>0</v>
      </c>
      <c r="H28" s="79">
        <f t="shared" si="29"/>
        <v>0</v>
      </c>
      <c r="I28" s="79">
        <f t="shared" si="4"/>
        <v>0</v>
      </c>
      <c r="J28" s="120"/>
      <c r="K28" s="120"/>
      <c r="L28" s="120"/>
      <c r="M28" s="120"/>
      <c r="N28" s="120"/>
      <c r="O28" s="121"/>
      <c r="P28" s="80">
        <f t="shared" si="30"/>
        <v>0</v>
      </c>
      <c r="Q28" s="122"/>
      <c r="R28" s="123"/>
      <c r="S28" s="54">
        <f t="shared" si="5"/>
        <v>0</v>
      </c>
      <c r="T28" s="54">
        <f t="shared" si="6"/>
        <v>0</v>
      </c>
      <c r="U28" s="54">
        <f t="shared" si="7"/>
        <v>0</v>
      </c>
      <c r="V28" s="53">
        <f t="shared" si="8"/>
        <v>0</v>
      </c>
      <c r="W28" s="53">
        <f t="shared" si="9"/>
        <v>0</v>
      </c>
      <c r="X28" s="53">
        <f t="shared" si="10"/>
        <v>0</v>
      </c>
      <c r="Y28" s="53">
        <f t="shared" si="11"/>
        <v>0</v>
      </c>
      <c r="Z28" s="124"/>
      <c r="AA28" s="53">
        <f t="shared" si="12"/>
        <v>0</v>
      </c>
      <c r="AB28" s="124"/>
      <c r="AC28" s="53">
        <f t="shared" si="13"/>
        <v>0</v>
      </c>
      <c r="AD28" s="124"/>
      <c r="AE28" s="53">
        <f t="shared" si="14"/>
        <v>0</v>
      </c>
      <c r="AF28" s="124">
        <v>0</v>
      </c>
      <c r="AG28" s="53">
        <f t="shared" si="15"/>
        <v>0</v>
      </c>
      <c r="AH28" s="124"/>
      <c r="AI28" s="53">
        <f t="shared" si="16"/>
        <v>0</v>
      </c>
      <c r="AJ28" s="124"/>
      <c r="AK28" s="53">
        <f t="shared" si="17"/>
        <v>0</v>
      </c>
      <c r="AL28" s="124">
        <v>0</v>
      </c>
      <c r="AM28" s="53">
        <f t="shared" si="18"/>
        <v>0</v>
      </c>
      <c r="AN28" s="124"/>
      <c r="AO28" s="53">
        <f t="shared" si="19"/>
        <v>0</v>
      </c>
      <c r="AP28" s="124"/>
      <c r="AQ28" s="53">
        <f t="shared" si="20"/>
        <v>0</v>
      </c>
      <c r="AR28" s="124"/>
      <c r="AS28" s="53">
        <f t="shared" si="21"/>
        <v>0</v>
      </c>
      <c r="AT28" s="124">
        <v>0</v>
      </c>
      <c r="AU28" s="53">
        <f t="shared" si="31"/>
        <v>0</v>
      </c>
      <c r="AV28" s="124">
        <v>0</v>
      </c>
      <c r="AW28" s="53">
        <f t="shared" si="32"/>
        <v>0</v>
      </c>
      <c r="AX28" s="124">
        <v>0</v>
      </c>
      <c r="AY28" s="53">
        <f t="shared" si="34"/>
        <v>0</v>
      </c>
      <c r="AZ28" s="124"/>
      <c r="BA28" s="53">
        <f t="shared" si="22"/>
        <v>0</v>
      </c>
      <c r="BB28" s="124"/>
      <c r="BC28" s="53">
        <f t="shared" si="23"/>
        <v>0</v>
      </c>
      <c r="BD28" s="124"/>
      <c r="BE28" s="53">
        <f t="shared" si="24"/>
        <v>0</v>
      </c>
      <c r="BF28" s="124"/>
      <c r="BG28" s="53">
        <f t="shared" si="25"/>
        <v>0</v>
      </c>
      <c r="BH28" s="124"/>
      <c r="BI28" s="53">
        <f t="shared" si="26"/>
        <v>0</v>
      </c>
      <c r="BJ28" s="47">
        <f t="shared" ref="BJ28:BJ36" si="35">Z28+AB28+AD28+AF28+AH28+AJ28+AL28+AN28+AP28+AR28+AT28+AV28+AX28+AZ28+BB28+BD28+BF28+BH28</f>
        <v>0</v>
      </c>
      <c r="BK28" s="117">
        <f t="shared" ref="BK28:BK50" si="36">AA28+AC28+AE28+AG28+AI28+AK28+AM28+AO28+AQ28+AS28+AU28+AW28+AY28+BA28+BC28+BE28+BG28+BI28</f>
        <v>0</v>
      </c>
      <c r="BL28" s="341" t="s">
        <v>473</v>
      </c>
      <c r="BN28" s="113">
        <f t="shared" si="33"/>
        <v>0</v>
      </c>
      <c r="BO28" s="125"/>
      <c r="BP28" s="125"/>
      <c r="BQ28" s="125"/>
      <c r="BR28" s="113">
        <f t="shared" si="27"/>
        <v>0</v>
      </c>
      <c r="BS28" s="113"/>
      <c r="BT28" s="113"/>
      <c r="BU28" s="113"/>
      <c r="BV28" s="181">
        <f t="shared" si="2"/>
        <v>0</v>
      </c>
    </row>
    <row r="29" spans="1:74" ht="31.5" x14ac:dyDescent="0.25">
      <c r="A29" s="955"/>
      <c r="B29" s="119"/>
      <c r="C29" s="353" t="s">
        <v>652</v>
      </c>
      <c r="D29" s="38" t="s">
        <v>209</v>
      </c>
      <c r="E29" s="456">
        <v>10000</v>
      </c>
      <c r="F29" s="454">
        <f t="shared" si="3"/>
        <v>76</v>
      </c>
      <c r="G29" s="79">
        <f t="shared" si="28"/>
        <v>760000</v>
      </c>
      <c r="H29" s="79">
        <f t="shared" si="29"/>
        <v>76000</v>
      </c>
      <c r="I29" s="79">
        <f t="shared" si="4"/>
        <v>608000</v>
      </c>
      <c r="J29" s="120"/>
      <c r="K29" s="120"/>
      <c r="L29" s="120"/>
      <c r="M29" s="120"/>
      <c r="N29" s="120"/>
      <c r="O29" s="121"/>
      <c r="P29" s="80">
        <f t="shared" si="30"/>
        <v>76000</v>
      </c>
      <c r="Q29" s="122"/>
      <c r="R29" s="123"/>
      <c r="S29" s="54">
        <v>0</v>
      </c>
      <c r="T29" s="54">
        <v>40</v>
      </c>
      <c r="U29" s="54">
        <v>18</v>
      </c>
      <c r="V29" s="53">
        <f t="shared" si="8"/>
        <v>0</v>
      </c>
      <c r="W29" s="53">
        <f t="shared" si="9"/>
        <v>0</v>
      </c>
      <c r="X29" s="53">
        <f t="shared" si="10"/>
        <v>400000</v>
      </c>
      <c r="Y29" s="53">
        <f t="shared" si="11"/>
        <v>180000</v>
      </c>
      <c r="Z29" s="124"/>
      <c r="AA29" s="53">
        <f t="shared" si="12"/>
        <v>0</v>
      </c>
      <c r="AB29" s="124">
        <v>6</v>
      </c>
      <c r="AC29" s="53">
        <f t="shared" si="13"/>
        <v>60000</v>
      </c>
      <c r="AD29" s="124"/>
      <c r="AE29" s="53">
        <f t="shared" si="14"/>
        <v>0</v>
      </c>
      <c r="AF29" s="124"/>
      <c r="AG29" s="53">
        <f t="shared" si="15"/>
        <v>0</v>
      </c>
      <c r="AH29" s="124">
        <v>0</v>
      </c>
      <c r="AI29" s="53">
        <f t="shared" si="16"/>
        <v>0</v>
      </c>
      <c r="AJ29" s="124">
        <v>0</v>
      </c>
      <c r="AK29" s="53">
        <f t="shared" si="17"/>
        <v>0</v>
      </c>
      <c r="AL29" s="124">
        <v>0</v>
      </c>
      <c r="AM29" s="53">
        <f t="shared" si="18"/>
        <v>0</v>
      </c>
      <c r="AN29" s="124"/>
      <c r="AO29" s="53">
        <f t="shared" si="19"/>
        <v>0</v>
      </c>
      <c r="AP29" s="124"/>
      <c r="AQ29" s="53">
        <f t="shared" si="20"/>
        <v>0</v>
      </c>
      <c r="AR29" s="124">
        <v>10</v>
      </c>
      <c r="AS29" s="53">
        <f t="shared" si="21"/>
        <v>100000</v>
      </c>
      <c r="AT29" s="124">
        <v>0</v>
      </c>
      <c r="AU29" s="53">
        <f t="shared" si="31"/>
        <v>0</v>
      </c>
      <c r="AV29" s="124">
        <v>0</v>
      </c>
      <c r="AW29" s="53">
        <f t="shared" si="32"/>
        <v>0</v>
      </c>
      <c r="AX29" s="124">
        <v>0</v>
      </c>
      <c r="AY29" s="53">
        <f t="shared" si="34"/>
        <v>0</v>
      </c>
      <c r="AZ29" s="124"/>
      <c r="BA29" s="53">
        <f t="shared" si="22"/>
        <v>0</v>
      </c>
      <c r="BB29" s="124">
        <v>10</v>
      </c>
      <c r="BC29" s="53">
        <f t="shared" si="23"/>
        <v>100000</v>
      </c>
      <c r="BD29" s="124">
        <v>50</v>
      </c>
      <c r="BE29" s="53">
        <f t="shared" si="24"/>
        <v>500000</v>
      </c>
      <c r="BF29" s="124"/>
      <c r="BG29" s="53">
        <f t="shared" si="25"/>
        <v>0</v>
      </c>
      <c r="BH29" s="124"/>
      <c r="BI29" s="53">
        <f t="shared" si="26"/>
        <v>0</v>
      </c>
      <c r="BJ29" s="47">
        <f t="shared" si="35"/>
        <v>76</v>
      </c>
      <c r="BK29" s="117">
        <f t="shared" si="36"/>
        <v>760000</v>
      </c>
      <c r="BL29" s="341" t="s">
        <v>473</v>
      </c>
      <c r="BN29" s="113">
        <f t="shared" si="33"/>
        <v>760000</v>
      </c>
      <c r="BO29" s="125"/>
      <c r="BP29" s="125"/>
      <c r="BQ29" s="125"/>
      <c r="BR29" s="113">
        <f t="shared" si="27"/>
        <v>760000</v>
      </c>
      <c r="BS29" s="113"/>
      <c r="BT29" s="113"/>
      <c r="BU29" s="113"/>
      <c r="BV29" s="181">
        <f t="shared" si="2"/>
        <v>760000</v>
      </c>
    </row>
    <row r="30" spans="1:74" ht="31.5" x14ac:dyDescent="0.25">
      <c r="A30" s="955"/>
      <c r="B30" s="119"/>
      <c r="C30" s="353" t="s">
        <v>654</v>
      </c>
      <c r="D30" s="38" t="s">
        <v>209</v>
      </c>
      <c r="E30" s="456">
        <v>200000</v>
      </c>
      <c r="F30" s="454">
        <f t="shared" si="3"/>
        <v>0</v>
      </c>
      <c r="G30" s="79">
        <f t="shared" si="28"/>
        <v>0</v>
      </c>
      <c r="H30" s="79">
        <f t="shared" si="29"/>
        <v>0</v>
      </c>
      <c r="I30" s="79">
        <f t="shared" si="4"/>
        <v>0</v>
      </c>
      <c r="J30" s="120"/>
      <c r="K30" s="120"/>
      <c r="L30" s="120"/>
      <c r="M30" s="120"/>
      <c r="N30" s="120"/>
      <c r="O30" s="121"/>
      <c r="P30" s="80">
        <f t="shared" si="30"/>
        <v>0</v>
      </c>
      <c r="Q30" s="122"/>
      <c r="R30" s="123"/>
      <c r="S30" s="54">
        <f t="shared" si="5"/>
        <v>0</v>
      </c>
      <c r="T30" s="54">
        <f t="shared" si="6"/>
        <v>0</v>
      </c>
      <c r="U30" s="54">
        <f t="shared" si="7"/>
        <v>0</v>
      </c>
      <c r="V30" s="53">
        <f t="shared" si="8"/>
        <v>0</v>
      </c>
      <c r="W30" s="53">
        <f t="shared" si="9"/>
        <v>0</v>
      </c>
      <c r="X30" s="53">
        <f t="shared" si="10"/>
        <v>0</v>
      </c>
      <c r="Y30" s="53">
        <f t="shared" si="11"/>
        <v>0</v>
      </c>
      <c r="Z30" s="124"/>
      <c r="AA30" s="53">
        <f t="shared" si="12"/>
        <v>0</v>
      </c>
      <c r="AB30" s="124"/>
      <c r="AC30" s="53">
        <f t="shared" si="13"/>
        <v>0</v>
      </c>
      <c r="AD30" s="124"/>
      <c r="AE30" s="53">
        <f t="shared" si="14"/>
        <v>0</v>
      </c>
      <c r="AF30" s="124">
        <v>0</v>
      </c>
      <c r="AG30" s="53">
        <f t="shared" si="15"/>
        <v>0</v>
      </c>
      <c r="AH30" s="124"/>
      <c r="AI30" s="53">
        <f t="shared" si="16"/>
        <v>0</v>
      </c>
      <c r="AJ30" s="124"/>
      <c r="AK30" s="53">
        <f t="shared" si="17"/>
        <v>0</v>
      </c>
      <c r="AL30" s="124"/>
      <c r="AM30" s="53">
        <f t="shared" si="18"/>
        <v>0</v>
      </c>
      <c r="AN30" s="124"/>
      <c r="AO30" s="53">
        <f t="shared" si="19"/>
        <v>0</v>
      </c>
      <c r="AP30" s="124"/>
      <c r="AQ30" s="53">
        <f t="shared" si="20"/>
        <v>0</v>
      </c>
      <c r="AR30" s="124"/>
      <c r="AS30" s="53">
        <f t="shared" si="21"/>
        <v>0</v>
      </c>
      <c r="AT30" s="124">
        <v>0</v>
      </c>
      <c r="AU30" s="53">
        <f t="shared" si="31"/>
        <v>0</v>
      </c>
      <c r="AV30" s="124">
        <v>0</v>
      </c>
      <c r="AW30" s="53">
        <f t="shared" si="32"/>
        <v>0</v>
      </c>
      <c r="AX30" s="124">
        <v>0</v>
      </c>
      <c r="AY30" s="53">
        <f t="shared" si="34"/>
        <v>0</v>
      </c>
      <c r="AZ30" s="124"/>
      <c r="BA30" s="53">
        <f t="shared" si="22"/>
        <v>0</v>
      </c>
      <c r="BB30" s="124"/>
      <c r="BC30" s="53">
        <f t="shared" si="23"/>
        <v>0</v>
      </c>
      <c r="BD30" s="124"/>
      <c r="BE30" s="53">
        <f t="shared" si="24"/>
        <v>0</v>
      </c>
      <c r="BF30" s="124"/>
      <c r="BG30" s="53">
        <f t="shared" si="25"/>
        <v>0</v>
      </c>
      <c r="BH30" s="124"/>
      <c r="BI30" s="53">
        <f t="shared" si="26"/>
        <v>0</v>
      </c>
      <c r="BJ30" s="47">
        <f t="shared" si="35"/>
        <v>0</v>
      </c>
      <c r="BK30" s="117">
        <f t="shared" si="36"/>
        <v>0</v>
      </c>
      <c r="BL30" s="341" t="s">
        <v>473</v>
      </c>
      <c r="BN30" s="113">
        <f t="shared" si="33"/>
        <v>0</v>
      </c>
      <c r="BO30" s="125"/>
      <c r="BP30" s="125"/>
      <c r="BQ30" s="125"/>
      <c r="BR30" s="113">
        <f t="shared" si="27"/>
        <v>0</v>
      </c>
      <c r="BS30" s="113"/>
      <c r="BT30" s="113"/>
      <c r="BU30" s="113"/>
      <c r="BV30" s="181">
        <f t="shared" si="2"/>
        <v>0</v>
      </c>
    </row>
    <row r="31" spans="1:74" x14ac:dyDescent="0.25">
      <c r="A31" s="955"/>
      <c r="B31" s="119"/>
      <c r="C31" s="353" t="s">
        <v>655</v>
      </c>
      <c r="D31" s="38" t="s">
        <v>209</v>
      </c>
      <c r="E31" s="456">
        <v>500000</v>
      </c>
      <c r="F31" s="454">
        <f t="shared" si="3"/>
        <v>1</v>
      </c>
      <c r="G31" s="79">
        <f t="shared" si="28"/>
        <v>500000</v>
      </c>
      <c r="H31" s="79">
        <f t="shared" si="29"/>
        <v>50000</v>
      </c>
      <c r="I31" s="79">
        <f t="shared" si="4"/>
        <v>400000</v>
      </c>
      <c r="J31" s="120"/>
      <c r="K31" s="120"/>
      <c r="L31" s="120"/>
      <c r="M31" s="120"/>
      <c r="N31" s="120"/>
      <c r="O31" s="121"/>
      <c r="P31" s="80">
        <f t="shared" si="30"/>
        <v>50000</v>
      </c>
      <c r="Q31" s="122"/>
      <c r="R31" s="123"/>
      <c r="S31" s="54">
        <f t="shared" si="5"/>
        <v>0.4</v>
      </c>
      <c r="T31" s="54">
        <f t="shared" si="6"/>
        <v>0.3</v>
      </c>
      <c r="U31" s="54">
        <v>1</v>
      </c>
      <c r="V31" s="53">
        <f t="shared" si="8"/>
        <v>0</v>
      </c>
      <c r="W31" s="53">
        <f t="shared" si="9"/>
        <v>200000</v>
      </c>
      <c r="X31" s="53">
        <f t="shared" si="10"/>
        <v>150000</v>
      </c>
      <c r="Y31" s="53">
        <f t="shared" si="11"/>
        <v>500000</v>
      </c>
      <c r="Z31" s="124">
        <v>0</v>
      </c>
      <c r="AA31" s="53">
        <f t="shared" si="12"/>
        <v>0</v>
      </c>
      <c r="AB31" s="124"/>
      <c r="AC31" s="53">
        <f t="shared" si="13"/>
        <v>0</v>
      </c>
      <c r="AD31" s="124"/>
      <c r="AE31" s="53">
        <f t="shared" si="14"/>
        <v>0</v>
      </c>
      <c r="AF31" s="124">
        <v>0</v>
      </c>
      <c r="AG31" s="53">
        <f t="shared" si="15"/>
        <v>0</v>
      </c>
      <c r="AH31" s="124"/>
      <c r="AI31" s="53">
        <f t="shared" si="16"/>
        <v>0</v>
      </c>
      <c r="AJ31" s="124"/>
      <c r="AK31" s="53">
        <f t="shared" si="17"/>
        <v>0</v>
      </c>
      <c r="AL31" s="124"/>
      <c r="AM31" s="53">
        <f t="shared" si="18"/>
        <v>0</v>
      </c>
      <c r="AN31" s="124"/>
      <c r="AO31" s="53">
        <f t="shared" si="19"/>
        <v>0</v>
      </c>
      <c r="AP31" s="124"/>
      <c r="AQ31" s="53">
        <f t="shared" si="20"/>
        <v>0</v>
      </c>
      <c r="AR31" s="124">
        <v>0</v>
      </c>
      <c r="AS31" s="53">
        <f t="shared" si="21"/>
        <v>0</v>
      </c>
      <c r="AT31" s="124">
        <v>0</v>
      </c>
      <c r="AU31" s="53">
        <f t="shared" si="31"/>
        <v>0</v>
      </c>
      <c r="AV31" s="124">
        <v>1</v>
      </c>
      <c r="AW31" s="53">
        <f t="shared" si="32"/>
        <v>500000</v>
      </c>
      <c r="AX31" s="124">
        <v>0</v>
      </c>
      <c r="AY31" s="53">
        <f t="shared" si="34"/>
        <v>0</v>
      </c>
      <c r="AZ31" s="124"/>
      <c r="BA31" s="53">
        <f t="shared" si="22"/>
        <v>0</v>
      </c>
      <c r="BB31" s="124"/>
      <c r="BC31" s="53">
        <f t="shared" si="23"/>
        <v>0</v>
      </c>
      <c r="BD31" s="124"/>
      <c r="BE31" s="53">
        <f t="shared" si="24"/>
        <v>0</v>
      </c>
      <c r="BF31" s="124">
        <v>0</v>
      </c>
      <c r="BG31" s="53">
        <f t="shared" si="25"/>
        <v>0</v>
      </c>
      <c r="BH31" s="124"/>
      <c r="BI31" s="53">
        <f t="shared" si="26"/>
        <v>0</v>
      </c>
      <c r="BJ31" s="47">
        <f t="shared" si="35"/>
        <v>1</v>
      </c>
      <c r="BK31" s="117">
        <f t="shared" si="36"/>
        <v>500000</v>
      </c>
      <c r="BL31" s="341" t="s">
        <v>473</v>
      </c>
      <c r="BN31" s="113">
        <f t="shared" si="33"/>
        <v>500000</v>
      </c>
      <c r="BO31" s="125"/>
      <c r="BP31" s="125"/>
      <c r="BQ31" s="125"/>
      <c r="BR31" s="113">
        <f t="shared" si="27"/>
        <v>500000</v>
      </c>
      <c r="BS31" s="113"/>
      <c r="BT31" s="113"/>
      <c r="BU31" s="113"/>
      <c r="BV31" s="181">
        <f t="shared" si="2"/>
        <v>500000</v>
      </c>
    </row>
    <row r="32" spans="1:74" x14ac:dyDescent="0.25">
      <c r="A32" s="955"/>
      <c r="B32" s="119"/>
      <c r="C32" s="353" t="s">
        <v>656</v>
      </c>
      <c r="D32" s="38" t="s">
        <v>209</v>
      </c>
      <c r="E32" s="456"/>
      <c r="F32" s="454">
        <f t="shared" si="3"/>
        <v>0</v>
      </c>
      <c r="G32" s="79">
        <f t="shared" si="28"/>
        <v>0</v>
      </c>
      <c r="H32" s="79">
        <f t="shared" si="29"/>
        <v>0</v>
      </c>
      <c r="I32" s="79">
        <f t="shared" si="4"/>
        <v>0</v>
      </c>
      <c r="J32" s="120"/>
      <c r="K32" s="120"/>
      <c r="L32" s="120"/>
      <c r="M32" s="120"/>
      <c r="N32" s="120"/>
      <c r="O32" s="121"/>
      <c r="P32" s="80">
        <f t="shared" si="30"/>
        <v>0</v>
      </c>
      <c r="Q32" s="122"/>
      <c r="R32" s="123"/>
      <c r="S32" s="54">
        <f t="shared" si="5"/>
        <v>0</v>
      </c>
      <c r="T32" s="54">
        <f t="shared" si="6"/>
        <v>0</v>
      </c>
      <c r="U32" s="54">
        <f t="shared" si="7"/>
        <v>0</v>
      </c>
      <c r="V32" s="53">
        <f t="shared" si="8"/>
        <v>0</v>
      </c>
      <c r="W32" s="53">
        <f t="shared" si="9"/>
        <v>0</v>
      </c>
      <c r="X32" s="53">
        <f t="shared" si="10"/>
        <v>0</v>
      </c>
      <c r="Y32" s="53">
        <f t="shared" si="11"/>
        <v>0</v>
      </c>
      <c r="Z32" s="124">
        <v>0</v>
      </c>
      <c r="AA32" s="53">
        <f t="shared" si="12"/>
        <v>0</v>
      </c>
      <c r="AB32" s="124"/>
      <c r="AC32" s="53">
        <f t="shared" si="13"/>
        <v>0</v>
      </c>
      <c r="AD32" s="124"/>
      <c r="AE32" s="53">
        <f t="shared" si="14"/>
        <v>0</v>
      </c>
      <c r="AF32" s="124">
        <v>0</v>
      </c>
      <c r="AG32" s="53">
        <f t="shared" si="15"/>
        <v>0</v>
      </c>
      <c r="AH32" s="124">
        <v>0</v>
      </c>
      <c r="AI32" s="53">
        <f t="shared" si="16"/>
        <v>0</v>
      </c>
      <c r="AJ32" s="124">
        <v>0</v>
      </c>
      <c r="AK32" s="53">
        <f t="shared" si="17"/>
        <v>0</v>
      </c>
      <c r="AL32" s="124"/>
      <c r="AM32" s="53">
        <f t="shared" si="18"/>
        <v>0</v>
      </c>
      <c r="AN32" s="124"/>
      <c r="AO32" s="53">
        <f t="shared" si="19"/>
        <v>0</v>
      </c>
      <c r="AP32" s="124"/>
      <c r="AQ32" s="53">
        <f t="shared" si="20"/>
        <v>0</v>
      </c>
      <c r="AR32" s="124"/>
      <c r="AS32" s="53">
        <f t="shared" si="21"/>
        <v>0</v>
      </c>
      <c r="AT32" s="124"/>
      <c r="AU32" s="53">
        <f t="shared" si="31"/>
        <v>0</v>
      </c>
      <c r="AV32" s="124"/>
      <c r="AW32" s="53">
        <f t="shared" si="32"/>
        <v>0</v>
      </c>
      <c r="AX32" s="124"/>
      <c r="AY32" s="53">
        <f t="shared" si="34"/>
        <v>0</v>
      </c>
      <c r="AZ32" s="124">
        <v>0</v>
      </c>
      <c r="BA32" s="53">
        <f t="shared" si="22"/>
        <v>0</v>
      </c>
      <c r="BB32" s="124">
        <v>0</v>
      </c>
      <c r="BC32" s="53">
        <f t="shared" si="23"/>
        <v>0</v>
      </c>
      <c r="BD32" s="124"/>
      <c r="BE32" s="53">
        <f t="shared" si="24"/>
        <v>0</v>
      </c>
      <c r="BF32" s="124"/>
      <c r="BG32" s="53">
        <f t="shared" si="25"/>
        <v>0</v>
      </c>
      <c r="BH32" s="124"/>
      <c r="BI32" s="53">
        <f t="shared" si="26"/>
        <v>0</v>
      </c>
      <c r="BJ32" s="47">
        <f t="shared" si="35"/>
        <v>0</v>
      </c>
      <c r="BK32" s="117">
        <f t="shared" si="36"/>
        <v>0</v>
      </c>
      <c r="BL32" s="341" t="s">
        <v>473</v>
      </c>
      <c r="BN32" s="113">
        <f t="shared" si="33"/>
        <v>0</v>
      </c>
      <c r="BO32" s="125"/>
      <c r="BP32" s="125"/>
      <c r="BQ32" s="125"/>
      <c r="BR32" s="113">
        <f t="shared" si="27"/>
        <v>0</v>
      </c>
      <c r="BS32" s="113"/>
      <c r="BT32" s="113"/>
      <c r="BU32" s="113"/>
      <c r="BV32" s="181">
        <f t="shared" si="2"/>
        <v>0</v>
      </c>
    </row>
    <row r="33" spans="1:74" x14ac:dyDescent="0.25">
      <c r="A33" s="955"/>
      <c r="B33" s="119"/>
      <c r="C33" s="353" t="s">
        <v>673</v>
      </c>
      <c r="D33" s="38" t="s">
        <v>209</v>
      </c>
      <c r="E33" s="456"/>
      <c r="F33" s="454">
        <f t="shared" si="3"/>
        <v>33</v>
      </c>
      <c r="G33" s="79">
        <f t="shared" si="28"/>
        <v>0</v>
      </c>
      <c r="H33" s="79">
        <f t="shared" si="29"/>
        <v>0</v>
      </c>
      <c r="I33" s="79">
        <f t="shared" si="4"/>
        <v>0</v>
      </c>
      <c r="J33" s="120"/>
      <c r="K33" s="120"/>
      <c r="L33" s="120"/>
      <c r="M33" s="120"/>
      <c r="N33" s="120"/>
      <c r="O33" s="121"/>
      <c r="P33" s="80">
        <f t="shared" si="30"/>
        <v>0</v>
      </c>
      <c r="Q33" s="122"/>
      <c r="R33" s="123"/>
      <c r="S33" s="54">
        <v>33</v>
      </c>
      <c r="T33" s="54"/>
      <c r="U33" s="54"/>
      <c r="V33" s="53">
        <f t="shared" si="8"/>
        <v>0</v>
      </c>
      <c r="W33" s="53">
        <f t="shared" si="9"/>
        <v>0</v>
      </c>
      <c r="X33" s="53">
        <f t="shared" si="10"/>
        <v>0</v>
      </c>
      <c r="Y33" s="53">
        <f t="shared" si="11"/>
        <v>0</v>
      </c>
      <c r="Z33" s="124">
        <v>10</v>
      </c>
      <c r="AA33" s="53">
        <f t="shared" si="12"/>
        <v>0</v>
      </c>
      <c r="AB33" s="124">
        <v>5</v>
      </c>
      <c r="AC33" s="53">
        <f t="shared" si="13"/>
        <v>0</v>
      </c>
      <c r="AD33" s="124">
        <v>0</v>
      </c>
      <c r="AE33" s="53">
        <f t="shared" si="14"/>
        <v>0</v>
      </c>
      <c r="AF33" s="124">
        <v>0</v>
      </c>
      <c r="AG33" s="53">
        <f t="shared" si="15"/>
        <v>0</v>
      </c>
      <c r="AH33" s="124"/>
      <c r="AI33" s="53">
        <f t="shared" si="16"/>
        <v>0</v>
      </c>
      <c r="AJ33" s="124">
        <v>0</v>
      </c>
      <c r="AK33" s="53">
        <f t="shared" si="17"/>
        <v>0</v>
      </c>
      <c r="AL33" s="124">
        <v>5</v>
      </c>
      <c r="AM33" s="53">
        <f t="shared" si="18"/>
        <v>0</v>
      </c>
      <c r="AN33" s="124">
        <v>1</v>
      </c>
      <c r="AO33" s="53">
        <f t="shared" si="19"/>
        <v>0</v>
      </c>
      <c r="AP33" s="124"/>
      <c r="AQ33" s="53">
        <f t="shared" si="20"/>
        <v>0</v>
      </c>
      <c r="AR33" s="124"/>
      <c r="AS33" s="53">
        <f t="shared" si="21"/>
        <v>0</v>
      </c>
      <c r="AT33" s="124">
        <v>2</v>
      </c>
      <c r="AU33" s="53">
        <f t="shared" si="31"/>
        <v>0</v>
      </c>
      <c r="AV33" s="124"/>
      <c r="AW33" s="53">
        <f t="shared" si="32"/>
        <v>0</v>
      </c>
      <c r="AX33" s="124">
        <v>5</v>
      </c>
      <c r="AY33" s="53">
        <f t="shared" si="34"/>
        <v>0</v>
      </c>
      <c r="AZ33" s="124">
        <v>0</v>
      </c>
      <c r="BA33" s="53">
        <f t="shared" si="22"/>
        <v>0</v>
      </c>
      <c r="BB33" s="124">
        <v>5</v>
      </c>
      <c r="BC33" s="53">
        <f t="shared" si="23"/>
        <v>0</v>
      </c>
      <c r="BD33" s="124"/>
      <c r="BE33" s="53">
        <f t="shared" si="24"/>
        <v>0</v>
      </c>
      <c r="BF33" s="124"/>
      <c r="BG33" s="53">
        <f t="shared" si="25"/>
        <v>0</v>
      </c>
      <c r="BH33" s="124"/>
      <c r="BI33" s="53">
        <f t="shared" si="26"/>
        <v>0</v>
      </c>
      <c r="BJ33" s="47">
        <f t="shared" si="35"/>
        <v>33</v>
      </c>
      <c r="BK33" s="117">
        <f t="shared" si="36"/>
        <v>0</v>
      </c>
      <c r="BL33" s="341" t="s">
        <v>473</v>
      </c>
      <c r="BN33" s="113">
        <f t="shared" si="33"/>
        <v>0</v>
      </c>
      <c r="BO33" s="125"/>
      <c r="BP33" s="125"/>
      <c r="BQ33" s="125"/>
      <c r="BR33" s="113">
        <f t="shared" si="27"/>
        <v>0</v>
      </c>
      <c r="BS33" s="113"/>
      <c r="BT33" s="113"/>
      <c r="BU33" s="113"/>
      <c r="BV33" s="181">
        <f t="shared" si="2"/>
        <v>0</v>
      </c>
    </row>
    <row r="34" spans="1:74" ht="31.5" x14ac:dyDescent="0.25">
      <c r="A34" s="955"/>
      <c r="B34" s="119"/>
      <c r="C34" s="353" t="s">
        <v>683</v>
      </c>
      <c r="D34" s="38" t="s">
        <v>209</v>
      </c>
      <c r="E34" s="456">
        <v>15000</v>
      </c>
      <c r="F34" s="454">
        <f t="shared" si="3"/>
        <v>10</v>
      </c>
      <c r="G34" s="79">
        <f t="shared" si="28"/>
        <v>150000</v>
      </c>
      <c r="H34" s="79">
        <f t="shared" si="29"/>
        <v>15000</v>
      </c>
      <c r="I34" s="79">
        <f t="shared" si="4"/>
        <v>120000</v>
      </c>
      <c r="J34" s="120"/>
      <c r="K34" s="120"/>
      <c r="L34" s="120"/>
      <c r="M34" s="120"/>
      <c r="N34" s="120"/>
      <c r="O34" s="121"/>
      <c r="P34" s="80">
        <f t="shared" si="30"/>
        <v>15000</v>
      </c>
      <c r="Q34" s="122"/>
      <c r="R34" s="123"/>
      <c r="S34" s="54"/>
      <c r="T34" s="54">
        <v>7</v>
      </c>
      <c r="U34" s="54">
        <v>3</v>
      </c>
      <c r="V34" s="53">
        <f t="shared" si="8"/>
        <v>0</v>
      </c>
      <c r="W34" s="53">
        <f t="shared" si="9"/>
        <v>0</v>
      </c>
      <c r="X34" s="53">
        <f t="shared" si="10"/>
        <v>105000</v>
      </c>
      <c r="Y34" s="53">
        <f t="shared" si="11"/>
        <v>45000</v>
      </c>
      <c r="Z34" s="124"/>
      <c r="AA34" s="53">
        <f t="shared" si="12"/>
        <v>0</v>
      </c>
      <c r="AB34" s="124"/>
      <c r="AC34" s="53">
        <f t="shared" si="13"/>
        <v>0</v>
      </c>
      <c r="AD34" s="124"/>
      <c r="AE34" s="53">
        <f t="shared" si="14"/>
        <v>0</v>
      </c>
      <c r="AF34" s="124"/>
      <c r="AG34" s="53">
        <f t="shared" si="15"/>
        <v>0</v>
      </c>
      <c r="AH34" s="124"/>
      <c r="AI34" s="53">
        <f t="shared" si="16"/>
        <v>0</v>
      </c>
      <c r="AJ34" s="124">
        <v>0</v>
      </c>
      <c r="AK34" s="53">
        <f t="shared" si="17"/>
        <v>0</v>
      </c>
      <c r="AL34" s="124"/>
      <c r="AM34" s="53">
        <f t="shared" si="18"/>
        <v>0</v>
      </c>
      <c r="AN34" s="124">
        <v>10</v>
      </c>
      <c r="AO34" s="53">
        <f t="shared" si="19"/>
        <v>150000</v>
      </c>
      <c r="AP34" s="124"/>
      <c r="AQ34" s="53">
        <f t="shared" si="20"/>
        <v>0</v>
      </c>
      <c r="AR34" s="124"/>
      <c r="AS34" s="53">
        <f t="shared" si="21"/>
        <v>0</v>
      </c>
      <c r="AT34" s="124"/>
      <c r="AU34" s="53">
        <f t="shared" si="31"/>
        <v>0</v>
      </c>
      <c r="AV34" s="124"/>
      <c r="AW34" s="53">
        <f t="shared" si="32"/>
        <v>0</v>
      </c>
      <c r="AX34" s="124"/>
      <c r="AY34" s="53">
        <f t="shared" si="34"/>
        <v>0</v>
      </c>
      <c r="AZ34" s="124"/>
      <c r="BA34" s="53">
        <f t="shared" si="22"/>
        <v>0</v>
      </c>
      <c r="BB34" s="124"/>
      <c r="BC34" s="53">
        <f t="shared" si="23"/>
        <v>0</v>
      </c>
      <c r="BD34" s="124"/>
      <c r="BE34" s="53">
        <f t="shared" si="24"/>
        <v>0</v>
      </c>
      <c r="BF34" s="124"/>
      <c r="BG34" s="53">
        <f t="shared" si="25"/>
        <v>0</v>
      </c>
      <c r="BH34" s="124"/>
      <c r="BI34" s="53">
        <f t="shared" si="26"/>
        <v>0</v>
      </c>
      <c r="BJ34" s="47">
        <f t="shared" si="35"/>
        <v>10</v>
      </c>
      <c r="BK34" s="117">
        <f t="shared" si="36"/>
        <v>150000</v>
      </c>
      <c r="BL34" s="341" t="s">
        <v>473</v>
      </c>
      <c r="BN34" s="113">
        <f t="shared" si="33"/>
        <v>150000</v>
      </c>
      <c r="BO34" s="125"/>
      <c r="BP34" s="125"/>
      <c r="BQ34" s="125"/>
      <c r="BR34" s="113">
        <f t="shared" si="27"/>
        <v>150000</v>
      </c>
      <c r="BS34" s="113"/>
      <c r="BT34" s="113"/>
      <c r="BU34" s="113"/>
      <c r="BV34" s="181">
        <f t="shared" si="2"/>
        <v>150000</v>
      </c>
    </row>
    <row r="35" spans="1:74" x14ac:dyDescent="0.25">
      <c r="A35" s="955"/>
      <c r="B35" s="119"/>
      <c r="C35" s="353" t="s">
        <v>725</v>
      </c>
      <c r="D35" s="38" t="s">
        <v>209</v>
      </c>
      <c r="E35" s="456">
        <v>500000</v>
      </c>
      <c r="F35" s="454">
        <f t="shared" si="3"/>
        <v>6</v>
      </c>
      <c r="G35" s="79">
        <f t="shared" si="28"/>
        <v>3000000</v>
      </c>
      <c r="H35" s="163">
        <f t="shared" si="29"/>
        <v>300000</v>
      </c>
      <c r="I35" s="79">
        <f t="shared" si="4"/>
        <v>2400000</v>
      </c>
      <c r="J35" s="120"/>
      <c r="K35" s="120"/>
      <c r="L35" s="120"/>
      <c r="M35" s="120"/>
      <c r="N35" s="120"/>
      <c r="O35" s="121"/>
      <c r="P35" s="80">
        <f t="shared" si="30"/>
        <v>300000</v>
      </c>
      <c r="Q35" s="122"/>
      <c r="R35" s="123"/>
      <c r="S35" s="54"/>
      <c r="T35" s="54">
        <v>6</v>
      </c>
      <c r="U35" s="54"/>
      <c r="V35" s="53">
        <f t="shared" si="8"/>
        <v>0</v>
      </c>
      <c r="W35" s="53">
        <f t="shared" si="9"/>
        <v>0</v>
      </c>
      <c r="X35" s="53">
        <f t="shared" si="10"/>
        <v>3000000</v>
      </c>
      <c r="Y35" s="53">
        <f t="shared" si="11"/>
        <v>0</v>
      </c>
      <c r="Z35" s="124"/>
      <c r="AA35" s="53">
        <f t="shared" si="12"/>
        <v>0</v>
      </c>
      <c r="AB35" s="124"/>
      <c r="AC35" s="53">
        <f t="shared" si="13"/>
        <v>0</v>
      </c>
      <c r="AD35" s="124"/>
      <c r="AE35" s="53">
        <f t="shared" si="14"/>
        <v>0</v>
      </c>
      <c r="AF35" s="124"/>
      <c r="AG35" s="53">
        <f t="shared" si="15"/>
        <v>0</v>
      </c>
      <c r="AH35" s="124"/>
      <c r="AI35" s="53">
        <f t="shared" si="16"/>
        <v>0</v>
      </c>
      <c r="AJ35" s="124"/>
      <c r="AK35" s="53">
        <f t="shared" si="17"/>
        <v>0</v>
      </c>
      <c r="AL35" s="124"/>
      <c r="AM35" s="53">
        <f t="shared" si="18"/>
        <v>0</v>
      </c>
      <c r="AN35" s="124"/>
      <c r="AO35" s="53">
        <f t="shared" si="19"/>
        <v>0</v>
      </c>
      <c r="AP35" s="124"/>
      <c r="AQ35" s="53">
        <f t="shared" si="20"/>
        <v>0</v>
      </c>
      <c r="AR35" s="124">
        <v>5</v>
      </c>
      <c r="AS35" s="53">
        <f t="shared" si="21"/>
        <v>2500000</v>
      </c>
      <c r="AT35" s="124"/>
      <c r="AU35" s="53">
        <f t="shared" si="31"/>
        <v>0</v>
      </c>
      <c r="AV35" s="124"/>
      <c r="AW35" s="53">
        <f t="shared" si="32"/>
        <v>0</v>
      </c>
      <c r="AX35" s="124"/>
      <c r="AY35" s="53">
        <f t="shared" si="34"/>
        <v>0</v>
      </c>
      <c r="AZ35" s="124">
        <v>1</v>
      </c>
      <c r="BA35" s="53">
        <f t="shared" si="22"/>
        <v>500000</v>
      </c>
      <c r="BB35" s="124"/>
      <c r="BC35" s="53">
        <f t="shared" si="23"/>
        <v>0</v>
      </c>
      <c r="BD35" s="124"/>
      <c r="BE35" s="53">
        <f t="shared" si="24"/>
        <v>0</v>
      </c>
      <c r="BF35" s="124"/>
      <c r="BG35" s="53">
        <f t="shared" si="25"/>
        <v>0</v>
      </c>
      <c r="BH35" s="124"/>
      <c r="BI35" s="53">
        <f t="shared" si="26"/>
        <v>0</v>
      </c>
      <c r="BJ35" s="47">
        <f t="shared" si="35"/>
        <v>6</v>
      </c>
      <c r="BK35" s="117">
        <f t="shared" si="36"/>
        <v>3000000</v>
      </c>
      <c r="BL35" s="341" t="s">
        <v>473</v>
      </c>
      <c r="BN35" s="113">
        <f t="shared" si="33"/>
        <v>3000000</v>
      </c>
      <c r="BO35" s="125"/>
      <c r="BP35" s="125"/>
      <c r="BQ35" s="125"/>
      <c r="BR35" s="113">
        <f t="shared" si="27"/>
        <v>3000000</v>
      </c>
      <c r="BS35" s="113"/>
      <c r="BT35" s="113"/>
      <c r="BU35" s="113"/>
      <c r="BV35" s="181">
        <f t="shared" si="2"/>
        <v>3000000</v>
      </c>
    </row>
    <row r="36" spans="1:74" ht="31.5" x14ac:dyDescent="0.25">
      <c r="A36" s="955"/>
      <c r="B36" s="119"/>
      <c r="C36" s="353" t="s">
        <v>764</v>
      </c>
      <c r="D36" s="38" t="s">
        <v>209</v>
      </c>
      <c r="E36" s="456">
        <v>1000000</v>
      </c>
      <c r="F36" s="454">
        <f t="shared" si="3"/>
        <v>9</v>
      </c>
      <c r="G36" s="79">
        <f t="shared" si="28"/>
        <v>9000000</v>
      </c>
      <c r="H36" s="148">
        <f t="shared" si="29"/>
        <v>900000</v>
      </c>
      <c r="I36" s="120">
        <f t="shared" si="4"/>
        <v>7200000</v>
      </c>
      <c r="J36" s="120"/>
      <c r="K36" s="120"/>
      <c r="L36" s="120"/>
      <c r="M36" s="120"/>
      <c r="N36" s="120"/>
      <c r="O36" s="121"/>
      <c r="P36" s="121">
        <f t="shared" si="30"/>
        <v>900000</v>
      </c>
      <c r="Q36" s="122"/>
      <c r="R36" s="123">
        <v>4</v>
      </c>
      <c r="S36" s="54"/>
      <c r="T36" s="54">
        <v>8</v>
      </c>
      <c r="U36" s="54">
        <v>2</v>
      </c>
      <c r="V36" s="53">
        <f t="shared" si="8"/>
        <v>4000000</v>
      </c>
      <c r="W36" s="53">
        <f t="shared" si="9"/>
        <v>0</v>
      </c>
      <c r="X36" s="53">
        <f t="shared" si="10"/>
        <v>8000000</v>
      </c>
      <c r="Y36" s="53">
        <f t="shared" si="11"/>
        <v>2000000</v>
      </c>
      <c r="Z36" s="124">
        <v>4</v>
      </c>
      <c r="AA36" s="722">
        <f t="shared" si="12"/>
        <v>4000000</v>
      </c>
      <c r="AB36" s="124"/>
      <c r="AC36" s="53">
        <f t="shared" si="13"/>
        <v>0</v>
      </c>
      <c r="AD36" s="124">
        <v>0</v>
      </c>
      <c r="AE36" s="53">
        <f t="shared" si="14"/>
        <v>0</v>
      </c>
      <c r="AF36" s="124"/>
      <c r="AG36" s="53">
        <f t="shared" si="15"/>
        <v>0</v>
      </c>
      <c r="AH36" s="124"/>
      <c r="AI36" s="53">
        <f t="shared" si="16"/>
        <v>0</v>
      </c>
      <c r="AJ36" s="124"/>
      <c r="AK36" s="53">
        <f t="shared" si="17"/>
        <v>0</v>
      </c>
      <c r="AL36" s="124">
        <v>2</v>
      </c>
      <c r="AM36" s="53">
        <f t="shared" si="18"/>
        <v>2000000</v>
      </c>
      <c r="AN36" s="124"/>
      <c r="AO36" s="53">
        <f t="shared" si="19"/>
        <v>0</v>
      </c>
      <c r="AP36" s="124"/>
      <c r="AQ36" s="53">
        <f t="shared" si="20"/>
        <v>0</v>
      </c>
      <c r="AR36" s="124">
        <v>1</v>
      </c>
      <c r="AS36" s="53">
        <f t="shared" si="21"/>
        <v>1000000</v>
      </c>
      <c r="AT36" s="124"/>
      <c r="AU36" s="53">
        <f t="shared" si="31"/>
        <v>0</v>
      </c>
      <c r="AV36" s="124"/>
      <c r="AW36" s="53">
        <f t="shared" si="32"/>
        <v>0</v>
      </c>
      <c r="AX36" s="124"/>
      <c r="AY36" s="53">
        <f t="shared" si="34"/>
        <v>0</v>
      </c>
      <c r="AZ36" s="124"/>
      <c r="BA36" s="53">
        <f t="shared" si="22"/>
        <v>0</v>
      </c>
      <c r="BB36" s="124">
        <v>1</v>
      </c>
      <c r="BC36" s="53">
        <f t="shared" si="23"/>
        <v>1000000</v>
      </c>
      <c r="BD36" s="124"/>
      <c r="BE36" s="53">
        <f t="shared" si="24"/>
        <v>0</v>
      </c>
      <c r="BF36" s="124">
        <v>1</v>
      </c>
      <c r="BG36" s="53">
        <f t="shared" si="25"/>
        <v>1000000</v>
      </c>
      <c r="BH36" s="124"/>
      <c r="BI36" s="53">
        <f t="shared" si="26"/>
        <v>0</v>
      </c>
      <c r="BJ36" s="47">
        <f t="shared" si="35"/>
        <v>9</v>
      </c>
      <c r="BK36" s="117">
        <f t="shared" si="36"/>
        <v>9000000</v>
      </c>
      <c r="BL36" s="341" t="s">
        <v>473</v>
      </c>
      <c r="BN36" s="113">
        <f t="shared" si="33"/>
        <v>9000000</v>
      </c>
      <c r="BO36" s="125"/>
      <c r="BP36" s="125"/>
      <c r="BQ36" s="125"/>
      <c r="BR36" s="125">
        <f t="shared" si="27"/>
        <v>9000000</v>
      </c>
      <c r="BS36" s="125"/>
      <c r="BT36" s="125"/>
      <c r="BU36" s="125"/>
      <c r="BV36" s="195">
        <f t="shared" si="2"/>
        <v>9000000</v>
      </c>
    </row>
    <row r="37" spans="1:74" x14ac:dyDescent="0.25">
      <c r="A37" s="955"/>
      <c r="B37" s="119"/>
      <c r="C37" s="353" t="s">
        <v>894</v>
      </c>
      <c r="D37" s="38" t="s">
        <v>209</v>
      </c>
      <c r="E37" s="456">
        <v>500000</v>
      </c>
      <c r="F37" s="454">
        <f t="shared" si="3"/>
        <v>1</v>
      </c>
      <c r="G37" s="79">
        <f t="shared" si="28"/>
        <v>500000</v>
      </c>
      <c r="H37" s="148">
        <f t="shared" si="29"/>
        <v>50000</v>
      </c>
      <c r="I37" s="120">
        <f t="shared" si="4"/>
        <v>400000</v>
      </c>
      <c r="J37" s="120"/>
      <c r="K37" s="120"/>
      <c r="L37" s="120"/>
      <c r="M37" s="120"/>
      <c r="N37" s="120"/>
      <c r="O37" s="121"/>
      <c r="P37" s="121">
        <f t="shared" si="30"/>
        <v>50000</v>
      </c>
      <c r="Q37" s="122"/>
      <c r="R37" s="123"/>
      <c r="S37" s="54"/>
      <c r="T37" s="54"/>
      <c r="U37" s="54"/>
      <c r="V37" s="53">
        <f t="shared" si="8"/>
        <v>0</v>
      </c>
      <c r="W37" s="53">
        <f t="shared" si="9"/>
        <v>0</v>
      </c>
      <c r="X37" s="53">
        <f t="shared" si="10"/>
        <v>0</v>
      </c>
      <c r="Y37" s="53">
        <f t="shared" si="11"/>
        <v>0</v>
      </c>
      <c r="Z37" s="124"/>
      <c r="AA37" s="53">
        <f t="shared" si="12"/>
        <v>0</v>
      </c>
      <c r="AB37" s="124"/>
      <c r="AC37" s="53">
        <f t="shared" si="13"/>
        <v>0</v>
      </c>
      <c r="AD37" s="124"/>
      <c r="AE37" s="53">
        <f t="shared" si="14"/>
        <v>0</v>
      </c>
      <c r="AF37" s="124"/>
      <c r="AG37" s="53">
        <f t="shared" si="15"/>
        <v>0</v>
      </c>
      <c r="AH37" s="124"/>
      <c r="AI37" s="53">
        <f t="shared" si="16"/>
        <v>0</v>
      </c>
      <c r="AJ37" s="124"/>
      <c r="AK37" s="53">
        <f t="shared" si="17"/>
        <v>0</v>
      </c>
      <c r="AL37" s="124"/>
      <c r="AM37" s="53">
        <f t="shared" si="18"/>
        <v>0</v>
      </c>
      <c r="AN37" s="124"/>
      <c r="AO37" s="53">
        <f t="shared" si="19"/>
        <v>0</v>
      </c>
      <c r="AP37" s="124"/>
      <c r="AQ37" s="53">
        <f t="shared" si="20"/>
        <v>0</v>
      </c>
      <c r="AR37" s="124"/>
      <c r="AS37" s="53">
        <f t="shared" si="21"/>
        <v>0</v>
      </c>
      <c r="AT37" s="124"/>
      <c r="AU37" s="53">
        <f t="shared" si="31"/>
        <v>0</v>
      </c>
      <c r="AV37" s="124"/>
      <c r="AW37" s="53">
        <f t="shared" si="32"/>
        <v>0</v>
      </c>
      <c r="AX37" s="124"/>
      <c r="AY37" s="53">
        <f t="shared" si="34"/>
        <v>0</v>
      </c>
      <c r="AZ37" s="124"/>
      <c r="BA37" s="53">
        <f t="shared" si="22"/>
        <v>0</v>
      </c>
      <c r="BB37" s="124"/>
      <c r="BC37" s="53">
        <f t="shared" si="23"/>
        <v>0</v>
      </c>
      <c r="BD37" s="124">
        <v>1</v>
      </c>
      <c r="BE37" s="53">
        <f t="shared" si="24"/>
        <v>500000</v>
      </c>
      <c r="BF37" s="124"/>
      <c r="BG37" s="53">
        <f t="shared" si="25"/>
        <v>0</v>
      </c>
      <c r="BH37" s="124"/>
      <c r="BI37" s="53">
        <f t="shared" si="26"/>
        <v>0</v>
      </c>
      <c r="BJ37" s="47">
        <f>Z37+AB37+AD37+AF37+AH37+AJ37+AL37+AN37+AP37+AR37+AT37+AV37+AX37+AZ37+BB37+BD37+BF37+BH37</f>
        <v>1</v>
      </c>
      <c r="BK37" s="117">
        <f>AA37+AC37+AE37+AG37+AI37+AK37+AM37+AO37+AQ37+AS37+AU37+AW37+AY37+BA37+BC37+BE37+BG37+BI37</f>
        <v>500000</v>
      </c>
      <c r="BL37" s="341" t="s">
        <v>473</v>
      </c>
      <c r="BN37" s="113">
        <f t="shared" si="33"/>
        <v>500000</v>
      </c>
      <c r="BO37" s="125"/>
      <c r="BP37" s="125"/>
      <c r="BQ37" s="125"/>
      <c r="BR37" s="125">
        <f t="shared" si="27"/>
        <v>500000</v>
      </c>
      <c r="BS37" s="125"/>
      <c r="BT37" s="125"/>
      <c r="BU37" s="125"/>
      <c r="BV37" s="195">
        <f t="shared" si="2"/>
        <v>500000</v>
      </c>
    </row>
    <row r="38" spans="1:74" x14ac:dyDescent="0.25">
      <c r="A38" s="955"/>
      <c r="B38" s="58"/>
      <c r="C38" s="205"/>
      <c r="D38" s="58"/>
      <c r="E38" s="58"/>
      <c r="F38" s="59">
        <f>SUM(F12:F36)</f>
        <v>5077</v>
      </c>
      <c r="G38" s="59">
        <f t="shared" ref="G38:Y38" si="37">SUM(G12:G37)</f>
        <v>148430000</v>
      </c>
      <c r="H38" s="59">
        <f t="shared" si="37"/>
        <v>14843000</v>
      </c>
      <c r="I38" s="59">
        <f t="shared" si="37"/>
        <v>118744000</v>
      </c>
      <c r="J38" s="59">
        <f t="shared" si="37"/>
        <v>0</v>
      </c>
      <c r="K38" s="59">
        <f t="shared" si="37"/>
        <v>0</v>
      </c>
      <c r="L38" s="59">
        <f t="shared" si="37"/>
        <v>0</v>
      </c>
      <c r="M38" s="59">
        <f t="shared" si="37"/>
        <v>0</v>
      </c>
      <c r="N38" s="59">
        <f t="shared" si="37"/>
        <v>0</v>
      </c>
      <c r="O38" s="59">
        <f t="shared" si="37"/>
        <v>0</v>
      </c>
      <c r="P38" s="59">
        <f t="shared" si="37"/>
        <v>14843000</v>
      </c>
      <c r="Q38" s="59">
        <f t="shared" si="37"/>
        <v>0</v>
      </c>
      <c r="R38" s="59">
        <f t="shared" si="37"/>
        <v>44</v>
      </c>
      <c r="S38" s="59">
        <f t="shared" si="37"/>
        <v>1941.8000000000002</v>
      </c>
      <c r="T38" s="59">
        <f t="shared" si="37"/>
        <v>1564.3</v>
      </c>
      <c r="U38" s="59">
        <f t="shared" si="37"/>
        <v>1481.3</v>
      </c>
      <c r="V38" s="59">
        <f t="shared" si="37"/>
        <v>28000000</v>
      </c>
      <c r="W38" s="59">
        <f t="shared" si="37"/>
        <v>14768000</v>
      </c>
      <c r="X38" s="59">
        <f t="shared" si="37"/>
        <v>67181000</v>
      </c>
      <c r="Y38" s="59">
        <f t="shared" si="37"/>
        <v>26251000</v>
      </c>
      <c r="Z38" s="59">
        <f>SUM(Z12:Z37)</f>
        <v>489</v>
      </c>
      <c r="AA38" s="59">
        <f t="shared" ref="AA38:BK38" si="38">SUM(AA12:AA37)</f>
        <v>14050000</v>
      </c>
      <c r="AB38" s="59">
        <f t="shared" si="38"/>
        <v>322</v>
      </c>
      <c r="AC38" s="59">
        <f t="shared" si="38"/>
        <v>5710000</v>
      </c>
      <c r="AD38" s="59">
        <f t="shared" si="38"/>
        <v>261</v>
      </c>
      <c r="AE38" s="59">
        <f t="shared" si="38"/>
        <v>5000000</v>
      </c>
      <c r="AF38" s="59">
        <f t="shared" si="38"/>
        <v>312</v>
      </c>
      <c r="AG38" s="59">
        <f t="shared" si="38"/>
        <v>6240000</v>
      </c>
      <c r="AH38" s="59">
        <f t="shared" si="38"/>
        <v>169</v>
      </c>
      <c r="AI38" s="59">
        <f t="shared" si="38"/>
        <v>7990000</v>
      </c>
      <c r="AJ38" s="59">
        <f t="shared" si="38"/>
        <v>68</v>
      </c>
      <c r="AK38" s="59">
        <f t="shared" si="38"/>
        <v>7770000</v>
      </c>
      <c r="AL38" s="59">
        <f t="shared" si="38"/>
        <v>1014</v>
      </c>
      <c r="AM38" s="59">
        <f t="shared" si="38"/>
        <v>5250000</v>
      </c>
      <c r="AN38" s="59">
        <f t="shared" si="38"/>
        <v>233</v>
      </c>
      <c r="AO38" s="59">
        <f t="shared" si="38"/>
        <v>10950000</v>
      </c>
      <c r="AP38" s="59">
        <f t="shared" si="38"/>
        <v>57</v>
      </c>
      <c r="AQ38" s="59">
        <f t="shared" si="38"/>
        <v>3420000</v>
      </c>
      <c r="AR38" s="59">
        <f t="shared" si="38"/>
        <v>201</v>
      </c>
      <c r="AS38" s="59">
        <f t="shared" si="38"/>
        <v>20590000</v>
      </c>
      <c r="AT38" s="59">
        <f t="shared" si="38"/>
        <v>13</v>
      </c>
      <c r="AU38" s="59">
        <f t="shared" si="38"/>
        <v>4650000</v>
      </c>
      <c r="AV38" s="59">
        <f t="shared" si="38"/>
        <v>20</v>
      </c>
      <c r="AW38" s="59">
        <f t="shared" si="38"/>
        <v>9300000</v>
      </c>
      <c r="AX38" s="59">
        <f t="shared" si="38"/>
        <v>17</v>
      </c>
      <c r="AY38" s="59">
        <f t="shared" si="38"/>
        <v>4800000</v>
      </c>
      <c r="AZ38" s="59">
        <f t="shared" si="38"/>
        <v>278</v>
      </c>
      <c r="BA38" s="59">
        <f t="shared" si="38"/>
        <v>14260000</v>
      </c>
      <c r="BB38" s="59">
        <f t="shared" si="38"/>
        <v>634</v>
      </c>
      <c r="BC38" s="59">
        <f t="shared" si="38"/>
        <v>8950000</v>
      </c>
      <c r="BD38" s="59">
        <f t="shared" si="38"/>
        <v>775</v>
      </c>
      <c r="BE38" s="59">
        <f t="shared" si="38"/>
        <v>12400000</v>
      </c>
      <c r="BF38" s="59">
        <f t="shared" si="38"/>
        <v>215</v>
      </c>
      <c r="BG38" s="59">
        <f t="shared" si="38"/>
        <v>7100000</v>
      </c>
      <c r="BH38" s="59">
        <f t="shared" si="38"/>
        <v>0</v>
      </c>
      <c r="BI38" s="59">
        <f t="shared" si="38"/>
        <v>0</v>
      </c>
      <c r="BJ38" s="59">
        <f t="shared" si="38"/>
        <v>5078</v>
      </c>
      <c r="BK38" s="59">
        <f t="shared" si="38"/>
        <v>148430000</v>
      </c>
      <c r="BL38" s="139">
        <f>SUM(BL12:BL35)</f>
        <v>0</v>
      </c>
      <c r="BM38" s="219"/>
      <c r="BN38" s="139">
        <f>SUM(BN12:BN37)</f>
        <v>148430000</v>
      </c>
      <c r="BO38" s="59">
        <f>SUM(BO12:BO35)</f>
        <v>0</v>
      </c>
      <c r="BP38" s="59">
        <f>SUM(BP12:BP35)</f>
        <v>0</v>
      </c>
      <c r="BQ38" s="59">
        <f>SUM(BQ12:BQ35)</f>
        <v>0</v>
      </c>
      <c r="BR38" s="59">
        <f>SUM(BR12:BR37)</f>
        <v>148430000</v>
      </c>
      <c r="BS38" s="59">
        <f>SUM(BS12:BS35)</f>
        <v>0</v>
      </c>
      <c r="BT38" s="59">
        <f>SUM(BT12:BT35)</f>
        <v>0</v>
      </c>
      <c r="BU38" s="59">
        <f>SUM(BU12:BU35)</f>
        <v>0</v>
      </c>
      <c r="BV38" s="59">
        <f>SUM(BV13:BV37)</f>
        <v>148430000</v>
      </c>
    </row>
    <row r="39" spans="1:74" x14ac:dyDescent="0.25">
      <c r="A39" s="955"/>
      <c r="B39" s="56">
        <v>32200</v>
      </c>
      <c r="C39" s="216" t="s">
        <v>230</v>
      </c>
      <c r="D39" s="38"/>
      <c r="E39" s="375"/>
      <c r="F39" s="454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3"/>
      <c r="R39" s="54"/>
      <c r="S39" s="54">
        <f t="shared" si="5"/>
        <v>0</v>
      </c>
      <c r="T39" s="54">
        <f t="shared" si="6"/>
        <v>0</v>
      </c>
      <c r="U39" s="54">
        <f t="shared" si="7"/>
        <v>0</v>
      </c>
      <c r="V39" s="53"/>
      <c r="W39" s="53"/>
      <c r="X39" s="53"/>
      <c r="Y39" s="53"/>
      <c r="Z39" s="47"/>
      <c r="AA39" s="53">
        <f t="shared" si="12"/>
        <v>0</v>
      </c>
      <c r="AB39" s="47"/>
      <c r="AC39" s="53">
        <f t="shared" si="13"/>
        <v>0</v>
      </c>
      <c r="AD39" s="47"/>
      <c r="AE39" s="53">
        <f t="shared" si="14"/>
        <v>0</v>
      </c>
      <c r="AF39" s="47"/>
      <c r="AG39" s="53">
        <f t="shared" si="15"/>
        <v>0</v>
      </c>
      <c r="AH39" s="47"/>
      <c r="AI39" s="53">
        <f t="shared" si="16"/>
        <v>0</v>
      </c>
      <c r="AJ39" s="47"/>
      <c r="AK39" s="53"/>
      <c r="AL39" s="47"/>
      <c r="AM39" s="53">
        <f t="shared" si="18"/>
        <v>0</v>
      </c>
      <c r="AN39" s="47"/>
      <c r="AO39" s="53"/>
      <c r="AP39" s="47"/>
      <c r="AQ39" s="53">
        <f t="shared" si="20"/>
        <v>0</v>
      </c>
      <c r="AR39" s="47"/>
      <c r="AS39" s="53">
        <f t="shared" si="21"/>
        <v>0</v>
      </c>
      <c r="AT39" s="47"/>
      <c r="AU39" s="53"/>
      <c r="AV39" s="47"/>
      <c r="AW39" s="53"/>
      <c r="AX39" s="47"/>
      <c r="AY39" s="53"/>
      <c r="AZ39" s="47"/>
      <c r="BA39" s="53">
        <f t="shared" si="22"/>
        <v>0</v>
      </c>
      <c r="BB39" s="47"/>
      <c r="BC39" s="53">
        <f t="shared" si="23"/>
        <v>0</v>
      </c>
      <c r="BD39" s="47"/>
      <c r="BE39" s="53">
        <f t="shared" si="24"/>
        <v>0</v>
      </c>
      <c r="BF39" s="47"/>
      <c r="BG39" s="53">
        <f t="shared" si="25"/>
        <v>0</v>
      </c>
      <c r="BH39" s="47"/>
      <c r="BI39" s="53">
        <f t="shared" si="26"/>
        <v>0</v>
      </c>
      <c r="BJ39" s="47"/>
      <c r="BK39" s="117">
        <f t="shared" si="36"/>
        <v>0</v>
      </c>
      <c r="BL39" s="47"/>
      <c r="BN39" s="113"/>
      <c r="BO39" s="113"/>
      <c r="BP39" s="113"/>
      <c r="BQ39" s="113"/>
      <c r="BR39" s="113"/>
      <c r="BS39" s="113"/>
      <c r="BT39" s="113"/>
      <c r="BU39" s="113"/>
      <c r="BV39" s="181">
        <f t="shared" si="2"/>
        <v>0</v>
      </c>
    </row>
    <row r="40" spans="1:74" x14ac:dyDescent="0.25">
      <c r="A40" s="955"/>
      <c r="B40" s="56"/>
      <c r="C40" s="38" t="s">
        <v>231</v>
      </c>
      <c r="D40" s="38" t="s">
        <v>174</v>
      </c>
      <c r="E40" s="375">
        <f>0.5*100000</f>
        <v>50000</v>
      </c>
      <c r="F40" s="454">
        <f t="shared" ref="F40:F45" si="39">BJ40</f>
        <v>86</v>
      </c>
      <c r="G40" s="79">
        <f t="shared" ref="G40:G45" si="40">E40*F40</f>
        <v>4300000</v>
      </c>
      <c r="H40" s="79">
        <f>G40*0</f>
        <v>0</v>
      </c>
      <c r="I40" s="79">
        <f>G40*0.8</f>
        <v>3440000</v>
      </c>
      <c r="J40" s="79">
        <f>G40*0</f>
        <v>0</v>
      </c>
      <c r="K40" s="79">
        <f>G40*0</f>
        <v>0</v>
      </c>
      <c r="L40" s="79">
        <f>G40*0.2</f>
        <v>860000</v>
      </c>
      <c r="M40" s="79">
        <f>G40*0</f>
        <v>0</v>
      </c>
      <c r="N40" s="79">
        <f>G40*0</f>
        <v>0</v>
      </c>
      <c r="O40" s="80">
        <f>G40*0</f>
        <v>0</v>
      </c>
      <c r="P40" s="80">
        <f>G40*0</f>
        <v>0</v>
      </c>
      <c r="Q40" s="76">
        <f>G40*0</f>
        <v>0</v>
      </c>
      <c r="R40" s="54">
        <v>16</v>
      </c>
      <c r="S40" s="54">
        <v>30</v>
      </c>
      <c r="T40" s="54">
        <v>20</v>
      </c>
      <c r="U40" s="54">
        <v>20</v>
      </c>
      <c r="V40" s="53">
        <f t="shared" ref="V40:V45" si="41">R40*E40</f>
        <v>800000</v>
      </c>
      <c r="W40" s="53">
        <f t="shared" ref="W40:W45" si="42">S40*E40</f>
        <v>1500000</v>
      </c>
      <c r="X40" s="53">
        <f t="shared" ref="X40:X45" si="43">T40*E40</f>
        <v>1000000</v>
      </c>
      <c r="Y40" s="53">
        <f t="shared" ref="Y40:Y45" si="44">U40*E40</f>
        <v>1000000</v>
      </c>
      <c r="Z40" s="47">
        <v>4</v>
      </c>
      <c r="AA40" s="53">
        <f t="shared" si="12"/>
        <v>200000</v>
      </c>
      <c r="AB40" s="47">
        <v>5</v>
      </c>
      <c r="AC40" s="53">
        <f t="shared" si="13"/>
        <v>250000</v>
      </c>
      <c r="AD40" s="47">
        <v>0</v>
      </c>
      <c r="AE40" s="53">
        <f t="shared" si="14"/>
        <v>0</v>
      </c>
      <c r="AF40" s="47">
        <v>6</v>
      </c>
      <c r="AG40" s="53">
        <f t="shared" si="15"/>
        <v>300000</v>
      </c>
      <c r="AH40" s="47">
        <v>2</v>
      </c>
      <c r="AI40" s="53">
        <f t="shared" si="16"/>
        <v>100000</v>
      </c>
      <c r="AJ40" s="47">
        <v>4</v>
      </c>
      <c r="AK40" s="53">
        <f t="shared" ref="AK40:AK46" si="45">AJ40*E40</f>
        <v>200000</v>
      </c>
      <c r="AL40" s="47">
        <v>5</v>
      </c>
      <c r="AM40" s="53">
        <f t="shared" si="18"/>
        <v>250000</v>
      </c>
      <c r="AN40" s="47">
        <v>8</v>
      </c>
      <c r="AO40" s="53">
        <f>AN40*E40</f>
        <v>400000</v>
      </c>
      <c r="AP40" s="47">
        <v>2</v>
      </c>
      <c r="AQ40" s="53">
        <f t="shared" si="20"/>
        <v>100000</v>
      </c>
      <c r="AR40" s="47">
        <v>3</v>
      </c>
      <c r="AS40" s="53">
        <f t="shared" si="21"/>
        <v>150000</v>
      </c>
      <c r="AT40" s="47">
        <v>6</v>
      </c>
      <c r="AU40" s="53">
        <f>AT40*E40</f>
        <v>300000</v>
      </c>
      <c r="AV40" s="47">
        <v>5</v>
      </c>
      <c r="AW40" s="53">
        <f>AV40*E40</f>
        <v>250000</v>
      </c>
      <c r="AX40" s="47">
        <v>10</v>
      </c>
      <c r="AY40" s="53">
        <f>AX40*E40</f>
        <v>500000</v>
      </c>
      <c r="AZ40" s="47">
        <v>9</v>
      </c>
      <c r="BA40" s="53">
        <f t="shared" si="22"/>
        <v>450000</v>
      </c>
      <c r="BB40" s="47">
        <v>3</v>
      </c>
      <c r="BC40" s="53">
        <f t="shared" si="23"/>
        <v>150000</v>
      </c>
      <c r="BD40" s="47">
        <v>6</v>
      </c>
      <c r="BE40" s="53">
        <f t="shared" si="24"/>
        <v>300000</v>
      </c>
      <c r="BF40" s="47">
        <v>8</v>
      </c>
      <c r="BG40" s="53">
        <f t="shared" si="25"/>
        <v>400000</v>
      </c>
      <c r="BH40" s="47">
        <v>0</v>
      </c>
      <c r="BI40" s="53">
        <f t="shared" si="26"/>
        <v>0</v>
      </c>
      <c r="BJ40" s="47">
        <f t="shared" ref="BJ40:BJ46" si="46">Z40+AB40+AD40+AF40+AH40+AJ40+AL40+AN40+AP40+AR40+AT40+AV40+AX40+AZ40+BB40+BD40+BF40+BH40</f>
        <v>86</v>
      </c>
      <c r="BK40" s="117">
        <f t="shared" si="36"/>
        <v>4300000</v>
      </c>
      <c r="BL40" s="341" t="s">
        <v>469</v>
      </c>
      <c r="BN40" s="113"/>
      <c r="BO40" s="113"/>
      <c r="BP40" s="113">
        <f>G40</f>
        <v>4300000</v>
      </c>
      <c r="BQ40" s="113"/>
      <c r="BR40" s="113">
        <f t="shared" ref="BR40:BR46" si="47">BN40+BO40+BP40+BQ40</f>
        <v>4300000</v>
      </c>
      <c r="BS40" s="113"/>
      <c r="BT40" s="113"/>
      <c r="BU40" s="113">
        <f>BS40+BT40</f>
        <v>0</v>
      </c>
      <c r="BV40" s="181">
        <f t="shared" si="2"/>
        <v>4300000</v>
      </c>
    </row>
    <row r="41" spans="1:74" x14ac:dyDescent="0.25">
      <c r="A41" s="955"/>
      <c r="B41" s="56"/>
      <c r="C41" s="38" t="s">
        <v>232</v>
      </c>
      <c r="D41" s="38" t="s">
        <v>174</v>
      </c>
      <c r="E41" s="375">
        <f>0*100000</f>
        <v>0</v>
      </c>
      <c r="F41" s="454">
        <f t="shared" si="39"/>
        <v>0</v>
      </c>
      <c r="G41" s="79">
        <f t="shared" si="40"/>
        <v>0</v>
      </c>
      <c r="H41" s="79">
        <f>G41*0</f>
        <v>0</v>
      </c>
      <c r="I41" s="79">
        <f>G41*0.8</f>
        <v>0</v>
      </c>
      <c r="J41" s="79">
        <f>G41*0</f>
        <v>0</v>
      </c>
      <c r="K41" s="79">
        <f>G41*0</f>
        <v>0</v>
      </c>
      <c r="L41" s="79">
        <f>G41*0.2</f>
        <v>0</v>
      </c>
      <c r="M41" s="79">
        <f>G41*0</f>
        <v>0</v>
      </c>
      <c r="N41" s="79">
        <f>G41*0</f>
        <v>0</v>
      </c>
      <c r="O41" s="80">
        <f>G41*0</f>
        <v>0</v>
      </c>
      <c r="P41" s="80">
        <f>G41*0</f>
        <v>0</v>
      </c>
      <c r="Q41" s="76">
        <f>G41*0</f>
        <v>0</v>
      </c>
      <c r="R41" s="54">
        <v>5</v>
      </c>
      <c r="S41" s="54"/>
      <c r="T41" s="54">
        <v>20</v>
      </c>
      <c r="U41" s="54">
        <v>7</v>
      </c>
      <c r="V41" s="53">
        <f t="shared" si="41"/>
        <v>0</v>
      </c>
      <c r="W41" s="53">
        <f t="shared" si="42"/>
        <v>0</v>
      </c>
      <c r="X41" s="53">
        <f t="shared" si="43"/>
        <v>0</v>
      </c>
      <c r="Y41" s="53">
        <f t="shared" si="44"/>
        <v>0</v>
      </c>
      <c r="Z41" s="47">
        <v>0</v>
      </c>
      <c r="AA41" s="53">
        <f t="shared" si="12"/>
        <v>0</v>
      </c>
      <c r="AB41" s="47">
        <v>0</v>
      </c>
      <c r="AC41" s="53">
        <f t="shared" si="13"/>
        <v>0</v>
      </c>
      <c r="AD41" s="47">
        <v>0</v>
      </c>
      <c r="AE41" s="53">
        <f t="shared" si="14"/>
        <v>0</v>
      </c>
      <c r="AF41" s="47">
        <v>0</v>
      </c>
      <c r="AG41" s="53">
        <f t="shared" si="15"/>
        <v>0</v>
      </c>
      <c r="AH41" s="47">
        <v>0</v>
      </c>
      <c r="AI41" s="53">
        <f t="shared" si="16"/>
        <v>0</v>
      </c>
      <c r="AJ41" s="47">
        <v>0</v>
      </c>
      <c r="AK41" s="53">
        <f t="shared" si="45"/>
        <v>0</v>
      </c>
      <c r="AL41" s="47">
        <v>0</v>
      </c>
      <c r="AM41" s="53">
        <f t="shared" si="18"/>
        <v>0</v>
      </c>
      <c r="AN41" s="47">
        <v>0</v>
      </c>
      <c r="AO41" s="53">
        <f>AN41*E41</f>
        <v>0</v>
      </c>
      <c r="AP41" s="47">
        <v>0</v>
      </c>
      <c r="AQ41" s="53">
        <f t="shared" si="20"/>
        <v>0</v>
      </c>
      <c r="AR41" s="47">
        <v>0</v>
      </c>
      <c r="AS41" s="53">
        <f t="shared" si="21"/>
        <v>0</v>
      </c>
      <c r="AT41" s="47">
        <v>0</v>
      </c>
      <c r="AU41" s="53">
        <f>AT41*E41</f>
        <v>0</v>
      </c>
      <c r="AV41" s="47">
        <v>0</v>
      </c>
      <c r="AW41" s="53">
        <f>AV41*E41</f>
        <v>0</v>
      </c>
      <c r="AX41" s="47">
        <v>0</v>
      </c>
      <c r="AY41" s="53">
        <f>AX41*E41</f>
        <v>0</v>
      </c>
      <c r="AZ41" s="47">
        <v>0</v>
      </c>
      <c r="BA41" s="53">
        <f t="shared" si="22"/>
        <v>0</v>
      </c>
      <c r="BB41" s="47">
        <v>0</v>
      </c>
      <c r="BC41" s="53">
        <f t="shared" si="23"/>
        <v>0</v>
      </c>
      <c r="BD41" s="47">
        <v>0</v>
      </c>
      <c r="BE41" s="53">
        <f t="shared" si="24"/>
        <v>0</v>
      </c>
      <c r="BF41" s="47">
        <v>0</v>
      </c>
      <c r="BG41" s="53">
        <f t="shared" si="25"/>
        <v>0</v>
      </c>
      <c r="BH41" s="47">
        <v>0</v>
      </c>
      <c r="BI41" s="53">
        <f t="shared" si="26"/>
        <v>0</v>
      </c>
      <c r="BJ41" s="47">
        <f t="shared" si="46"/>
        <v>0</v>
      </c>
      <c r="BK41" s="117">
        <f t="shared" si="36"/>
        <v>0</v>
      </c>
      <c r="BL41" s="341" t="s">
        <v>474</v>
      </c>
      <c r="BN41" s="113">
        <f t="shared" ref="BN41:BN46" si="48">G41</f>
        <v>0</v>
      </c>
      <c r="BO41" s="113"/>
      <c r="BP41" s="113"/>
      <c r="BQ41" s="113"/>
      <c r="BR41" s="113">
        <f t="shared" si="47"/>
        <v>0</v>
      </c>
      <c r="BS41" s="113"/>
      <c r="BT41" s="113"/>
      <c r="BU41" s="113">
        <f>BS41+BT41</f>
        <v>0</v>
      </c>
      <c r="BV41" s="181">
        <f t="shared" si="2"/>
        <v>0</v>
      </c>
    </row>
    <row r="42" spans="1:74" ht="27" customHeight="1" x14ac:dyDescent="0.25">
      <c r="A42" s="955"/>
      <c r="B42" s="56"/>
      <c r="C42" s="657" t="s">
        <v>233</v>
      </c>
      <c r="D42" s="38" t="s">
        <v>17</v>
      </c>
      <c r="E42" s="375">
        <v>500000</v>
      </c>
      <c r="F42" s="454">
        <f t="shared" si="39"/>
        <v>19</v>
      </c>
      <c r="G42" s="79">
        <f t="shared" si="40"/>
        <v>9500000</v>
      </c>
      <c r="H42" s="79">
        <f>G42*0</f>
        <v>0</v>
      </c>
      <c r="I42" s="79">
        <f>G42*0.8</f>
        <v>7600000</v>
      </c>
      <c r="J42" s="79">
        <f>G42*0</f>
        <v>0</v>
      </c>
      <c r="K42" s="79">
        <f>G42*0</f>
        <v>0</v>
      </c>
      <c r="L42" s="79">
        <f>G42*0.2</f>
        <v>1900000</v>
      </c>
      <c r="M42" s="79">
        <f>G42*0</f>
        <v>0</v>
      </c>
      <c r="N42" s="79">
        <f>G42*0</f>
        <v>0</v>
      </c>
      <c r="O42" s="80">
        <f>G42*0</f>
        <v>0</v>
      </c>
      <c r="P42" s="80">
        <f>G42*0</f>
        <v>0</v>
      </c>
      <c r="Q42" s="76">
        <f>G42*0</f>
        <v>0</v>
      </c>
      <c r="R42" s="54">
        <v>3</v>
      </c>
      <c r="S42" s="54"/>
      <c r="T42" s="54">
        <v>10</v>
      </c>
      <c r="U42" s="54">
        <v>5</v>
      </c>
      <c r="V42" s="53">
        <f t="shared" si="41"/>
        <v>1500000</v>
      </c>
      <c r="W42" s="53">
        <f t="shared" si="42"/>
        <v>0</v>
      </c>
      <c r="X42" s="53">
        <f t="shared" si="43"/>
        <v>5000000</v>
      </c>
      <c r="Y42" s="53">
        <f t="shared" si="44"/>
        <v>2500000</v>
      </c>
      <c r="Z42" s="47">
        <v>1</v>
      </c>
      <c r="AA42" s="53">
        <f t="shared" si="12"/>
        <v>500000</v>
      </c>
      <c r="AB42" s="47">
        <v>1</v>
      </c>
      <c r="AC42" s="53">
        <f t="shared" si="13"/>
        <v>500000</v>
      </c>
      <c r="AD42" s="47">
        <v>1</v>
      </c>
      <c r="AE42" s="53">
        <f t="shared" si="14"/>
        <v>500000</v>
      </c>
      <c r="AF42" s="47">
        <v>1</v>
      </c>
      <c r="AG42" s="53">
        <f t="shared" si="15"/>
        <v>500000</v>
      </c>
      <c r="AH42" s="47">
        <v>1</v>
      </c>
      <c r="AI42" s="53">
        <f t="shared" si="16"/>
        <v>500000</v>
      </c>
      <c r="AJ42" s="47">
        <v>1</v>
      </c>
      <c r="AK42" s="53">
        <f t="shared" si="45"/>
        <v>500000</v>
      </c>
      <c r="AL42" s="47">
        <v>1</v>
      </c>
      <c r="AM42" s="53">
        <f t="shared" si="18"/>
        <v>500000</v>
      </c>
      <c r="AN42" s="47">
        <v>2</v>
      </c>
      <c r="AO42" s="53">
        <f>AN42*E42</f>
        <v>1000000</v>
      </c>
      <c r="AP42" s="47">
        <v>1</v>
      </c>
      <c r="AQ42" s="53">
        <f t="shared" si="20"/>
        <v>500000</v>
      </c>
      <c r="AR42" s="47">
        <v>2</v>
      </c>
      <c r="AS42" s="53">
        <f t="shared" si="21"/>
        <v>1000000</v>
      </c>
      <c r="AT42" s="47">
        <v>1</v>
      </c>
      <c r="AU42" s="53">
        <f>AT42*E42</f>
        <v>500000</v>
      </c>
      <c r="AV42" s="47">
        <v>1</v>
      </c>
      <c r="AW42" s="53">
        <f>AV42*E42</f>
        <v>500000</v>
      </c>
      <c r="AX42" s="47">
        <v>1</v>
      </c>
      <c r="AY42" s="53">
        <f>AX42*E42</f>
        <v>500000</v>
      </c>
      <c r="AZ42" s="47">
        <v>1</v>
      </c>
      <c r="BA42" s="53">
        <f t="shared" si="22"/>
        <v>500000</v>
      </c>
      <c r="BB42" s="47">
        <v>1</v>
      </c>
      <c r="BC42" s="53">
        <f t="shared" si="23"/>
        <v>500000</v>
      </c>
      <c r="BD42" s="47">
        <v>1</v>
      </c>
      <c r="BE42" s="53">
        <f t="shared" si="24"/>
        <v>500000</v>
      </c>
      <c r="BF42" s="47">
        <v>1</v>
      </c>
      <c r="BG42" s="53">
        <f t="shared" si="25"/>
        <v>500000</v>
      </c>
      <c r="BH42" s="47">
        <v>0</v>
      </c>
      <c r="BI42" s="53">
        <f t="shared" si="26"/>
        <v>0</v>
      </c>
      <c r="BJ42" s="47">
        <f t="shared" si="46"/>
        <v>19</v>
      </c>
      <c r="BK42" s="117">
        <f t="shared" si="36"/>
        <v>9500000</v>
      </c>
      <c r="BL42" s="341" t="s">
        <v>474</v>
      </c>
      <c r="BN42" s="113">
        <f t="shared" si="48"/>
        <v>9500000</v>
      </c>
      <c r="BO42" s="113"/>
      <c r="BP42" s="113"/>
      <c r="BQ42" s="113"/>
      <c r="BR42" s="113">
        <f t="shared" si="47"/>
        <v>9500000</v>
      </c>
      <c r="BS42" s="113"/>
      <c r="BT42" s="113"/>
      <c r="BU42" s="113">
        <f>BS42+BT42</f>
        <v>0</v>
      </c>
      <c r="BV42" s="181">
        <f t="shared" si="2"/>
        <v>9500000</v>
      </c>
    </row>
    <row r="43" spans="1:74" ht="38.25" customHeight="1" x14ac:dyDescent="0.25">
      <c r="A43" s="955"/>
      <c r="B43" s="56"/>
      <c r="C43" s="657" t="s">
        <v>685</v>
      </c>
      <c r="D43" s="38"/>
      <c r="E43" s="375">
        <v>500000</v>
      </c>
      <c r="F43" s="454">
        <f t="shared" si="39"/>
        <v>31</v>
      </c>
      <c r="G43" s="79">
        <f t="shared" si="40"/>
        <v>15500000</v>
      </c>
      <c r="H43" s="79"/>
      <c r="I43" s="79">
        <f>G43*0.8</f>
        <v>12400000</v>
      </c>
      <c r="J43" s="79"/>
      <c r="K43" s="79"/>
      <c r="L43" s="79">
        <f>G43*0.2</f>
        <v>3100000</v>
      </c>
      <c r="M43" s="79"/>
      <c r="N43" s="79"/>
      <c r="O43" s="80"/>
      <c r="P43" s="80"/>
      <c r="Q43" s="76"/>
      <c r="R43" s="54">
        <v>5</v>
      </c>
      <c r="S43" s="54"/>
      <c r="T43" s="54">
        <v>15</v>
      </c>
      <c r="U43" s="54">
        <v>9</v>
      </c>
      <c r="V43" s="53">
        <f t="shared" si="41"/>
        <v>2500000</v>
      </c>
      <c r="W43" s="53">
        <f t="shared" si="42"/>
        <v>0</v>
      </c>
      <c r="X43" s="53">
        <f t="shared" si="43"/>
        <v>7500000</v>
      </c>
      <c r="Y43" s="53">
        <f t="shared" si="44"/>
        <v>4500000</v>
      </c>
      <c r="Z43" s="47">
        <v>4</v>
      </c>
      <c r="AA43" s="53">
        <f t="shared" si="12"/>
        <v>2000000</v>
      </c>
      <c r="AB43" s="47">
        <v>1</v>
      </c>
      <c r="AC43" s="53">
        <f t="shared" si="13"/>
        <v>500000</v>
      </c>
      <c r="AD43" s="47">
        <v>1</v>
      </c>
      <c r="AE43" s="53">
        <f t="shared" si="14"/>
        <v>500000</v>
      </c>
      <c r="AF43" s="47">
        <v>3</v>
      </c>
      <c r="AG43" s="53">
        <f t="shared" si="15"/>
        <v>1500000</v>
      </c>
      <c r="AH43" s="47">
        <v>3</v>
      </c>
      <c r="AI43" s="53">
        <f t="shared" si="16"/>
        <v>1500000</v>
      </c>
      <c r="AJ43" s="47">
        <v>1</v>
      </c>
      <c r="AK43" s="53">
        <f t="shared" si="45"/>
        <v>500000</v>
      </c>
      <c r="AL43" s="47">
        <v>5</v>
      </c>
      <c r="AM43" s="53">
        <f t="shared" si="18"/>
        <v>2500000</v>
      </c>
      <c r="AN43" s="47">
        <v>1</v>
      </c>
      <c r="AO43" s="53">
        <f>AN43*E43</f>
        <v>500000</v>
      </c>
      <c r="AP43" s="47">
        <v>1</v>
      </c>
      <c r="AQ43" s="53">
        <f t="shared" si="20"/>
        <v>500000</v>
      </c>
      <c r="AR43" s="47">
        <v>1</v>
      </c>
      <c r="AS43" s="53">
        <f t="shared" si="21"/>
        <v>500000</v>
      </c>
      <c r="AT43" s="641">
        <v>1</v>
      </c>
      <c r="AU43" s="53">
        <f>AT43*E43</f>
        <v>500000</v>
      </c>
      <c r="AV43" s="47">
        <v>2</v>
      </c>
      <c r="AW43" s="53">
        <f>AV43*E43</f>
        <v>1000000</v>
      </c>
      <c r="AX43" s="47">
        <v>1</v>
      </c>
      <c r="AY43" s="53">
        <f>AX43*E43</f>
        <v>500000</v>
      </c>
      <c r="AZ43" s="47">
        <v>2</v>
      </c>
      <c r="BA43" s="53">
        <f t="shared" si="22"/>
        <v>1000000</v>
      </c>
      <c r="BB43" s="47">
        <v>2</v>
      </c>
      <c r="BC43" s="53">
        <f t="shared" si="23"/>
        <v>1000000</v>
      </c>
      <c r="BD43" s="47">
        <v>2</v>
      </c>
      <c r="BE43" s="53">
        <f t="shared" si="24"/>
        <v>1000000</v>
      </c>
      <c r="BF43" s="47">
        <v>0</v>
      </c>
      <c r="BG43" s="53">
        <f t="shared" si="25"/>
        <v>0</v>
      </c>
      <c r="BH43" s="47"/>
      <c r="BI43" s="53">
        <f t="shared" si="26"/>
        <v>0</v>
      </c>
      <c r="BJ43" s="47">
        <f t="shared" si="46"/>
        <v>31</v>
      </c>
      <c r="BK43" s="117">
        <f t="shared" si="36"/>
        <v>15500000</v>
      </c>
      <c r="BL43" s="341" t="s">
        <v>474</v>
      </c>
      <c r="BN43" s="113">
        <f t="shared" si="48"/>
        <v>15500000</v>
      </c>
      <c r="BO43" s="113"/>
      <c r="BP43" s="113"/>
      <c r="BQ43" s="113"/>
      <c r="BR43" s="113">
        <f t="shared" si="47"/>
        <v>15500000</v>
      </c>
      <c r="BS43" s="113"/>
      <c r="BT43" s="113"/>
      <c r="BU43" s="113"/>
      <c r="BV43" s="181">
        <f t="shared" si="2"/>
        <v>15500000</v>
      </c>
    </row>
    <row r="44" spans="1:74" x14ac:dyDescent="0.25">
      <c r="A44" s="955"/>
      <c r="B44" s="56"/>
      <c r="C44" s="38" t="s">
        <v>234</v>
      </c>
      <c r="D44" s="38" t="s">
        <v>35</v>
      </c>
      <c r="E44" s="375">
        <f>0.05*100000</f>
        <v>5000</v>
      </c>
      <c r="F44" s="454">
        <f t="shared" si="39"/>
        <v>318</v>
      </c>
      <c r="G44" s="79">
        <f t="shared" si="40"/>
        <v>1590000</v>
      </c>
      <c r="H44" s="79">
        <f>G44*0</f>
        <v>0</v>
      </c>
      <c r="I44" s="79">
        <f>G44*0.8</f>
        <v>1272000</v>
      </c>
      <c r="J44" s="79">
        <f>G44*0</f>
        <v>0</v>
      </c>
      <c r="K44" s="79">
        <f>G44*0</f>
        <v>0</v>
      </c>
      <c r="L44" s="79">
        <f>G44*0.2</f>
        <v>318000</v>
      </c>
      <c r="M44" s="79">
        <f>G44*0</f>
        <v>0</v>
      </c>
      <c r="N44" s="79">
        <f>G44*0</f>
        <v>0</v>
      </c>
      <c r="O44" s="80">
        <f>G44*0</f>
        <v>0</v>
      </c>
      <c r="P44" s="80">
        <f>G44*0</f>
        <v>0</v>
      </c>
      <c r="Q44" s="76">
        <f>G44*0</f>
        <v>0</v>
      </c>
      <c r="R44" s="54"/>
      <c r="S44" s="54">
        <f t="shared" si="5"/>
        <v>127.2</v>
      </c>
      <c r="T44" s="54">
        <f t="shared" si="6"/>
        <v>95.399999999999991</v>
      </c>
      <c r="U44" s="54">
        <f t="shared" si="7"/>
        <v>95.399999999999991</v>
      </c>
      <c r="V44" s="53">
        <f t="shared" si="41"/>
        <v>0</v>
      </c>
      <c r="W44" s="53">
        <f t="shared" si="42"/>
        <v>636000</v>
      </c>
      <c r="X44" s="53">
        <f t="shared" si="43"/>
        <v>476999.99999999994</v>
      </c>
      <c r="Y44" s="53">
        <f t="shared" si="44"/>
        <v>476999.99999999994</v>
      </c>
      <c r="Z44" s="47">
        <v>45</v>
      </c>
      <c r="AA44" s="53">
        <f t="shared" si="12"/>
        <v>225000</v>
      </c>
      <c r="AB44" s="47">
        <v>2</v>
      </c>
      <c r="AC44" s="53">
        <f t="shared" si="13"/>
        <v>10000</v>
      </c>
      <c r="AD44" s="47">
        <v>0</v>
      </c>
      <c r="AE44" s="53">
        <f t="shared" si="14"/>
        <v>0</v>
      </c>
      <c r="AF44" s="47">
        <v>50</v>
      </c>
      <c r="AG44" s="53">
        <f t="shared" si="15"/>
        <v>250000</v>
      </c>
      <c r="AH44" s="47">
        <v>25</v>
      </c>
      <c r="AI44" s="53">
        <f t="shared" si="16"/>
        <v>125000</v>
      </c>
      <c r="AJ44" s="47">
        <v>20</v>
      </c>
      <c r="AK44" s="53">
        <f t="shared" si="45"/>
        <v>100000</v>
      </c>
      <c r="AL44" s="47">
        <v>0</v>
      </c>
      <c r="AM44" s="53">
        <f t="shared" si="18"/>
        <v>0</v>
      </c>
      <c r="AN44" s="47">
        <v>0</v>
      </c>
      <c r="AO44" s="53">
        <f>AN44*E44</f>
        <v>0</v>
      </c>
      <c r="AP44" s="47">
        <v>0</v>
      </c>
      <c r="AQ44" s="53">
        <f t="shared" si="20"/>
        <v>0</v>
      </c>
      <c r="AR44" s="47">
        <v>32</v>
      </c>
      <c r="AS44" s="53">
        <f t="shared" si="21"/>
        <v>160000</v>
      </c>
      <c r="AT44" s="641">
        <v>40</v>
      </c>
      <c r="AU44" s="53">
        <f>AT44*E44</f>
        <v>200000</v>
      </c>
      <c r="AV44" s="47">
        <v>10</v>
      </c>
      <c r="AW44" s="53">
        <f>AV44*E44</f>
        <v>50000</v>
      </c>
      <c r="AX44" s="47">
        <v>0</v>
      </c>
      <c r="AY44" s="53">
        <f>AX44*E44</f>
        <v>0</v>
      </c>
      <c r="AZ44" s="47">
        <v>50</v>
      </c>
      <c r="BA44" s="53">
        <f t="shared" si="22"/>
        <v>250000</v>
      </c>
      <c r="BB44" s="47">
        <v>10</v>
      </c>
      <c r="BC44" s="53">
        <f t="shared" si="23"/>
        <v>50000</v>
      </c>
      <c r="BD44" s="47">
        <v>0</v>
      </c>
      <c r="BE44" s="53">
        <f t="shared" si="24"/>
        <v>0</v>
      </c>
      <c r="BF44" s="47">
        <v>34</v>
      </c>
      <c r="BG44" s="53">
        <f t="shared" si="25"/>
        <v>170000</v>
      </c>
      <c r="BH44" s="47">
        <v>0</v>
      </c>
      <c r="BI44" s="53">
        <f t="shared" si="26"/>
        <v>0</v>
      </c>
      <c r="BJ44" s="47">
        <f t="shared" si="46"/>
        <v>318</v>
      </c>
      <c r="BK44" s="117">
        <f t="shared" si="36"/>
        <v>1590000</v>
      </c>
      <c r="BL44" s="341" t="s">
        <v>474</v>
      </c>
      <c r="BN44" s="113">
        <f t="shared" si="48"/>
        <v>1590000</v>
      </c>
      <c r="BO44" s="113"/>
      <c r="BP44" s="113"/>
      <c r="BQ44" s="113"/>
      <c r="BR44" s="113">
        <f t="shared" si="47"/>
        <v>1590000</v>
      </c>
      <c r="BS44" s="113"/>
      <c r="BT44" s="113"/>
      <c r="BU44" s="113">
        <f>BS44+BT44</f>
        <v>0</v>
      </c>
      <c r="BV44" s="181">
        <f t="shared" si="2"/>
        <v>1590000</v>
      </c>
    </row>
    <row r="45" spans="1:74" x14ac:dyDescent="0.25">
      <c r="A45" s="955"/>
      <c r="B45" s="56"/>
      <c r="C45" s="353" t="s">
        <v>845</v>
      </c>
      <c r="D45" s="353"/>
      <c r="E45" s="456">
        <v>10000000</v>
      </c>
      <c r="F45" s="454">
        <f t="shared" si="39"/>
        <v>4</v>
      </c>
      <c r="G45" s="79">
        <f t="shared" si="40"/>
        <v>40000000</v>
      </c>
      <c r="H45" s="120"/>
      <c r="I45" s="120"/>
      <c r="J45" s="120"/>
      <c r="K45" s="120"/>
      <c r="L45" s="120">
        <f>G45</f>
        <v>40000000</v>
      </c>
      <c r="M45" s="120"/>
      <c r="N45" s="120"/>
      <c r="O45" s="121"/>
      <c r="P45" s="121"/>
      <c r="Q45" s="122"/>
      <c r="R45" s="217">
        <v>1</v>
      </c>
      <c r="S45" s="54">
        <v>1</v>
      </c>
      <c r="T45" s="54">
        <v>1</v>
      </c>
      <c r="U45" s="54">
        <v>1</v>
      </c>
      <c r="V45" s="53">
        <f t="shared" si="41"/>
        <v>10000000</v>
      </c>
      <c r="W45" s="53">
        <f t="shared" si="42"/>
        <v>10000000</v>
      </c>
      <c r="X45" s="53">
        <f t="shared" si="43"/>
        <v>10000000</v>
      </c>
      <c r="Y45" s="53">
        <f t="shared" si="44"/>
        <v>10000000</v>
      </c>
      <c r="Z45" s="124"/>
      <c r="AA45" s="53">
        <f t="shared" si="12"/>
        <v>0</v>
      </c>
      <c r="AB45" s="124"/>
      <c r="AC45" s="218"/>
      <c r="AD45" s="124"/>
      <c r="AE45" s="218"/>
      <c r="AF45" s="124">
        <v>1</v>
      </c>
      <c r="AG45" s="53">
        <f t="shared" si="15"/>
        <v>10000000</v>
      </c>
      <c r="AH45" s="124"/>
      <c r="AI45" s="53">
        <f t="shared" si="16"/>
        <v>0</v>
      </c>
      <c r="AJ45" s="124">
        <v>1</v>
      </c>
      <c r="AK45" s="53">
        <f t="shared" si="45"/>
        <v>10000000</v>
      </c>
      <c r="AL45" s="124"/>
      <c r="AM45" s="218"/>
      <c r="AN45" s="124"/>
      <c r="AO45" s="218"/>
      <c r="AP45" s="124"/>
      <c r="AQ45" s="53">
        <f t="shared" si="20"/>
        <v>0</v>
      </c>
      <c r="AR45" s="124"/>
      <c r="AS45" s="218"/>
      <c r="AT45" s="124"/>
      <c r="AU45" s="218"/>
      <c r="AV45" s="124"/>
      <c r="AW45" s="218"/>
      <c r="AX45" s="124"/>
      <c r="AY45" s="218"/>
      <c r="AZ45" s="124">
        <v>1</v>
      </c>
      <c r="BA45" s="53">
        <f t="shared" si="22"/>
        <v>10000000</v>
      </c>
      <c r="BB45" s="124"/>
      <c r="BC45" s="53">
        <f t="shared" si="23"/>
        <v>0</v>
      </c>
      <c r="BD45" s="124">
        <v>1</v>
      </c>
      <c r="BE45" s="53">
        <f t="shared" si="24"/>
        <v>10000000</v>
      </c>
      <c r="BF45" s="124"/>
      <c r="BG45" s="218"/>
      <c r="BH45" s="124"/>
      <c r="BI45" s="218"/>
      <c r="BJ45" s="47">
        <f t="shared" si="46"/>
        <v>4</v>
      </c>
      <c r="BK45" s="117">
        <f>AA45+AC45+AE45+AG45+AI45+AK45+AM45+AO45+AQ45+AS45+AU45+AW45+AY45+BA45+BC45+BE45+BG45+BI45</f>
        <v>40000000</v>
      </c>
      <c r="BL45" s="341" t="s">
        <v>846</v>
      </c>
      <c r="BN45" s="113">
        <f t="shared" si="48"/>
        <v>40000000</v>
      </c>
      <c r="BO45" s="125"/>
      <c r="BP45" s="125"/>
      <c r="BQ45" s="125"/>
      <c r="BR45" s="113">
        <f t="shared" si="47"/>
        <v>40000000</v>
      </c>
      <c r="BS45" s="125"/>
      <c r="BT45" s="125"/>
      <c r="BU45" s="125"/>
      <c r="BV45" s="181">
        <f t="shared" si="2"/>
        <v>40000000</v>
      </c>
    </row>
    <row r="46" spans="1:74" x14ac:dyDescent="0.25">
      <c r="A46" s="955"/>
      <c r="B46" s="56"/>
      <c r="C46" s="353" t="s">
        <v>852</v>
      </c>
      <c r="D46" s="353"/>
      <c r="E46" s="456">
        <v>2000000</v>
      </c>
      <c r="F46" s="454">
        <f>BJ46</f>
        <v>6</v>
      </c>
      <c r="G46" s="79">
        <f>E46*F46</f>
        <v>12000000</v>
      </c>
      <c r="H46" s="120"/>
      <c r="I46" s="120"/>
      <c r="J46" s="120"/>
      <c r="K46" s="120"/>
      <c r="L46" s="120">
        <f>G46</f>
        <v>12000000</v>
      </c>
      <c r="M46" s="120"/>
      <c r="N46" s="120"/>
      <c r="O46" s="121"/>
      <c r="P46" s="121"/>
      <c r="Q46" s="122"/>
      <c r="R46" s="217"/>
      <c r="S46" s="217"/>
      <c r="T46" s="217"/>
      <c r="U46" s="217"/>
      <c r="V46" s="218"/>
      <c r="W46" s="218"/>
      <c r="X46" s="218"/>
      <c r="Y46" s="218"/>
      <c r="Z46" s="124"/>
      <c r="AA46" s="53">
        <f t="shared" si="12"/>
        <v>0</v>
      </c>
      <c r="AB46" s="124"/>
      <c r="AC46" s="218"/>
      <c r="AD46" s="124"/>
      <c r="AE46" s="218"/>
      <c r="AF46" s="124">
        <v>1</v>
      </c>
      <c r="AG46" s="218">
        <f t="shared" si="15"/>
        <v>2000000</v>
      </c>
      <c r="AH46" s="124">
        <v>1</v>
      </c>
      <c r="AI46" s="53">
        <f t="shared" si="16"/>
        <v>2000000</v>
      </c>
      <c r="AJ46" s="124">
        <v>1</v>
      </c>
      <c r="AK46" s="218">
        <f t="shared" si="45"/>
        <v>2000000</v>
      </c>
      <c r="AL46" s="124"/>
      <c r="AM46" s="218"/>
      <c r="AN46" s="124"/>
      <c r="AO46" s="218"/>
      <c r="AP46" s="124">
        <v>1</v>
      </c>
      <c r="AQ46" s="53">
        <f t="shared" si="20"/>
        <v>2000000</v>
      </c>
      <c r="AR46" s="124"/>
      <c r="AS46" s="218"/>
      <c r="AT46" s="124"/>
      <c r="AU46" s="218"/>
      <c r="AV46" s="124"/>
      <c r="AW46" s="218"/>
      <c r="AX46" s="124"/>
      <c r="AY46" s="218"/>
      <c r="AZ46" s="124">
        <v>1</v>
      </c>
      <c r="BA46" s="218">
        <f t="shared" si="22"/>
        <v>2000000</v>
      </c>
      <c r="BB46" s="124">
        <v>1</v>
      </c>
      <c r="BC46" s="53">
        <f t="shared" si="23"/>
        <v>2000000</v>
      </c>
      <c r="BD46" s="124"/>
      <c r="BE46" s="218"/>
      <c r="BF46" s="124"/>
      <c r="BG46" s="218"/>
      <c r="BH46" s="124"/>
      <c r="BI46" s="218"/>
      <c r="BJ46" s="47">
        <f t="shared" si="46"/>
        <v>6</v>
      </c>
      <c r="BK46" s="117">
        <f>AA46+AC46+AE46+AG46+AI46+AK46+AM46+AO46+AQ46+AS46+AU46+AW46+AY46+BA46+BC46+BE46+BG46+BI46</f>
        <v>12000000</v>
      </c>
      <c r="BL46" s="341" t="s">
        <v>846</v>
      </c>
      <c r="BN46" s="113">
        <f t="shared" si="48"/>
        <v>12000000</v>
      </c>
      <c r="BO46" s="125"/>
      <c r="BP46" s="125"/>
      <c r="BQ46" s="125"/>
      <c r="BR46" s="113">
        <f t="shared" si="47"/>
        <v>12000000</v>
      </c>
      <c r="BS46" s="125"/>
      <c r="BT46" s="125"/>
      <c r="BU46" s="125"/>
      <c r="BV46" s="181">
        <f t="shared" si="2"/>
        <v>12000000</v>
      </c>
    </row>
    <row r="47" spans="1:74" x14ac:dyDescent="0.25">
      <c r="A47" s="955"/>
      <c r="B47" s="58"/>
      <c r="C47" s="205"/>
      <c r="D47" s="58"/>
      <c r="E47" s="58"/>
      <c r="F47" s="59">
        <f>SUM(F40:F46)</f>
        <v>464</v>
      </c>
      <c r="G47" s="59">
        <f t="shared" ref="G47:BK47" si="49">SUM(G40:G46)</f>
        <v>82890000</v>
      </c>
      <c r="H47" s="59">
        <f t="shared" si="49"/>
        <v>0</v>
      </c>
      <c r="I47" s="59">
        <f t="shared" si="49"/>
        <v>24712000</v>
      </c>
      <c r="J47" s="59">
        <f t="shared" si="49"/>
        <v>0</v>
      </c>
      <c r="K47" s="59">
        <f t="shared" si="49"/>
        <v>0</v>
      </c>
      <c r="L47" s="59">
        <f t="shared" si="49"/>
        <v>58178000</v>
      </c>
      <c r="M47" s="59">
        <f t="shared" si="49"/>
        <v>0</v>
      </c>
      <c r="N47" s="59">
        <f t="shared" si="49"/>
        <v>0</v>
      </c>
      <c r="O47" s="59">
        <f t="shared" si="49"/>
        <v>0</v>
      </c>
      <c r="P47" s="59">
        <f t="shared" si="49"/>
        <v>0</v>
      </c>
      <c r="Q47" s="59">
        <f t="shared" si="49"/>
        <v>0</v>
      </c>
      <c r="R47" s="59">
        <f t="shared" si="49"/>
        <v>30</v>
      </c>
      <c r="S47" s="59">
        <f t="shared" si="49"/>
        <v>158.19999999999999</v>
      </c>
      <c r="T47" s="59">
        <f t="shared" si="49"/>
        <v>161.39999999999998</v>
      </c>
      <c r="U47" s="59">
        <f t="shared" si="49"/>
        <v>137.39999999999998</v>
      </c>
      <c r="V47" s="59">
        <f t="shared" si="49"/>
        <v>14800000</v>
      </c>
      <c r="W47" s="59">
        <f t="shared" si="49"/>
        <v>12136000</v>
      </c>
      <c r="X47" s="59">
        <f t="shared" si="49"/>
        <v>23977000</v>
      </c>
      <c r="Y47" s="59">
        <f t="shared" si="49"/>
        <v>18477000</v>
      </c>
      <c r="Z47" s="59">
        <f t="shared" si="49"/>
        <v>54</v>
      </c>
      <c r="AA47" s="59">
        <f t="shared" si="49"/>
        <v>2925000</v>
      </c>
      <c r="AB47" s="59">
        <f t="shared" si="49"/>
        <v>9</v>
      </c>
      <c r="AC47" s="59">
        <f t="shared" si="49"/>
        <v>1260000</v>
      </c>
      <c r="AD47" s="59">
        <f t="shared" si="49"/>
        <v>2</v>
      </c>
      <c r="AE47" s="59">
        <f t="shared" si="49"/>
        <v>1000000</v>
      </c>
      <c r="AF47" s="59">
        <f t="shared" si="49"/>
        <v>62</v>
      </c>
      <c r="AG47" s="59">
        <f t="shared" si="49"/>
        <v>14550000</v>
      </c>
      <c r="AH47" s="59">
        <f t="shared" si="49"/>
        <v>32</v>
      </c>
      <c r="AI47" s="59">
        <f t="shared" si="49"/>
        <v>4225000</v>
      </c>
      <c r="AJ47" s="59">
        <f t="shared" si="49"/>
        <v>28</v>
      </c>
      <c r="AK47" s="59">
        <f t="shared" si="49"/>
        <v>13300000</v>
      </c>
      <c r="AL47" s="59">
        <f t="shared" si="49"/>
        <v>11</v>
      </c>
      <c r="AM47" s="59">
        <f t="shared" si="49"/>
        <v>3250000</v>
      </c>
      <c r="AN47" s="59">
        <f t="shared" si="49"/>
        <v>11</v>
      </c>
      <c r="AO47" s="59">
        <f t="shared" si="49"/>
        <v>1900000</v>
      </c>
      <c r="AP47" s="59">
        <f t="shared" si="49"/>
        <v>5</v>
      </c>
      <c r="AQ47" s="59">
        <f t="shared" si="49"/>
        <v>3100000</v>
      </c>
      <c r="AR47" s="59">
        <f t="shared" si="49"/>
        <v>38</v>
      </c>
      <c r="AS47" s="59">
        <f t="shared" si="49"/>
        <v>1810000</v>
      </c>
      <c r="AT47" s="59">
        <f t="shared" si="49"/>
        <v>48</v>
      </c>
      <c r="AU47" s="59">
        <f t="shared" si="49"/>
        <v>1500000</v>
      </c>
      <c r="AV47" s="59">
        <f t="shared" si="49"/>
        <v>18</v>
      </c>
      <c r="AW47" s="59">
        <f t="shared" si="49"/>
        <v>1800000</v>
      </c>
      <c r="AX47" s="59">
        <f t="shared" si="49"/>
        <v>12</v>
      </c>
      <c r="AY47" s="59">
        <f t="shared" si="49"/>
        <v>1500000</v>
      </c>
      <c r="AZ47" s="59">
        <f t="shared" si="49"/>
        <v>64</v>
      </c>
      <c r="BA47" s="59">
        <f t="shared" si="49"/>
        <v>14200000</v>
      </c>
      <c r="BB47" s="59">
        <f t="shared" si="49"/>
        <v>17</v>
      </c>
      <c r="BC47" s="59">
        <f t="shared" si="49"/>
        <v>3700000</v>
      </c>
      <c r="BD47" s="59">
        <f t="shared" si="49"/>
        <v>10</v>
      </c>
      <c r="BE47" s="59">
        <f t="shared" si="49"/>
        <v>11800000</v>
      </c>
      <c r="BF47" s="59">
        <f t="shared" si="49"/>
        <v>43</v>
      </c>
      <c r="BG47" s="59">
        <f t="shared" si="49"/>
        <v>1070000</v>
      </c>
      <c r="BH47" s="59">
        <f t="shared" si="49"/>
        <v>0</v>
      </c>
      <c r="BI47" s="59">
        <f t="shared" si="49"/>
        <v>0</v>
      </c>
      <c r="BJ47" s="59">
        <f t="shared" si="49"/>
        <v>464</v>
      </c>
      <c r="BK47" s="59">
        <f t="shared" si="49"/>
        <v>82890000</v>
      </c>
      <c r="BL47" s="139">
        <f>SUM(BL40:BL44)</f>
        <v>0</v>
      </c>
      <c r="BM47" s="219"/>
      <c r="BN47" s="139">
        <f>SUM(BN40:BN46)</f>
        <v>78590000</v>
      </c>
      <c r="BO47" s="139">
        <f t="shared" ref="BO47:BV47" si="50">SUM(BO40:BO46)</f>
        <v>0</v>
      </c>
      <c r="BP47" s="139">
        <f t="shared" si="50"/>
        <v>4300000</v>
      </c>
      <c r="BQ47" s="139">
        <f t="shared" si="50"/>
        <v>0</v>
      </c>
      <c r="BR47" s="139">
        <f t="shared" si="50"/>
        <v>82890000</v>
      </c>
      <c r="BS47" s="139">
        <f t="shared" si="50"/>
        <v>0</v>
      </c>
      <c r="BT47" s="139">
        <f t="shared" si="50"/>
        <v>0</v>
      </c>
      <c r="BU47" s="139">
        <f t="shared" si="50"/>
        <v>0</v>
      </c>
      <c r="BV47" s="139">
        <f t="shared" si="50"/>
        <v>82890000</v>
      </c>
    </row>
    <row r="48" spans="1:74" x14ac:dyDescent="0.25">
      <c r="A48" s="955"/>
      <c r="B48" s="56">
        <v>32300</v>
      </c>
      <c r="C48" s="216" t="s">
        <v>235</v>
      </c>
      <c r="D48" s="38"/>
      <c r="E48" s="375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53"/>
      <c r="R48" s="54"/>
      <c r="S48" s="54">
        <f t="shared" si="5"/>
        <v>0</v>
      </c>
      <c r="T48" s="54">
        <f t="shared" si="6"/>
        <v>0</v>
      </c>
      <c r="U48" s="54">
        <f t="shared" si="7"/>
        <v>0</v>
      </c>
      <c r="V48" s="53"/>
      <c r="W48" s="53"/>
      <c r="X48" s="53"/>
      <c r="Y48" s="53"/>
      <c r="Z48" s="47"/>
      <c r="AA48" s="53">
        <f t="shared" si="12"/>
        <v>0</v>
      </c>
      <c r="AB48" s="47"/>
      <c r="AC48" s="53">
        <f t="shared" si="13"/>
        <v>0</v>
      </c>
      <c r="AD48" s="47"/>
      <c r="AE48" s="53">
        <f t="shared" si="14"/>
        <v>0</v>
      </c>
      <c r="AF48" s="47"/>
      <c r="AG48" s="53">
        <f t="shared" si="15"/>
        <v>0</v>
      </c>
      <c r="AH48" s="47"/>
      <c r="AI48" s="53">
        <f t="shared" si="16"/>
        <v>0</v>
      </c>
      <c r="AJ48" s="47"/>
      <c r="AK48" s="53"/>
      <c r="AL48" s="47"/>
      <c r="AM48" s="53">
        <f t="shared" si="18"/>
        <v>0</v>
      </c>
      <c r="AN48" s="47"/>
      <c r="AO48" s="53"/>
      <c r="AP48" s="47"/>
      <c r="AQ48" s="53">
        <f t="shared" si="20"/>
        <v>0</v>
      </c>
      <c r="AR48" s="47"/>
      <c r="AS48" s="53">
        <f t="shared" si="21"/>
        <v>0</v>
      </c>
      <c r="AT48" s="47"/>
      <c r="AU48" s="53"/>
      <c r="AV48" s="47"/>
      <c r="AW48" s="53"/>
      <c r="AX48" s="47"/>
      <c r="AY48" s="53"/>
      <c r="AZ48" s="47"/>
      <c r="BA48" s="53">
        <f t="shared" si="22"/>
        <v>0</v>
      </c>
      <c r="BB48" s="47"/>
      <c r="BC48" s="53">
        <f t="shared" si="23"/>
        <v>0</v>
      </c>
      <c r="BD48" s="47"/>
      <c r="BE48" s="53"/>
      <c r="BF48" s="47"/>
      <c r="BG48" s="53">
        <f t="shared" si="25"/>
        <v>0</v>
      </c>
      <c r="BH48" s="47"/>
      <c r="BI48" s="53">
        <f t="shared" si="26"/>
        <v>0</v>
      </c>
      <c r="BJ48" s="47"/>
      <c r="BK48" s="117">
        <f t="shared" si="36"/>
        <v>0</v>
      </c>
      <c r="BL48" s="47"/>
      <c r="BN48" s="113"/>
      <c r="BO48" s="113"/>
      <c r="BP48" s="113"/>
      <c r="BQ48" s="113"/>
      <c r="BR48" s="113"/>
      <c r="BS48" s="113"/>
      <c r="BT48" s="113"/>
      <c r="BU48" s="113"/>
      <c r="BV48" s="181">
        <f t="shared" si="2"/>
        <v>0</v>
      </c>
    </row>
    <row r="49" spans="1:160" x14ac:dyDescent="0.25">
      <c r="A49" s="955"/>
      <c r="B49" s="56"/>
      <c r="C49" s="38" t="s">
        <v>236</v>
      </c>
      <c r="D49" s="38" t="s">
        <v>72</v>
      </c>
      <c r="E49" s="375">
        <f>1*100000</f>
        <v>100000</v>
      </c>
      <c r="F49" s="60">
        <f>BJ49</f>
        <v>1</v>
      </c>
      <c r="G49" s="79">
        <f>E49*F49</f>
        <v>100000</v>
      </c>
      <c r="H49" s="79">
        <f>G49*0.2</f>
        <v>20000</v>
      </c>
      <c r="I49" s="79">
        <f>G49*0.8</f>
        <v>80000</v>
      </c>
      <c r="J49" s="79">
        <f>G49*0</f>
        <v>0</v>
      </c>
      <c r="K49" s="79">
        <f>G49*0</f>
        <v>0</v>
      </c>
      <c r="L49" s="79">
        <f>G49*0</f>
        <v>0</v>
      </c>
      <c r="M49" s="79">
        <f>G49*0</f>
        <v>0</v>
      </c>
      <c r="N49" s="79">
        <f>G49*0</f>
        <v>0</v>
      </c>
      <c r="O49" s="80">
        <f>G49*0</f>
        <v>0</v>
      </c>
      <c r="P49" s="80">
        <f>G49*0</f>
        <v>0</v>
      </c>
      <c r="Q49" s="76">
        <f>G49*0</f>
        <v>0</v>
      </c>
      <c r="R49" s="54"/>
      <c r="S49" s="54">
        <f t="shared" si="5"/>
        <v>0.4</v>
      </c>
      <c r="T49" s="54">
        <v>1</v>
      </c>
      <c r="U49" s="54">
        <f t="shared" si="7"/>
        <v>0.3</v>
      </c>
      <c r="V49" s="53">
        <f>R49*E49</f>
        <v>0</v>
      </c>
      <c r="W49" s="53">
        <f>S49*E49</f>
        <v>40000</v>
      </c>
      <c r="X49" s="53">
        <f>T49*E49</f>
        <v>100000</v>
      </c>
      <c r="Y49" s="53">
        <f>U49*E49</f>
        <v>30000</v>
      </c>
      <c r="Z49" s="47">
        <v>0</v>
      </c>
      <c r="AA49" s="53">
        <f t="shared" si="12"/>
        <v>0</v>
      </c>
      <c r="AB49" s="47">
        <v>0</v>
      </c>
      <c r="AC49" s="53">
        <f t="shared" si="13"/>
        <v>0</v>
      </c>
      <c r="AD49" s="47">
        <v>0</v>
      </c>
      <c r="AE49" s="53">
        <f t="shared" si="14"/>
        <v>0</v>
      </c>
      <c r="AF49" s="47">
        <v>0</v>
      </c>
      <c r="AG49" s="53">
        <f t="shared" si="15"/>
        <v>0</v>
      </c>
      <c r="AH49" s="47">
        <v>0</v>
      </c>
      <c r="AI49" s="53">
        <f t="shared" si="16"/>
        <v>0</v>
      </c>
      <c r="AJ49" s="47">
        <v>0</v>
      </c>
      <c r="AK49" s="53">
        <f>AJ49*E49</f>
        <v>0</v>
      </c>
      <c r="AL49" s="47">
        <v>0</v>
      </c>
      <c r="AM49" s="53">
        <f t="shared" si="18"/>
        <v>0</v>
      </c>
      <c r="AN49" s="47">
        <v>0</v>
      </c>
      <c r="AO49" s="53">
        <f>AN49*E49</f>
        <v>0</v>
      </c>
      <c r="AP49" s="47">
        <v>0</v>
      </c>
      <c r="AQ49" s="53">
        <f t="shared" si="20"/>
        <v>0</v>
      </c>
      <c r="AR49" s="47">
        <v>0</v>
      </c>
      <c r="AS49" s="53">
        <f t="shared" si="21"/>
        <v>0</v>
      </c>
      <c r="AT49" s="47">
        <v>0</v>
      </c>
      <c r="AU49" s="53">
        <f>AT49*E49</f>
        <v>0</v>
      </c>
      <c r="AV49" s="47">
        <v>0</v>
      </c>
      <c r="AW49" s="53">
        <f>AV49*E49</f>
        <v>0</v>
      </c>
      <c r="AX49" s="47">
        <v>0</v>
      </c>
      <c r="AY49" s="53">
        <f>AX49*E49</f>
        <v>0</v>
      </c>
      <c r="AZ49" s="47">
        <v>0</v>
      </c>
      <c r="BA49" s="53">
        <f t="shared" si="22"/>
        <v>0</v>
      </c>
      <c r="BB49" s="47">
        <v>0</v>
      </c>
      <c r="BC49" s="53">
        <f t="shared" si="23"/>
        <v>0</v>
      </c>
      <c r="BD49" s="47">
        <v>0</v>
      </c>
      <c r="BE49" s="53">
        <f>BD49*100000</f>
        <v>0</v>
      </c>
      <c r="BF49" s="47">
        <v>0</v>
      </c>
      <c r="BG49" s="53">
        <f t="shared" si="25"/>
        <v>0</v>
      </c>
      <c r="BH49" s="47">
        <v>1</v>
      </c>
      <c r="BI49" s="53">
        <f t="shared" si="26"/>
        <v>100000</v>
      </c>
      <c r="BJ49" s="47">
        <f>Z49+AB49+AD49+AF49+AH49+AJ49+AL49+AN49+AP49+AR49+AT49+AV49+AX49+AZ49+BB49+BD49+BF49+BH49</f>
        <v>1</v>
      </c>
      <c r="BK49" s="117">
        <f t="shared" si="36"/>
        <v>100000</v>
      </c>
      <c r="BL49" s="341" t="s">
        <v>469</v>
      </c>
      <c r="BN49" s="113"/>
      <c r="BO49" s="113"/>
      <c r="BP49" s="113">
        <f>G49</f>
        <v>100000</v>
      </c>
      <c r="BQ49" s="113"/>
      <c r="BR49" s="113">
        <f>BN49+BO49+BP49+BQ49</f>
        <v>100000</v>
      </c>
      <c r="BS49" s="113"/>
      <c r="BT49" s="113"/>
      <c r="BU49" s="113">
        <f>BS49+BT49</f>
        <v>0</v>
      </c>
      <c r="BV49" s="181">
        <f t="shared" si="2"/>
        <v>100000</v>
      </c>
    </row>
    <row r="50" spans="1:160" x14ac:dyDescent="0.25">
      <c r="A50" s="955"/>
      <c r="B50" s="55"/>
      <c r="C50" s="38" t="s">
        <v>237</v>
      </c>
      <c r="D50" s="38" t="s">
        <v>17</v>
      </c>
      <c r="E50" s="375">
        <f>2*100000</f>
        <v>200000</v>
      </c>
      <c r="F50" s="60">
        <f>BJ50</f>
        <v>1</v>
      </c>
      <c r="G50" s="79">
        <f>E50*F50</f>
        <v>200000</v>
      </c>
      <c r="H50" s="79">
        <f>G50*0.2</f>
        <v>40000</v>
      </c>
      <c r="I50" s="79">
        <f>G50*0.8</f>
        <v>160000</v>
      </c>
      <c r="J50" s="79">
        <f>G50*0</f>
        <v>0</v>
      </c>
      <c r="K50" s="79">
        <f>G50*0</f>
        <v>0</v>
      </c>
      <c r="L50" s="79">
        <f>G50*0</f>
        <v>0</v>
      </c>
      <c r="M50" s="79">
        <f>G50*0</f>
        <v>0</v>
      </c>
      <c r="N50" s="79">
        <f>G50*0</f>
        <v>0</v>
      </c>
      <c r="O50" s="80">
        <f>G50*0</f>
        <v>0</v>
      </c>
      <c r="P50" s="80">
        <f>G50*0</f>
        <v>0</v>
      </c>
      <c r="Q50" s="76">
        <f>G50*0</f>
        <v>0</v>
      </c>
      <c r="R50" s="54"/>
      <c r="S50" s="54">
        <f t="shared" si="5"/>
        <v>0.4</v>
      </c>
      <c r="T50" s="54">
        <v>1</v>
      </c>
      <c r="U50" s="54"/>
      <c r="V50" s="53">
        <f>R50*E50</f>
        <v>0</v>
      </c>
      <c r="W50" s="53">
        <f>S50*E50</f>
        <v>80000</v>
      </c>
      <c r="X50" s="53">
        <f>T50*E50</f>
        <v>200000</v>
      </c>
      <c r="Y50" s="53">
        <f>U50*E50</f>
        <v>0</v>
      </c>
      <c r="Z50" s="47">
        <v>0</v>
      </c>
      <c r="AA50" s="53">
        <f t="shared" si="12"/>
        <v>0</v>
      </c>
      <c r="AB50" s="47">
        <v>0</v>
      </c>
      <c r="AC50" s="53">
        <f t="shared" si="13"/>
        <v>0</v>
      </c>
      <c r="AD50" s="47">
        <v>0</v>
      </c>
      <c r="AE50" s="53">
        <f t="shared" si="14"/>
        <v>0</v>
      </c>
      <c r="AF50" s="47">
        <v>0</v>
      </c>
      <c r="AG50" s="53">
        <f t="shared" si="15"/>
        <v>0</v>
      </c>
      <c r="AH50" s="47">
        <v>0</v>
      </c>
      <c r="AI50" s="53">
        <f t="shared" si="16"/>
        <v>0</v>
      </c>
      <c r="AJ50" s="47">
        <v>0</v>
      </c>
      <c r="AK50" s="53">
        <f>AJ50*E50</f>
        <v>0</v>
      </c>
      <c r="AL50" s="47">
        <v>0</v>
      </c>
      <c r="AM50" s="53">
        <f t="shared" si="18"/>
        <v>0</v>
      </c>
      <c r="AN50" s="47">
        <v>0</v>
      </c>
      <c r="AO50" s="53">
        <f>AN50*E50</f>
        <v>0</v>
      </c>
      <c r="AP50" s="47">
        <v>0</v>
      </c>
      <c r="AQ50" s="53">
        <f t="shared" si="20"/>
        <v>0</v>
      </c>
      <c r="AR50" s="47">
        <v>0</v>
      </c>
      <c r="AS50" s="53">
        <f t="shared" si="21"/>
        <v>0</v>
      </c>
      <c r="AT50" s="47">
        <v>0</v>
      </c>
      <c r="AU50" s="53">
        <f>AT50*E50</f>
        <v>0</v>
      </c>
      <c r="AV50" s="47">
        <v>0</v>
      </c>
      <c r="AW50" s="53">
        <f>AV50*E50</f>
        <v>0</v>
      </c>
      <c r="AX50" s="47">
        <v>0</v>
      </c>
      <c r="AY50" s="53">
        <f>AX50*E50</f>
        <v>0</v>
      </c>
      <c r="AZ50" s="47">
        <v>0</v>
      </c>
      <c r="BA50" s="53">
        <f t="shared" si="22"/>
        <v>0</v>
      </c>
      <c r="BB50" s="47">
        <v>0</v>
      </c>
      <c r="BC50" s="53">
        <f t="shared" si="23"/>
        <v>0</v>
      </c>
      <c r="BD50" s="47">
        <v>0</v>
      </c>
      <c r="BE50" s="53">
        <f>BD50*200000</f>
        <v>0</v>
      </c>
      <c r="BF50" s="47">
        <v>0</v>
      </c>
      <c r="BG50" s="53">
        <f t="shared" si="25"/>
        <v>0</v>
      </c>
      <c r="BH50" s="47">
        <v>1</v>
      </c>
      <c r="BI50" s="53">
        <f t="shared" si="26"/>
        <v>200000</v>
      </c>
      <c r="BJ50" s="47">
        <f>Z50+AB50+AD50+AF50+AH50+AJ50+AL50+AN50+AP50+AR50+AT50+AV50+AX50+AZ50+BB50+BD50+BF50+BH50</f>
        <v>1</v>
      </c>
      <c r="BK50" s="117">
        <f t="shared" si="36"/>
        <v>200000</v>
      </c>
      <c r="BL50" s="341" t="s">
        <v>469</v>
      </c>
      <c r="BN50" s="113"/>
      <c r="BO50" s="113"/>
      <c r="BP50" s="113">
        <f>G50</f>
        <v>200000</v>
      </c>
      <c r="BQ50" s="113"/>
      <c r="BR50" s="113">
        <f>BN50+BO50+BP50+BQ50</f>
        <v>200000</v>
      </c>
      <c r="BS50" s="113"/>
      <c r="BT50" s="113"/>
      <c r="BU50" s="113">
        <f>BS50+BT50</f>
        <v>0</v>
      </c>
      <c r="BV50" s="181">
        <f t="shared" si="2"/>
        <v>200000</v>
      </c>
    </row>
    <row r="51" spans="1:160" x14ac:dyDescent="0.25">
      <c r="A51" s="955"/>
      <c r="B51" s="58"/>
      <c r="C51" s="206"/>
      <c r="D51" s="61"/>
      <c r="E51" s="61"/>
      <c r="F51" s="62">
        <f>SUM(F49:F50)</f>
        <v>2</v>
      </c>
      <c r="G51" s="62">
        <f t="shared" ref="G51:V51" si="51">SUM(G49:G50)</f>
        <v>300000</v>
      </c>
      <c r="H51" s="62">
        <f t="shared" si="51"/>
        <v>60000</v>
      </c>
      <c r="I51" s="62">
        <f t="shared" si="51"/>
        <v>240000</v>
      </c>
      <c r="J51" s="62">
        <f t="shared" si="51"/>
        <v>0</v>
      </c>
      <c r="K51" s="62">
        <f t="shared" si="51"/>
        <v>0</v>
      </c>
      <c r="L51" s="62">
        <f t="shared" si="51"/>
        <v>0</v>
      </c>
      <c r="M51" s="62">
        <f t="shared" si="51"/>
        <v>0</v>
      </c>
      <c r="N51" s="62">
        <f t="shared" si="51"/>
        <v>0</v>
      </c>
      <c r="O51" s="62">
        <f t="shared" si="51"/>
        <v>0</v>
      </c>
      <c r="P51" s="62">
        <f t="shared" si="51"/>
        <v>0</v>
      </c>
      <c r="Q51" s="62">
        <f t="shared" si="51"/>
        <v>0</v>
      </c>
      <c r="R51" s="62">
        <f t="shared" si="51"/>
        <v>0</v>
      </c>
      <c r="S51" s="62">
        <f t="shared" si="51"/>
        <v>0.8</v>
      </c>
      <c r="T51" s="62">
        <f t="shared" si="51"/>
        <v>2</v>
      </c>
      <c r="U51" s="62">
        <f t="shared" si="51"/>
        <v>0.3</v>
      </c>
      <c r="V51" s="62">
        <f t="shared" si="51"/>
        <v>0</v>
      </c>
      <c r="W51" s="160">
        <f>SUM(W49:W50)</f>
        <v>120000</v>
      </c>
      <c r="X51" s="160">
        <f>SUM(X49:X50)</f>
        <v>300000</v>
      </c>
      <c r="Y51" s="160">
        <f>SUM(Y49:Y50)</f>
        <v>30000</v>
      </c>
      <c r="Z51" s="62">
        <f>SUM(Z49:Z50)</f>
        <v>0</v>
      </c>
      <c r="AA51" s="62">
        <f t="shared" ref="AA51:BK51" si="52">SUM(AA49:AA50)</f>
        <v>0</v>
      </c>
      <c r="AB51" s="62">
        <f t="shared" si="52"/>
        <v>0</v>
      </c>
      <c r="AC51" s="62">
        <f t="shared" si="52"/>
        <v>0</v>
      </c>
      <c r="AD51" s="62">
        <f t="shared" si="52"/>
        <v>0</v>
      </c>
      <c r="AE51" s="62">
        <f t="shared" si="52"/>
        <v>0</v>
      </c>
      <c r="AF51" s="62">
        <f t="shared" si="52"/>
        <v>0</v>
      </c>
      <c r="AG51" s="62">
        <f t="shared" si="52"/>
        <v>0</v>
      </c>
      <c r="AH51" s="62">
        <f t="shared" si="52"/>
        <v>0</v>
      </c>
      <c r="AI51" s="62">
        <f t="shared" si="52"/>
        <v>0</v>
      </c>
      <c r="AJ51" s="62">
        <f t="shared" si="52"/>
        <v>0</v>
      </c>
      <c r="AK51" s="62">
        <f t="shared" si="52"/>
        <v>0</v>
      </c>
      <c r="AL51" s="62">
        <f t="shared" si="52"/>
        <v>0</v>
      </c>
      <c r="AM51" s="62">
        <f t="shared" si="52"/>
        <v>0</v>
      </c>
      <c r="AN51" s="62">
        <f t="shared" si="52"/>
        <v>0</v>
      </c>
      <c r="AO51" s="62">
        <f t="shared" si="52"/>
        <v>0</v>
      </c>
      <c r="AP51" s="62">
        <f t="shared" si="52"/>
        <v>0</v>
      </c>
      <c r="AQ51" s="62">
        <f t="shared" si="52"/>
        <v>0</v>
      </c>
      <c r="AR51" s="62">
        <f t="shared" si="52"/>
        <v>0</v>
      </c>
      <c r="AS51" s="62">
        <f t="shared" si="52"/>
        <v>0</v>
      </c>
      <c r="AT51" s="62">
        <f t="shared" si="52"/>
        <v>0</v>
      </c>
      <c r="AU51" s="62">
        <f t="shared" si="52"/>
        <v>0</v>
      </c>
      <c r="AV51" s="62">
        <f t="shared" si="52"/>
        <v>0</v>
      </c>
      <c r="AW51" s="62">
        <f t="shared" si="52"/>
        <v>0</v>
      </c>
      <c r="AX51" s="62">
        <f t="shared" si="52"/>
        <v>0</v>
      </c>
      <c r="AY51" s="62">
        <f t="shared" si="52"/>
        <v>0</v>
      </c>
      <c r="AZ51" s="62">
        <f t="shared" si="52"/>
        <v>0</v>
      </c>
      <c r="BA51" s="62">
        <f t="shared" si="52"/>
        <v>0</v>
      </c>
      <c r="BB51" s="62">
        <f t="shared" si="52"/>
        <v>0</v>
      </c>
      <c r="BC51" s="62">
        <f t="shared" si="52"/>
        <v>0</v>
      </c>
      <c r="BD51" s="62">
        <f t="shared" si="52"/>
        <v>0</v>
      </c>
      <c r="BE51" s="62">
        <f t="shared" si="52"/>
        <v>0</v>
      </c>
      <c r="BF51" s="62">
        <f t="shared" si="52"/>
        <v>0</v>
      </c>
      <c r="BG51" s="62">
        <f t="shared" si="52"/>
        <v>0</v>
      </c>
      <c r="BH51" s="62">
        <f t="shared" si="52"/>
        <v>2</v>
      </c>
      <c r="BI51" s="62">
        <f t="shared" si="52"/>
        <v>300000</v>
      </c>
      <c r="BJ51" s="62">
        <f t="shared" si="52"/>
        <v>2</v>
      </c>
      <c r="BK51" s="62">
        <f t="shared" si="52"/>
        <v>300000</v>
      </c>
      <c r="BL51" s="47"/>
      <c r="BN51" s="192">
        <f t="shared" ref="BN51:BU51" si="53">SUM(BN49:BN50)</f>
        <v>0</v>
      </c>
      <c r="BO51" s="81">
        <f t="shared" si="53"/>
        <v>0</v>
      </c>
      <c r="BP51" s="81">
        <f t="shared" si="53"/>
        <v>300000</v>
      </c>
      <c r="BQ51" s="81">
        <f t="shared" si="53"/>
        <v>0</v>
      </c>
      <c r="BR51" s="81">
        <f t="shared" si="53"/>
        <v>300000</v>
      </c>
      <c r="BS51" s="192">
        <f t="shared" si="53"/>
        <v>0</v>
      </c>
      <c r="BT51" s="192">
        <f t="shared" si="53"/>
        <v>0</v>
      </c>
      <c r="BU51" s="192">
        <f t="shared" si="53"/>
        <v>0</v>
      </c>
      <c r="BV51" s="181">
        <f t="shared" si="2"/>
        <v>300000</v>
      </c>
    </row>
    <row r="52" spans="1:160" s="67" customFormat="1" x14ac:dyDescent="0.25">
      <c r="A52" s="957"/>
      <c r="B52" s="980"/>
      <c r="C52" s="981"/>
      <c r="D52" s="63"/>
      <c r="E52" s="64"/>
      <c r="F52" s="65">
        <f>F51+F47+F38</f>
        <v>5543</v>
      </c>
      <c r="G52" s="65">
        <f t="shared" ref="G52:Y52" si="54">G51+G47+G38</f>
        <v>231620000</v>
      </c>
      <c r="H52" s="65">
        <f t="shared" si="54"/>
        <v>14903000</v>
      </c>
      <c r="I52" s="65">
        <f t="shared" si="54"/>
        <v>143696000</v>
      </c>
      <c r="J52" s="65">
        <f t="shared" si="54"/>
        <v>0</v>
      </c>
      <c r="K52" s="65">
        <f t="shared" si="54"/>
        <v>0</v>
      </c>
      <c r="L52" s="65">
        <f t="shared" si="54"/>
        <v>58178000</v>
      </c>
      <c r="M52" s="65">
        <f t="shared" si="54"/>
        <v>0</v>
      </c>
      <c r="N52" s="65">
        <f t="shared" si="54"/>
        <v>0</v>
      </c>
      <c r="O52" s="65">
        <f t="shared" si="54"/>
        <v>0</v>
      </c>
      <c r="P52" s="65">
        <f t="shared" si="54"/>
        <v>14843000</v>
      </c>
      <c r="Q52" s="65">
        <f t="shared" si="54"/>
        <v>0</v>
      </c>
      <c r="R52" s="65">
        <f t="shared" si="54"/>
        <v>74</v>
      </c>
      <c r="S52" s="65">
        <f t="shared" si="54"/>
        <v>2100.8000000000002</v>
      </c>
      <c r="T52" s="65">
        <f t="shared" si="54"/>
        <v>1727.6999999999998</v>
      </c>
      <c r="U52" s="65">
        <f t="shared" si="54"/>
        <v>1619</v>
      </c>
      <c r="V52" s="65">
        <f t="shared" si="54"/>
        <v>42800000</v>
      </c>
      <c r="W52" s="65">
        <f t="shared" si="54"/>
        <v>27024000</v>
      </c>
      <c r="X52" s="65">
        <f t="shared" si="54"/>
        <v>91458000</v>
      </c>
      <c r="Y52" s="65">
        <f t="shared" si="54"/>
        <v>44758000</v>
      </c>
      <c r="Z52" s="65">
        <f>Z51+Z47+Z38</f>
        <v>543</v>
      </c>
      <c r="AA52" s="65">
        <f t="shared" ref="AA52:BK52" si="55">AA51+AA47+AA38</f>
        <v>16975000</v>
      </c>
      <c r="AB52" s="65">
        <f t="shared" si="55"/>
        <v>331</v>
      </c>
      <c r="AC52" s="65">
        <f t="shared" si="55"/>
        <v>6970000</v>
      </c>
      <c r="AD52" s="65">
        <f t="shared" si="55"/>
        <v>263</v>
      </c>
      <c r="AE52" s="65">
        <f t="shared" si="55"/>
        <v>6000000</v>
      </c>
      <c r="AF52" s="65">
        <f t="shared" si="55"/>
        <v>374</v>
      </c>
      <c r="AG52" s="65">
        <f t="shared" si="55"/>
        <v>20790000</v>
      </c>
      <c r="AH52" s="65">
        <f t="shared" si="55"/>
        <v>201</v>
      </c>
      <c r="AI52" s="65">
        <f t="shared" si="55"/>
        <v>12215000</v>
      </c>
      <c r="AJ52" s="65">
        <f t="shared" si="55"/>
        <v>96</v>
      </c>
      <c r="AK52" s="65">
        <f t="shared" si="55"/>
        <v>21070000</v>
      </c>
      <c r="AL52" s="65">
        <f t="shared" si="55"/>
        <v>1025</v>
      </c>
      <c r="AM52" s="65">
        <f t="shared" si="55"/>
        <v>8500000</v>
      </c>
      <c r="AN52" s="65">
        <f t="shared" si="55"/>
        <v>244</v>
      </c>
      <c r="AO52" s="65">
        <f t="shared" si="55"/>
        <v>12850000</v>
      </c>
      <c r="AP52" s="65">
        <f t="shared" si="55"/>
        <v>62</v>
      </c>
      <c r="AQ52" s="65">
        <f t="shared" si="55"/>
        <v>6520000</v>
      </c>
      <c r="AR52" s="65">
        <f t="shared" si="55"/>
        <v>239</v>
      </c>
      <c r="AS52" s="65">
        <f t="shared" si="55"/>
        <v>22400000</v>
      </c>
      <c r="AT52" s="65">
        <f t="shared" si="55"/>
        <v>61</v>
      </c>
      <c r="AU52" s="65">
        <f t="shared" si="55"/>
        <v>6150000</v>
      </c>
      <c r="AV52" s="65">
        <f t="shared" si="55"/>
        <v>38</v>
      </c>
      <c r="AW52" s="65">
        <f t="shared" si="55"/>
        <v>11100000</v>
      </c>
      <c r="AX52" s="65">
        <f t="shared" si="55"/>
        <v>29</v>
      </c>
      <c r="AY52" s="65">
        <f t="shared" si="55"/>
        <v>6300000</v>
      </c>
      <c r="AZ52" s="65">
        <f t="shared" si="55"/>
        <v>342</v>
      </c>
      <c r="BA52" s="65">
        <f t="shared" si="55"/>
        <v>28460000</v>
      </c>
      <c r="BB52" s="65">
        <f t="shared" si="55"/>
        <v>651</v>
      </c>
      <c r="BC52" s="65">
        <f t="shared" si="55"/>
        <v>12650000</v>
      </c>
      <c r="BD52" s="65">
        <f t="shared" si="55"/>
        <v>785</v>
      </c>
      <c r="BE52" s="65">
        <f t="shared" si="55"/>
        <v>24200000</v>
      </c>
      <c r="BF52" s="65">
        <f t="shared" si="55"/>
        <v>258</v>
      </c>
      <c r="BG52" s="65">
        <f t="shared" si="55"/>
        <v>8170000</v>
      </c>
      <c r="BH52" s="65">
        <f t="shared" si="55"/>
        <v>2</v>
      </c>
      <c r="BI52" s="65">
        <f t="shared" si="55"/>
        <v>300000</v>
      </c>
      <c r="BJ52" s="65">
        <f t="shared" si="55"/>
        <v>5544</v>
      </c>
      <c r="BK52" s="65">
        <f t="shared" si="55"/>
        <v>231620000</v>
      </c>
      <c r="BL52" s="118"/>
      <c r="BN52" s="66">
        <f t="shared" ref="BN52:BU52" si="56">BN51+BN47+BN38</f>
        <v>227020000</v>
      </c>
      <c r="BO52" s="66">
        <f t="shared" si="56"/>
        <v>0</v>
      </c>
      <c r="BP52" s="66">
        <f t="shared" si="56"/>
        <v>4600000</v>
      </c>
      <c r="BQ52" s="66">
        <f t="shared" si="56"/>
        <v>0</v>
      </c>
      <c r="BR52" s="66">
        <f t="shared" si="56"/>
        <v>231620000</v>
      </c>
      <c r="BS52" s="66">
        <f t="shared" si="56"/>
        <v>0</v>
      </c>
      <c r="BT52" s="66">
        <f t="shared" si="56"/>
        <v>0</v>
      </c>
      <c r="BU52" s="66">
        <f t="shared" si="56"/>
        <v>0</v>
      </c>
      <c r="BV52" s="181">
        <f t="shared" si="2"/>
        <v>231620000</v>
      </c>
    </row>
    <row r="53" spans="1:160" s="459" customFormat="1" x14ac:dyDescent="0.25">
      <c r="C53" s="39" t="s">
        <v>507</v>
      </c>
      <c r="D53" s="39" t="s">
        <v>561</v>
      </c>
      <c r="F53" s="460"/>
      <c r="G53" s="460"/>
      <c r="H53" s="461"/>
      <c r="I53" s="461"/>
      <c r="J53" s="461"/>
      <c r="K53" s="461"/>
      <c r="L53" s="461"/>
      <c r="M53" s="461"/>
      <c r="N53" s="461"/>
      <c r="O53" s="461"/>
      <c r="P53" s="460"/>
      <c r="Q53" s="460"/>
      <c r="R53" s="460"/>
      <c r="S53" s="436"/>
      <c r="T53" s="436"/>
      <c r="U53" s="436"/>
      <c r="V53" s="436"/>
      <c r="W53" s="435"/>
      <c r="X53" s="435"/>
      <c r="Y53" s="435"/>
      <c r="Z53" s="435"/>
      <c r="AA53" s="460"/>
      <c r="BG53" s="106"/>
      <c r="BH53" s="106"/>
      <c r="BI53" s="106"/>
      <c r="BJ53" s="106"/>
      <c r="BK53" s="106"/>
      <c r="BL53" s="106"/>
      <c r="BM53" s="347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</row>
    <row r="54" spans="1:160" s="459" customFormat="1" x14ac:dyDescent="0.25">
      <c r="C54" s="39" t="s">
        <v>565</v>
      </c>
      <c r="D54" s="39" t="s">
        <v>566</v>
      </c>
      <c r="F54" s="460"/>
      <c r="G54" s="460"/>
      <c r="H54" s="461"/>
      <c r="I54" s="461"/>
      <c r="J54" s="461"/>
      <c r="K54" s="461"/>
      <c r="L54" s="461"/>
      <c r="M54" s="461"/>
      <c r="N54" s="461"/>
      <c r="O54" s="461"/>
      <c r="P54" s="460"/>
      <c r="Q54" s="460"/>
      <c r="R54" s="460"/>
      <c r="S54" s="436"/>
      <c r="T54" s="436"/>
      <c r="U54" s="436"/>
      <c r="V54" s="436"/>
      <c r="W54" s="435"/>
      <c r="X54" s="435"/>
      <c r="Y54" s="435"/>
      <c r="Z54" s="435"/>
      <c r="AA54" s="460"/>
      <c r="BG54" s="106"/>
      <c r="BH54" s="106"/>
      <c r="BI54" s="106"/>
      <c r="BJ54" s="106"/>
      <c r="BK54" s="106"/>
      <c r="BL54" s="106"/>
      <c r="BM54" s="347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</row>
    <row r="55" spans="1:160" s="459" customFormat="1" x14ac:dyDescent="0.25">
      <c r="C55" s="39" t="s">
        <v>567</v>
      </c>
      <c r="D55" s="39" t="s">
        <v>568</v>
      </c>
      <c r="F55" s="460"/>
      <c r="G55" s="460"/>
      <c r="H55" s="461"/>
      <c r="I55" s="461"/>
      <c r="J55" s="461"/>
      <c r="K55" s="461"/>
      <c r="L55" s="461"/>
      <c r="M55" s="461"/>
      <c r="N55" s="461"/>
      <c r="O55" s="461"/>
      <c r="P55" s="460"/>
      <c r="Q55" s="460"/>
      <c r="R55" s="460"/>
      <c r="S55" s="436"/>
      <c r="T55" s="436"/>
      <c r="U55" s="436"/>
      <c r="V55" s="436"/>
      <c r="W55" s="435"/>
      <c r="X55" s="435"/>
      <c r="Y55" s="435"/>
      <c r="Z55" s="435"/>
      <c r="AA55" s="460"/>
      <c r="BG55" s="106"/>
      <c r="BH55" s="106"/>
      <c r="BI55" s="106"/>
      <c r="BJ55" s="106"/>
      <c r="BK55" s="106"/>
      <c r="BL55" s="106"/>
      <c r="BM55" s="347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</row>
    <row r="56" spans="1:160" s="459" customFormat="1" x14ac:dyDescent="0.25">
      <c r="C56" s="39" t="s">
        <v>568</v>
      </c>
      <c r="D56" s="39" t="s">
        <v>569</v>
      </c>
      <c r="F56" s="460"/>
      <c r="G56" s="460"/>
      <c r="H56" s="461"/>
      <c r="I56" s="461"/>
      <c r="J56" s="461"/>
      <c r="K56" s="461"/>
      <c r="L56" s="461"/>
      <c r="M56" s="461"/>
      <c r="N56" s="461"/>
      <c r="O56" s="461"/>
      <c r="P56" s="460"/>
      <c r="Q56" s="460"/>
      <c r="R56" s="460"/>
      <c r="S56" s="436"/>
      <c r="T56" s="436"/>
      <c r="U56" s="436"/>
      <c r="V56" s="436"/>
      <c r="W56" s="435"/>
      <c r="X56" s="435"/>
      <c r="Y56" s="435"/>
      <c r="Z56" s="435"/>
      <c r="AA56" s="460"/>
      <c r="BG56" s="106"/>
      <c r="BH56" s="106"/>
      <c r="BI56" s="106"/>
      <c r="BJ56" s="106"/>
      <c r="BK56" s="106"/>
      <c r="BL56" s="106"/>
      <c r="BM56" s="347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</row>
    <row r="57" spans="1:160" s="459" customFormat="1" x14ac:dyDescent="0.25">
      <c r="C57" s="39" t="s">
        <v>569</v>
      </c>
      <c r="D57" s="39" t="s">
        <v>570</v>
      </c>
      <c r="F57" s="460"/>
      <c r="G57" s="460"/>
      <c r="H57" s="461"/>
      <c r="I57" s="461"/>
      <c r="J57" s="461"/>
      <c r="K57" s="461"/>
      <c r="L57" s="461"/>
      <c r="M57" s="461"/>
      <c r="N57" s="461"/>
      <c r="O57" s="461"/>
      <c r="P57" s="460"/>
      <c r="Q57" s="460"/>
      <c r="R57" s="460"/>
      <c r="S57" s="436"/>
      <c r="T57" s="436"/>
      <c r="U57" s="436"/>
      <c r="V57" s="436"/>
      <c r="W57" s="435"/>
      <c r="X57" s="435"/>
      <c r="Y57" s="435"/>
      <c r="Z57" s="435"/>
      <c r="AA57" s="460"/>
      <c r="BG57" s="106"/>
      <c r="BH57" s="106"/>
      <c r="BI57" s="106"/>
      <c r="BJ57" s="106"/>
      <c r="BK57" s="106"/>
      <c r="BL57" s="106"/>
      <c r="BM57" s="347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</row>
    <row r="58" spans="1:160" s="459" customFormat="1" x14ac:dyDescent="0.25">
      <c r="C58" s="39" t="s">
        <v>570</v>
      </c>
      <c r="D58" s="39" t="s">
        <v>571</v>
      </c>
      <c r="F58" s="460"/>
      <c r="G58" s="460"/>
      <c r="H58" s="461"/>
      <c r="I58" s="461"/>
      <c r="J58" s="461"/>
      <c r="K58" s="461"/>
      <c r="L58" s="461"/>
      <c r="M58" s="461"/>
      <c r="N58" s="461"/>
      <c r="O58" s="461"/>
      <c r="P58" s="460"/>
      <c r="Q58" s="460"/>
      <c r="R58" s="460"/>
      <c r="S58" s="436"/>
      <c r="T58" s="436"/>
      <c r="U58" s="436"/>
      <c r="V58" s="436"/>
      <c r="W58" s="435"/>
      <c r="X58" s="435"/>
      <c r="Y58" s="435"/>
      <c r="Z58" s="435"/>
      <c r="AA58" s="460"/>
      <c r="BG58" s="106"/>
      <c r="BH58" s="106"/>
      <c r="BI58" s="106"/>
      <c r="BJ58" s="106"/>
      <c r="BK58" s="106"/>
      <c r="BL58" s="106"/>
      <c r="BM58" s="347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</row>
    <row r="59" spans="1:160" s="459" customFormat="1" x14ac:dyDescent="0.25">
      <c r="F59" s="460"/>
      <c r="G59" s="460"/>
      <c r="H59" s="461"/>
      <c r="I59" s="461"/>
      <c r="J59" s="461"/>
      <c r="K59" s="461"/>
      <c r="L59" s="461"/>
      <c r="M59" s="461"/>
      <c r="N59" s="461"/>
      <c r="O59" s="461"/>
      <c r="P59" s="460"/>
      <c r="Q59" s="460"/>
      <c r="R59" s="460"/>
      <c r="S59" s="436"/>
      <c r="T59" s="436"/>
      <c r="U59" s="436"/>
      <c r="V59" s="436"/>
      <c r="W59" s="435"/>
      <c r="X59" s="435"/>
      <c r="Y59" s="435"/>
      <c r="Z59" s="435"/>
      <c r="AA59" s="460"/>
      <c r="BG59" s="106"/>
      <c r="BH59" s="106"/>
      <c r="BI59" s="106"/>
      <c r="BJ59" s="106"/>
      <c r="BK59" s="106"/>
      <c r="BL59" s="106"/>
      <c r="BM59" s="347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</row>
    <row r="60" spans="1:160" s="459" customFormat="1" x14ac:dyDescent="0.25">
      <c r="F60" s="460"/>
      <c r="G60" s="460"/>
      <c r="H60" s="461"/>
      <c r="I60" s="461"/>
      <c r="J60" s="461"/>
      <c r="K60" s="461"/>
      <c r="L60" s="461"/>
      <c r="M60" s="461"/>
      <c r="N60" s="461"/>
      <c r="O60" s="461"/>
      <c r="P60" s="460"/>
      <c r="Q60" s="460"/>
      <c r="R60" s="460"/>
      <c r="S60" s="436"/>
      <c r="T60" s="436"/>
      <c r="U60" s="436"/>
      <c r="V60" s="436"/>
      <c r="W60" s="435"/>
      <c r="X60" s="435"/>
      <c r="Y60" s="435"/>
      <c r="Z60" s="435"/>
      <c r="AA60" s="460"/>
      <c r="BG60" s="106"/>
      <c r="BH60" s="106"/>
      <c r="BI60" s="106"/>
      <c r="BJ60" s="106"/>
      <c r="BK60" s="106"/>
      <c r="BL60" s="106"/>
      <c r="BM60" s="347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</row>
  </sheetData>
  <mergeCells count="45">
    <mergeCell ref="BV8:BV9"/>
    <mergeCell ref="A10:A52"/>
    <mergeCell ref="B52:C52"/>
    <mergeCell ref="BF7:BG8"/>
    <mergeCell ref="BH7:BI8"/>
    <mergeCell ref="BJ7:BK8"/>
    <mergeCell ref="A8:A9"/>
    <mergeCell ref="B8:B9"/>
    <mergeCell ref="C8:C9"/>
    <mergeCell ref="D8:D9"/>
    <mergeCell ref="BN8:BR8"/>
    <mergeCell ref="BS8:BU8"/>
    <mergeCell ref="AB7:AC8"/>
    <mergeCell ref="AD7:AE8"/>
    <mergeCell ref="BD7:BE8"/>
    <mergeCell ref="AR7:AS8"/>
    <mergeCell ref="BL7:BL9"/>
    <mergeCell ref="AJ7:AK8"/>
    <mergeCell ref="V7:Y8"/>
    <mergeCell ref="AX7:AY8"/>
    <mergeCell ref="AZ7:BA8"/>
    <mergeCell ref="BB7:BC8"/>
    <mergeCell ref="AP7:AQ8"/>
    <mergeCell ref="AF7:AG8"/>
    <mergeCell ref="AH7:AI8"/>
    <mergeCell ref="AT7:AU8"/>
    <mergeCell ref="AV7:AW8"/>
    <mergeCell ref="AL7:AM8"/>
    <mergeCell ref="AN7:AO8"/>
    <mergeCell ref="R7:U8"/>
    <mergeCell ref="Z7:AA8"/>
    <mergeCell ref="A1:B1"/>
    <mergeCell ref="C1:Q1"/>
    <mergeCell ref="A2:B2"/>
    <mergeCell ref="C2:Q2"/>
    <mergeCell ref="A3:B3"/>
    <mergeCell ref="C3:Q3"/>
    <mergeCell ref="A4:B4"/>
    <mergeCell ref="C4:Q4"/>
    <mergeCell ref="G8:G9"/>
    <mergeCell ref="A5:B5"/>
    <mergeCell ref="C5:Q5"/>
    <mergeCell ref="A7:D7"/>
    <mergeCell ref="E7:G7"/>
    <mergeCell ref="H7:Q7"/>
  </mergeCells>
  <pageMargins left="0.67" right="0" top="0.17" bottom="0.25" header="0.2" footer="0.05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V125"/>
  <sheetViews>
    <sheetView zoomScale="90" zoomScaleNormal="90" workbookViewId="0">
      <pane xSplit="7" ySplit="9" topLeftCell="H31" activePane="bottomRight" state="frozen"/>
      <selection activeCell="A4" sqref="A4"/>
      <selection pane="topRight" activeCell="H4" sqref="H4"/>
      <selection pane="bottomLeft" activeCell="A10" sqref="A10"/>
      <selection pane="bottomRight" activeCell="E29" sqref="E29"/>
    </sheetView>
  </sheetViews>
  <sheetFormatPr defaultColWidth="15.28515625" defaultRowHeight="15.75" x14ac:dyDescent="0.25"/>
  <cols>
    <col min="1" max="1" width="11.28515625" style="39" customWidth="1"/>
    <col min="2" max="2" width="15.28515625" style="39" customWidth="1"/>
    <col min="3" max="3" width="27.42578125" style="39" customWidth="1"/>
    <col min="4" max="4" width="15.28515625" style="39" customWidth="1"/>
    <col min="5" max="5" width="16.28515625" style="361" customWidth="1"/>
    <col min="6" max="6" width="8.5703125" style="39" customWidth="1"/>
    <col min="7" max="7" width="17.140625" style="39" customWidth="1"/>
    <col min="8" max="9" width="15.5703125" style="39" bestFit="1" customWidth="1"/>
    <col min="10" max="10" width="8" style="39" customWidth="1"/>
    <col min="11" max="11" width="6.42578125" style="39" customWidth="1"/>
    <col min="12" max="12" width="7.28515625" style="39" bestFit="1" customWidth="1"/>
    <col min="13" max="13" width="6.28515625" style="39" customWidth="1"/>
    <col min="14" max="14" width="6" style="39" bestFit="1" customWidth="1"/>
    <col min="15" max="15" width="7.85546875" style="39" bestFit="1" customWidth="1"/>
    <col min="16" max="16" width="7.7109375" style="39" customWidth="1"/>
    <col min="17" max="17" width="9.28515625" style="39" bestFit="1" customWidth="1"/>
    <col min="18" max="21" width="4.42578125" style="39" bestFit="1" customWidth="1"/>
    <col min="22" max="22" width="15.7109375" style="39" bestFit="1" customWidth="1"/>
    <col min="23" max="25" width="14.5703125" style="39" bestFit="1" customWidth="1"/>
    <col min="26" max="62" width="15.28515625" style="39" customWidth="1"/>
    <col min="63" max="63" width="15.42578125" style="39" customWidth="1"/>
    <col min="64" max="64" width="21.42578125" style="39" customWidth="1"/>
    <col min="65" max="65" width="15.28515625" style="39" customWidth="1"/>
    <col min="66" max="66" width="7.42578125" style="39" bestFit="1" customWidth="1"/>
    <col min="67" max="67" width="13.28515625" style="39" customWidth="1"/>
    <col min="68" max="68" width="17" style="39" bestFit="1" customWidth="1"/>
    <col min="69" max="69" width="9.7109375" style="39" customWidth="1"/>
    <col min="70" max="70" width="17.42578125" style="39" bestFit="1" customWidth="1"/>
    <col min="71" max="73" width="15.28515625" style="39"/>
    <col min="74" max="74" width="16.7109375" style="39" customWidth="1"/>
    <col min="75" max="16384" width="15.28515625" style="39"/>
  </cols>
  <sheetData>
    <row r="1" spans="1:74" ht="20.25" customHeight="1" x14ac:dyDescent="0.25"/>
    <row r="2" spans="1:74" ht="24.75" customHeight="1" x14ac:dyDescent="0.25">
      <c r="A2" s="825" t="s">
        <v>409</v>
      </c>
      <c r="B2" s="825"/>
      <c r="C2" s="827" t="s">
        <v>403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67"/>
      <c r="S2" s="67"/>
      <c r="T2" s="67"/>
      <c r="U2" s="67"/>
      <c r="V2" s="67"/>
      <c r="W2" s="67"/>
      <c r="X2" s="67"/>
      <c r="Y2" s="67"/>
    </row>
    <row r="3" spans="1:74" ht="15.75" customHeight="1" x14ac:dyDescent="0.25">
      <c r="A3" s="825" t="s">
        <v>405</v>
      </c>
      <c r="B3" s="825"/>
      <c r="C3" s="827" t="s">
        <v>404</v>
      </c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67"/>
      <c r="S3" s="67"/>
      <c r="T3" s="67"/>
      <c r="U3" s="67"/>
      <c r="V3" s="67"/>
      <c r="W3" s="67"/>
      <c r="X3" s="67"/>
      <c r="Y3" s="67"/>
    </row>
    <row r="4" spans="1:74" ht="13.5" customHeight="1" x14ac:dyDescent="0.25">
      <c r="A4" s="825" t="s">
        <v>406</v>
      </c>
      <c r="B4" s="825"/>
      <c r="C4" s="827" t="s">
        <v>752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67"/>
      <c r="S4" s="67"/>
      <c r="T4" s="67"/>
      <c r="U4" s="67"/>
      <c r="V4" s="67"/>
      <c r="W4" s="67"/>
      <c r="X4" s="67"/>
      <c r="Y4" s="67"/>
    </row>
    <row r="5" spans="1:74" ht="13.5" customHeight="1" x14ac:dyDescent="0.25">
      <c r="A5" s="825" t="s">
        <v>412</v>
      </c>
      <c r="B5" s="825"/>
      <c r="C5" s="827" t="s">
        <v>410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67"/>
      <c r="S5" s="67"/>
      <c r="T5" s="67"/>
      <c r="U5" s="67"/>
      <c r="V5" s="67"/>
      <c r="W5" s="67"/>
      <c r="X5" s="67"/>
      <c r="Y5" s="67"/>
    </row>
    <row r="6" spans="1:74" ht="13.5" customHeight="1" x14ac:dyDescent="0.25">
      <c r="A6" s="825" t="s">
        <v>416</v>
      </c>
      <c r="B6" s="825"/>
      <c r="C6" s="827" t="s">
        <v>415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67"/>
      <c r="S6" s="67"/>
      <c r="T6" s="67"/>
      <c r="U6" s="67"/>
      <c r="V6" s="67"/>
      <c r="W6" s="67"/>
      <c r="X6" s="67"/>
      <c r="Y6" s="67"/>
    </row>
    <row r="7" spans="1:74" ht="32.25" customHeight="1" x14ac:dyDescent="0.25">
      <c r="A7" s="997"/>
      <c r="B7" s="997"/>
      <c r="C7" s="997"/>
      <c r="D7" s="997"/>
      <c r="E7" s="931" t="s">
        <v>452</v>
      </c>
      <c r="F7" s="932"/>
      <c r="G7" s="933"/>
      <c r="H7" s="906" t="s">
        <v>402</v>
      </c>
      <c r="I7" s="907"/>
      <c r="J7" s="907"/>
      <c r="K7" s="907"/>
      <c r="L7" s="907"/>
      <c r="M7" s="907"/>
      <c r="N7" s="907"/>
      <c r="O7" s="907"/>
      <c r="P7" s="907"/>
      <c r="Q7" s="908"/>
      <c r="R7" s="983" t="s">
        <v>68</v>
      </c>
      <c r="S7" s="984"/>
      <c r="T7" s="984"/>
      <c r="U7" s="985"/>
      <c r="V7" s="991" t="s">
        <v>6</v>
      </c>
      <c r="W7" s="992"/>
      <c r="X7" s="992"/>
      <c r="Y7" s="993"/>
      <c r="Z7" s="910" t="s">
        <v>434</v>
      </c>
      <c r="AA7" s="910"/>
      <c r="AB7" s="910" t="s">
        <v>435</v>
      </c>
      <c r="AC7" s="910"/>
      <c r="AD7" s="910" t="s">
        <v>436</v>
      </c>
      <c r="AE7" s="910"/>
      <c r="AF7" s="910" t="s">
        <v>437</v>
      </c>
      <c r="AG7" s="910"/>
      <c r="AH7" s="910" t="s">
        <v>438</v>
      </c>
      <c r="AI7" s="910"/>
      <c r="AJ7" s="910" t="s">
        <v>439</v>
      </c>
      <c r="AK7" s="910"/>
      <c r="AL7" s="910" t="s">
        <v>440</v>
      </c>
      <c r="AM7" s="910"/>
      <c r="AN7" s="910" t="s">
        <v>441</v>
      </c>
      <c r="AO7" s="910"/>
      <c r="AP7" s="910" t="s">
        <v>442</v>
      </c>
      <c r="AQ7" s="910"/>
      <c r="AR7" s="910" t="s">
        <v>443</v>
      </c>
      <c r="AS7" s="910"/>
      <c r="AT7" s="910" t="s">
        <v>444</v>
      </c>
      <c r="AU7" s="910"/>
      <c r="AV7" s="910" t="s">
        <v>445</v>
      </c>
      <c r="AW7" s="910"/>
      <c r="AX7" s="910" t="s">
        <v>446</v>
      </c>
      <c r="AY7" s="910"/>
      <c r="AZ7" s="910" t="s">
        <v>447</v>
      </c>
      <c r="BA7" s="910"/>
      <c r="BB7" s="910" t="s">
        <v>448</v>
      </c>
      <c r="BC7" s="910"/>
      <c r="BD7" s="910" t="s">
        <v>449</v>
      </c>
      <c r="BE7" s="910"/>
      <c r="BF7" s="910" t="s">
        <v>450</v>
      </c>
      <c r="BG7" s="910"/>
      <c r="BH7" s="910" t="s">
        <v>451</v>
      </c>
      <c r="BI7" s="910"/>
      <c r="BJ7" s="910" t="s">
        <v>18</v>
      </c>
      <c r="BK7" s="982"/>
      <c r="BL7" s="841" t="s">
        <v>498</v>
      </c>
    </row>
    <row r="8" spans="1:74" ht="39" customHeight="1" x14ac:dyDescent="0.25">
      <c r="A8" s="913" t="s">
        <v>14</v>
      </c>
      <c r="B8" s="362" t="s">
        <v>1</v>
      </c>
      <c r="C8" s="911" t="s">
        <v>12</v>
      </c>
      <c r="D8" s="911" t="s">
        <v>15</v>
      </c>
      <c r="E8" s="954" t="s">
        <v>31</v>
      </c>
      <c r="F8" s="915" t="s">
        <v>29</v>
      </c>
      <c r="G8" s="990" t="s">
        <v>30</v>
      </c>
      <c r="H8" s="118" t="s">
        <v>457</v>
      </c>
      <c r="I8" s="118" t="s">
        <v>458</v>
      </c>
      <c r="J8" s="118" t="s">
        <v>459</v>
      </c>
      <c r="K8" s="118" t="s">
        <v>460</v>
      </c>
      <c r="L8" s="118" t="s">
        <v>461</v>
      </c>
      <c r="M8" s="118" t="s">
        <v>462</v>
      </c>
      <c r="N8" s="118" t="s">
        <v>463</v>
      </c>
      <c r="O8" s="118" t="s">
        <v>464</v>
      </c>
      <c r="P8" s="118" t="s">
        <v>465</v>
      </c>
      <c r="Q8" s="118" t="s">
        <v>466</v>
      </c>
      <c r="R8" s="986"/>
      <c r="S8" s="987"/>
      <c r="T8" s="987"/>
      <c r="U8" s="988"/>
      <c r="V8" s="994"/>
      <c r="W8" s="995"/>
      <c r="X8" s="995"/>
      <c r="Y8" s="996"/>
      <c r="Z8" s="910"/>
      <c r="AA8" s="910"/>
      <c r="AB8" s="910" t="s">
        <v>49</v>
      </c>
      <c r="AC8" s="910"/>
      <c r="AD8" s="910" t="s">
        <v>50</v>
      </c>
      <c r="AE8" s="910"/>
      <c r="AF8" s="910" t="s">
        <v>51</v>
      </c>
      <c r="AG8" s="910"/>
      <c r="AH8" s="910" t="s">
        <v>52</v>
      </c>
      <c r="AI8" s="910"/>
      <c r="AJ8" s="910" t="s">
        <v>53</v>
      </c>
      <c r="AK8" s="910"/>
      <c r="AL8" s="910" t="s">
        <v>54</v>
      </c>
      <c r="AM8" s="910"/>
      <c r="AN8" s="910" t="s">
        <v>55</v>
      </c>
      <c r="AO8" s="910"/>
      <c r="AP8" s="910" t="s">
        <v>56</v>
      </c>
      <c r="AQ8" s="910"/>
      <c r="AR8" s="910" t="s">
        <v>57</v>
      </c>
      <c r="AS8" s="910"/>
      <c r="AT8" s="910" t="s">
        <v>58</v>
      </c>
      <c r="AU8" s="910"/>
      <c r="AV8" s="910" t="s">
        <v>59</v>
      </c>
      <c r="AW8" s="910"/>
      <c r="AX8" s="910" t="s">
        <v>60</v>
      </c>
      <c r="AY8" s="910"/>
      <c r="AZ8" s="910" t="s">
        <v>61</v>
      </c>
      <c r="BA8" s="910"/>
      <c r="BB8" s="910" t="s">
        <v>45</v>
      </c>
      <c r="BC8" s="910"/>
      <c r="BD8" s="910" t="s">
        <v>42</v>
      </c>
      <c r="BE8" s="910"/>
      <c r="BF8" s="910"/>
      <c r="BG8" s="910"/>
      <c r="BH8" s="910"/>
      <c r="BI8" s="910"/>
      <c r="BJ8" s="910"/>
      <c r="BK8" s="982"/>
      <c r="BL8" s="841"/>
      <c r="BN8" s="840" t="s">
        <v>496</v>
      </c>
      <c r="BO8" s="840"/>
      <c r="BP8" s="840"/>
      <c r="BQ8" s="840"/>
      <c r="BR8" s="840"/>
      <c r="BS8" s="840" t="s">
        <v>497</v>
      </c>
      <c r="BT8" s="840"/>
      <c r="BU8" s="856"/>
      <c r="BV8" s="841" t="s">
        <v>18</v>
      </c>
    </row>
    <row r="9" spans="1:74" ht="51" customHeight="1" x14ac:dyDescent="0.25">
      <c r="A9" s="914"/>
      <c r="B9" s="362" t="s">
        <v>2</v>
      </c>
      <c r="C9" s="912"/>
      <c r="D9" s="912"/>
      <c r="E9" s="957"/>
      <c r="F9" s="916"/>
      <c r="G9" s="990"/>
      <c r="H9" s="343"/>
      <c r="I9" s="343"/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343">
        <v>0</v>
      </c>
      <c r="Q9" s="343">
        <v>0</v>
      </c>
      <c r="R9" s="362" t="s">
        <v>7</v>
      </c>
      <c r="S9" s="362" t="s">
        <v>8</v>
      </c>
      <c r="T9" s="362" t="s">
        <v>9</v>
      </c>
      <c r="U9" s="362" t="s">
        <v>10</v>
      </c>
      <c r="V9" s="362" t="s">
        <v>7</v>
      </c>
      <c r="W9" s="362" t="s">
        <v>8</v>
      </c>
      <c r="X9" s="362" t="s">
        <v>9</v>
      </c>
      <c r="Y9" s="362" t="s">
        <v>10</v>
      </c>
      <c r="Z9" s="363" t="s">
        <v>15</v>
      </c>
      <c r="AA9" s="364" t="s">
        <v>16</v>
      </c>
      <c r="AB9" s="365" t="s">
        <v>15</v>
      </c>
      <c r="AC9" s="365" t="s">
        <v>16</v>
      </c>
      <c r="AD9" s="365" t="s">
        <v>15</v>
      </c>
      <c r="AE9" s="365" t="s">
        <v>16</v>
      </c>
      <c r="AF9" s="365" t="s">
        <v>15</v>
      </c>
      <c r="AG9" s="365" t="s">
        <v>16</v>
      </c>
      <c r="AH9" s="365" t="s">
        <v>15</v>
      </c>
      <c r="AI9" s="365" t="s">
        <v>16</v>
      </c>
      <c r="AJ9" s="365" t="s">
        <v>15</v>
      </c>
      <c r="AK9" s="365" t="s">
        <v>16</v>
      </c>
      <c r="AL9" s="365" t="s">
        <v>15</v>
      </c>
      <c r="AM9" s="365" t="s">
        <v>16</v>
      </c>
      <c r="AN9" s="365" t="s">
        <v>15</v>
      </c>
      <c r="AO9" s="365" t="s">
        <v>16</v>
      </c>
      <c r="AP9" s="365" t="s">
        <v>15</v>
      </c>
      <c r="AQ9" s="365" t="s">
        <v>16</v>
      </c>
      <c r="AR9" s="365" t="s">
        <v>15</v>
      </c>
      <c r="AS9" s="365" t="s">
        <v>16</v>
      </c>
      <c r="AT9" s="365" t="s">
        <v>15</v>
      </c>
      <c r="AU9" s="365" t="s">
        <v>16</v>
      </c>
      <c r="AV9" s="365" t="s">
        <v>15</v>
      </c>
      <c r="AW9" s="365" t="s">
        <v>16</v>
      </c>
      <c r="AX9" s="365" t="s">
        <v>15</v>
      </c>
      <c r="AY9" s="365" t="s">
        <v>16</v>
      </c>
      <c r="AZ9" s="365" t="s">
        <v>15</v>
      </c>
      <c r="BA9" s="365" t="s">
        <v>16</v>
      </c>
      <c r="BB9" s="365" t="s">
        <v>15</v>
      </c>
      <c r="BC9" s="365" t="s">
        <v>16</v>
      </c>
      <c r="BD9" s="365" t="s">
        <v>15</v>
      </c>
      <c r="BE9" s="365" t="s">
        <v>16</v>
      </c>
      <c r="BF9" s="365" t="s">
        <v>15</v>
      </c>
      <c r="BG9" s="365" t="s">
        <v>16</v>
      </c>
      <c r="BH9" s="365" t="s">
        <v>15</v>
      </c>
      <c r="BI9" s="365" t="s">
        <v>16</v>
      </c>
      <c r="BJ9" s="365" t="s">
        <v>15</v>
      </c>
      <c r="BK9" s="366" t="s">
        <v>16</v>
      </c>
      <c r="BL9" s="841"/>
      <c r="BN9" s="118" t="s">
        <v>487</v>
      </c>
      <c r="BO9" s="367" t="s">
        <v>488</v>
      </c>
      <c r="BP9" s="367" t="s">
        <v>489</v>
      </c>
      <c r="BQ9" s="368" t="s">
        <v>490</v>
      </c>
      <c r="BR9" s="369" t="s">
        <v>491</v>
      </c>
      <c r="BS9" s="367" t="s">
        <v>492</v>
      </c>
      <c r="BT9" s="367" t="s">
        <v>493</v>
      </c>
      <c r="BU9" s="370" t="s">
        <v>494</v>
      </c>
      <c r="BV9" s="841"/>
    </row>
    <row r="10" spans="1:74" x14ac:dyDescent="0.25">
      <c r="A10" s="989"/>
      <c r="B10" s="38">
        <v>41000</v>
      </c>
      <c r="C10" s="362" t="s">
        <v>238</v>
      </c>
      <c r="D10" s="43"/>
      <c r="E10" s="371"/>
      <c r="F10" s="371"/>
      <c r="G10" s="43"/>
      <c r="H10" s="43"/>
      <c r="I10" s="43"/>
      <c r="J10" s="43"/>
      <c r="K10" s="43"/>
      <c r="L10" s="43"/>
      <c r="M10" s="43"/>
      <c r="N10" s="43"/>
      <c r="O10" s="373"/>
      <c r="P10" s="373"/>
      <c r="Q10" s="373"/>
      <c r="R10" s="374"/>
      <c r="S10" s="60"/>
      <c r="T10" s="374"/>
      <c r="U10" s="374"/>
      <c r="V10" s="374"/>
      <c r="W10" s="47"/>
      <c r="X10" s="362"/>
      <c r="Y10" s="362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124"/>
      <c r="BL10" s="47"/>
      <c r="BN10" s="113"/>
      <c r="BO10" s="113"/>
      <c r="BP10" s="113"/>
      <c r="BQ10" s="113"/>
      <c r="BR10" s="113"/>
      <c r="BS10" s="113"/>
      <c r="BT10" s="113"/>
      <c r="BU10" s="125"/>
      <c r="BV10" s="181">
        <f>BR10+BU10</f>
        <v>0</v>
      </c>
    </row>
    <row r="11" spans="1:74" x14ac:dyDescent="0.25">
      <c r="A11" s="989"/>
      <c r="B11" s="216">
        <v>41100</v>
      </c>
      <c r="C11" s="216" t="s">
        <v>239</v>
      </c>
      <c r="D11" s="38"/>
      <c r="E11" s="375"/>
      <c r="F11" s="375"/>
      <c r="G11" s="124"/>
      <c r="H11" s="124"/>
      <c r="I11" s="124"/>
      <c r="J11" s="124"/>
      <c r="K11" s="124"/>
      <c r="L11" s="124"/>
      <c r="M11" s="124"/>
      <c r="N11" s="12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124"/>
      <c r="BL11" s="47"/>
      <c r="BN11" s="113"/>
      <c r="BO11" s="113"/>
      <c r="BP11" s="113"/>
      <c r="BQ11" s="113"/>
      <c r="BR11" s="113"/>
      <c r="BS11" s="113"/>
      <c r="BT11" s="113"/>
      <c r="BU11" s="125"/>
      <c r="BV11" s="181">
        <f t="shared" ref="BV11:BV76" si="0">BR11+BU11</f>
        <v>0</v>
      </c>
    </row>
    <row r="12" spans="1:74" x14ac:dyDescent="0.25">
      <c r="A12" s="989"/>
      <c r="B12" s="38">
        <v>41101</v>
      </c>
      <c r="C12" s="38" t="s">
        <v>240</v>
      </c>
      <c r="D12" s="38" t="s">
        <v>241</v>
      </c>
      <c r="E12" s="375">
        <f>7*100000</f>
        <v>700000</v>
      </c>
      <c r="F12" s="38">
        <f>BJ12</f>
        <v>0</v>
      </c>
      <c r="G12" s="438">
        <f>E12*F12</f>
        <v>0</v>
      </c>
      <c r="H12" s="438">
        <f>G12*0.5</f>
        <v>0</v>
      </c>
      <c r="I12" s="438">
        <f>G12*0.5</f>
        <v>0</v>
      </c>
      <c r="J12" s="438">
        <f>G12*0</f>
        <v>0</v>
      </c>
      <c r="K12" s="438">
        <f>G12*0</f>
        <v>0</v>
      </c>
      <c r="L12" s="438">
        <f>G12*0</f>
        <v>0</v>
      </c>
      <c r="M12" s="438">
        <f>G12*0</f>
        <v>0</v>
      </c>
      <c r="N12" s="438">
        <f>G12*0</f>
        <v>0</v>
      </c>
      <c r="O12" s="85">
        <f>G12*0</f>
        <v>0</v>
      </c>
      <c r="P12" s="85">
        <f>G12*0</f>
        <v>0</v>
      </c>
      <c r="Q12" s="85">
        <f>G12*0</f>
        <v>0</v>
      </c>
      <c r="R12" s="47"/>
      <c r="S12" s="47"/>
      <c r="T12" s="47"/>
      <c r="U12" s="47"/>
      <c r="V12" s="181">
        <f>R12*E12</f>
        <v>0</v>
      </c>
      <c r="W12" s="181">
        <f>S12*E12</f>
        <v>0</v>
      </c>
      <c r="X12" s="181">
        <f>T12*E12</f>
        <v>0</v>
      </c>
      <c r="Y12" s="181">
        <f>U12*E12</f>
        <v>0</v>
      </c>
      <c r="Z12" s="47">
        <v>0</v>
      </c>
      <c r="AA12" s="181">
        <f>Z12*E12</f>
        <v>0</v>
      </c>
      <c r="AB12" s="47">
        <v>0</v>
      </c>
      <c r="AC12" s="181">
        <f>AB12*E12</f>
        <v>0</v>
      </c>
      <c r="AD12" s="47">
        <v>0</v>
      </c>
      <c r="AE12" s="181">
        <f>AD12*E12</f>
        <v>0</v>
      </c>
      <c r="AF12" s="47">
        <v>0</v>
      </c>
      <c r="AG12" s="181">
        <f>AF12*E12</f>
        <v>0</v>
      </c>
      <c r="AH12" s="47">
        <v>0</v>
      </c>
      <c r="AI12" s="181">
        <f>AH12*E12</f>
        <v>0</v>
      </c>
      <c r="AJ12" s="47">
        <v>0</v>
      </c>
      <c r="AK12" s="181">
        <f>AJ12*E12</f>
        <v>0</v>
      </c>
      <c r="AL12" s="47">
        <v>0</v>
      </c>
      <c r="AM12" s="181">
        <f>AL12*E12</f>
        <v>0</v>
      </c>
      <c r="AN12" s="47">
        <v>0</v>
      </c>
      <c r="AO12" s="181">
        <f>AN12*E12</f>
        <v>0</v>
      </c>
      <c r="AP12" s="47">
        <v>0</v>
      </c>
      <c r="AQ12" s="181">
        <f>AP12*E12</f>
        <v>0</v>
      </c>
      <c r="AR12" s="47">
        <v>0</v>
      </c>
      <c r="AS12" s="181">
        <f>AR12*E12</f>
        <v>0</v>
      </c>
      <c r="AT12" s="47">
        <v>0</v>
      </c>
      <c r="AU12" s="181">
        <f>AT12*E12</f>
        <v>0</v>
      </c>
      <c r="AV12" s="47">
        <v>0</v>
      </c>
      <c r="AW12" s="181">
        <f>AV12*E12</f>
        <v>0</v>
      </c>
      <c r="AX12" s="47">
        <v>0</v>
      </c>
      <c r="AY12" s="181">
        <f>AX12*E12</f>
        <v>0</v>
      </c>
      <c r="AZ12" s="47">
        <v>0</v>
      </c>
      <c r="BA12" s="181">
        <f>AZ12*E12</f>
        <v>0</v>
      </c>
      <c r="BB12" s="47">
        <v>0</v>
      </c>
      <c r="BC12" s="181">
        <f>BB12*E12</f>
        <v>0</v>
      </c>
      <c r="BD12" s="47">
        <v>0</v>
      </c>
      <c r="BE12" s="181">
        <f>BD12*E12</f>
        <v>0</v>
      </c>
      <c r="BF12" s="47">
        <v>0</v>
      </c>
      <c r="BG12" s="181">
        <f>BF12*E12</f>
        <v>0</v>
      </c>
      <c r="BH12" s="47">
        <v>0</v>
      </c>
      <c r="BI12" s="181">
        <f>BH12*E12</f>
        <v>0</v>
      </c>
      <c r="BJ12" s="47">
        <f t="shared" ref="BJ12:BK16" si="1">Z12+AB12+AD12+AF12+AH12+AJ12+AL12+AN12+AP12+AR12+AT12+AV12+AX12+AZ12+BB12+BD12+BF12+BH12</f>
        <v>0</v>
      </c>
      <c r="BK12" s="117">
        <f t="shared" si="1"/>
        <v>0</v>
      </c>
      <c r="BL12" s="344" t="s">
        <v>469</v>
      </c>
      <c r="BN12" s="113"/>
      <c r="BO12" s="113"/>
      <c r="BP12" s="113"/>
      <c r="BQ12" s="113"/>
      <c r="BR12" s="113">
        <f>BN12+BO12+BP12+BQ12</f>
        <v>0</v>
      </c>
      <c r="BS12" s="113"/>
      <c r="BT12" s="113"/>
      <c r="BU12" s="125">
        <f>BS12+BT12</f>
        <v>0</v>
      </c>
      <c r="BV12" s="181">
        <f t="shared" si="0"/>
        <v>0</v>
      </c>
    </row>
    <row r="13" spans="1:74" ht="31.5" x14ac:dyDescent="0.25">
      <c r="A13" s="989"/>
      <c r="B13" s="38">
        <v>41102</v>
      </c>
      <c r="C13" s="38" t="s">
        <v>242</v>
      </c>
      <c r="D13" s="38" t="s">
        <v>73</v>
      </c>
      <c r="E13" s="375">
        <v>100000</v>
      </c>
      <c r="F13" s="38">
        <f>BJ13</f>
        <v>12</v>
      </c>
      <c r="G13" s="438">
        <f>E13*F13</f>
        <v>1200000</v>
      </c>
      <c r="H13" s="438">
        <f>G13*0.5</f>
        <v>600000</v>
      </c>
      <c r="I13" s="438">
        <f>G13*0.5</f>
        <v>600000</v>
      </c>
      <c r="J13" s="438">
        <f>G13*0</f>
        <v>0</v>
      </c>
      <c r="K13" s="438">
        <f>G13*0</f>
        <v>0</v>
      </c>
      <c r="L13" s="438">
        <f>G13*0</f>
        <v>0</v>
      </c>
      <c r="M13" s="438">
        <f>G13*0</f>
        <v>0</v>
      </c>
      <c r="N13" s="438">
        <f>G13*0</f>
        <v>0</v>
      </c>
      <c r="O13" s="85">
        <f>G13*0</f>
        <v>0</v>
      </c>
      <c r="P13" s="85">
        <f>G13*0</f>
        <v>0</v>
      </c>
      <c r="Q13" s="85">
        <f>G13*0</f>
        <v>0</v>
      </c>
      <c r="R13" s="47">
        <f>F13*0.25</f>
        <v>3</v>
      </c>
      <c r="S13" s="47">
        <f>F13*0.25</f>
        <v>3</v>
      </c>
      <c r="T13" s="47">
        <f>F13*0.25</f>
        <v>3</v>
      </c>
      <c r="U13" s="47">
        <f>F13*0.25</f>
        <v>3</v>
      </c>
      <c r="V13" s="181">
        <f>R13*E13</f>
        <v>300000</v>
      </c>
      <c r="W13" s="181">
        <f>S13*E13</f>
        <v>300000</v>
      </c>
      <c r="X13" s="181">
        <f>T13*E13</f>
        <v>300000</v>
      </c>
      <c r="Y13" s="181">
        <f>U13*E13</f>
        <v>300000</v>
      </c>
      <c r="Z13" s="47">
        <v>0</v>
      </c>
      <c r="AA13" s="181">
        <f>Z13*E13</f>
        <v>0</v>
      </c>
      <c r="AB13" s="47">
        <v>0</v>
      </c>
      <c r="AC13" s="181">
        <f t="shared" ref="AC13:AC77" si="2">AB13*E13</f>
        <v>0</v>
      </c>
      <c r="AD13" s="47">
        <v>0</v>
      </c>
      <c r="AE13" s="181">
        <f t="shared" ref="AE13:AE77" si="3">AD13*E13</f>
        <v>0</v>
      </c>
      <c r="AF13" s="47">
        <v>0</v>
      </c>
      <c r="AG13" s="181">
        <f t="shared" ref="AG13:AG77" si="4">AF13*E13</f>
        <v>0</v>
      </c>
      <c r="AH13" s="47">
        <v>0</v>
      </c>
      <c r="AI13" s="181">
        <f t="shared" ref="AI13:AI77" si="5">AH13*E13</f>
        <v>0</v>
      </c>
      <c r="AJ13" s="47">
        <v>0</v>
      </c>
      <c r="AK13" s="181">
        <f t="shared" ref="AK13:AK77" si="6">AJ13*E13</f>
        <v>0</v>
      </c>
      <c r="AL13" s="47">
        <v>0</v>
      </c>
      <c r="AM13" s="181">
        <f t="shared" ref="AM13:AM77" si="7">AL13*E13</f>
        <v>0</v>
      </c>
      <c r="AN13" s="47">
        <v>0</v>
      </c>
      <c r="AO13" s="181">
        <f t="shared" ref="AO13:AO77" si="8">AN13*E13</f>
        <v>0</v>
      </c>
      <c r="AP13" s="47">
        <v>0</v>
      </c>
      <c r="AQ13" s="181">
        <f t="shared" ref="AQ13:AQ77" si="9">AP13*E13</f>
        <v>0</v>
      </c>
      <c r="AR13" s="47">
        <v>0</v>
      </c>
      <c r="AS13" s="181">
        <f t="shared" ref="AS13:AS77" si="10">AR13*E13</f>
        <v>0</v>
      </c>
      <c r="AT13" s="47">
        <v>0</v>
      </c>
      <c r="AU13" s="181">
        <f t="shared" ref="AU13:AU77" si="11">AT13*E13</f>
        <v>0</v>
      </c>
      <c r="AV13" s="47">
        <v>0</v>
      </c>
      <c r="AW13" s="181">
        <f t="shared" ref="AW13:AW77" si="12">AV13*E13</f>
        <v>0</v>
      </c>
      <c r="AX13" s="47">
        <v>0</v>
      </c>
      <c r="AY13" s="181">
        <f t="shared" ref="AY13:AY77" si="13">AX13*E13</f>
        <v>0</v>
      </c>
      <c r="AZ13" s="47">
        <v>0</v>
      </c>
      <c r="BA13" s="181">
        <f t="shared" ref="BA13:BA77" si="14">AZ13*E13</f>
        <v>0</v>
      </c>
      <c r="BB13" s="47">
        <v>0</v>
      </c>
      <c r="BC13" s="181">
        <f t="shared" ref="BC13:BC77" si="15">BB13*E13</f>
        <v>0</v>
      </c>
      <c r="BD13" s="47">
        <v>0</v>
      </c>
      <c r="BE13" s="181">
        <f t="shared" ref="BE13:BE77" si="16">BD13*E13</f>
        <v>0</v>
      </c>
      <c r="BF13" s="47">
        <v>0</v>
      </c>
      <c r="BG13" s="181">
        <f t="shared" ref="BG13:BG77" si="17">BF13*E13</f>
        <v>0</v>
      </c>
      <c r="BH13" s="47">
        <v>12</v>
      </c>
      <c r="BI13" s="181">
        <f>BH13*E13</f>
        <v>1200000</v>
      </c>
      <c r="BJ13" s="47">
        <f t="shared" si="1"/>
        <v>12</v>
      </c>
      <c r="BK13" s="117">
        <f t="shared" si="1"/>
        <v>1200000</v>
      </c>
      <c r="BL13" s="344" t="s">
        <v>472</v>
      </c>
      <c r="BN13" s="113"/>
      <c r="BO13" s="113"/>
      <c r="BP13" s="113"/>
      <c r="BQ13" s="113"/>
      <c r="BR13" s="113">
        <f>BN13+BO13+BP13+BQ13</f>
        <v>0</v>
      </c>
      <c r="BS13" s="113"/>
      <c r="BT13" s="113">
        <f>G13</f>
        <v>1200000</v>
      </c>
      <c r="BU13" s="125">
        <f>BS13+BT13</f>
        <v>1200000</v>
      </c>
      <c r="BV13" s="181">
        <f t="shared" si="0"/>
        <v>1200000</v>
      </c>
    </row>
    <row r="14" spans="1:74" x14ac:dyDescent="0.25">
      <c r="A14" s="989"/>
      <c r="B14" s="38">
        <v>41103</v>
      </c>
      <c r="C14" s="38" t="s">
        <v>243</v>
      </c>
      <c r="D14" s="38" t="s">
        <v>209</v>
      </c>
      <c r="E14" s="375">
        <f>0.5*100000</f>
        <v>50000</v>
      </c>
      <c r="F14" s="38">
        <f>BJ14</f>
        <v>0</v>
      </c>
      <c r="G14" s="438">
        <f>E14*F14</f>
        <v>0</v>
      </c>
      <c r="H14" s="438">
        <f>G14*0.5</f>
        <v>0</v>
      </c>
      <c r="I14" s="438">
        <f>G14*0.5</f>
        <v>0</v>
      </c>
      <c r="J14" s="438">
        <f>G14*0</f>
        <v>0</v>
      </c>
      <c r="K14" s="438">
        <f>G14*0</f>
        <v>0</v>
      </c>
      <c r="L14" s="438">
        <f>G14*0</f>
        <v>0</v>
      </c>
      <c r="M14" s="438">
        <f>G14*0</f>
        <v>0</v>
      </c>
      <c r="N14" s="438">
        <f>G14*0</f>
        <v>0</v>
      </c>
      <c r="O14" s="85">
        <f>G14*0</f>
        <v>0</v>
      </c>
      <c r="P14" s="85">
        <f>G14*0</f>
        <v>0</v>
      </c>
      <c r="Q14" s="85">
        <f>G14*0</f>
        <v>0</v>
      </c>
      <c r="R14" s="47">
        <f>F14*0.25</f>
        <v>0</v>
      </c>
      <c r="S14" s="47">
        <f>F14*0.25</f>
        <v>0</v>
      </c>
      <c r="T14" s="47">
        <f>F14*0.25</f>
        <v>0</v>
      </c>
      <c r="U14" s="47">
        <f>F14*0.25</f>
        <v>0</v>
      </c>
      <c r="V14" s="181">
        <f>R14*E14</f>
        <v>0</v>
      </c>
      <c r="W14" s="181">
        <f>S14*E14</f>
        <v>0</v>
      </c>
      <c r="X14" s="181">
        <f>T14*E14</f>
        <v>0</v>
      </c>
      <c r="Y14" s="181">
        <f>U14*E14</f>
        <v>0</v>
      </c>
      <c r="Z14" s="47">
        <v>0</v>
      </c>
      <c r="AA14" s="181">
        <f>Z14*E14</f>
        <v>0</v>
      </c>
      <c r="AB14" s="47">
        <v>0</v>
      </c>
      <c r="AC14" s="181">
        <f t="shared" si="2"/>
        <v>0</v>
      </c>
      <c r="AD14" s="47">
        <v>0</v>
      </c>
      <c r="AE14" s="181">
        <f t="shared" si="3"/>
        <v>0</v>
      </c>
      <c r="AF14" s="47">
        <v>0</v>
      </c>
      <c r="AG14" s="181">
        <f t="shared" si="4"/>
        <v>0</v>
      </c>
      <c r="AH14" s="47">
        <v>0</v>
      </c>
      <c r="AI14" s="181">
        <f t="shared" si="5"/>
        <v>0</v>
      </c>
      <c r="AJ14" s="47">
        <v>0</v>
      </c>
      <c r="AK14" s="181">
        <f t="shared" si="6"/>
        <v>0</v>
      </c>
      <c r="AL14" s="47">
        <v>0</v>
      </c>
      <c r="AM14" s="181">
        <f t="shared" si="7"/>
        <v>0</v>
      </c>
      <c r="AN14" s="47">
        <v>0</v>
      </c>
      <c r="AO14" s="181">
        <f t="shared" si="8"/>
        <v>0</v>
      </c>
      <c r="AP14" s="47">
        <v>0</v>
      </c>
      <c r="AQ14" s="181">
        <f t="shared" si="9"/>
        <v>0</v>
      </c>
      <c r="AR14" s="47">
        <v>0</v>
      </c>
      <c r="AS14" s="181">
        <f t="shared" si="10"/>
        <v>0</v>
      </c>
      <c r="AT14" s="47">
        <v>0</v>
      </c>
      <c r="AU14" s="181">
        <f t="shared" si="11"/>
        <v>0</v>
      </c>
      <c r="AV14" s="47">
        <v>0</v>
      </c>
      <c r="AW14" s="181">
        <f t="shared" si="12"/>
        <v>0</v>
      </c>
      <c r="AX14" s="47">
        <v>0</v>
      </c>
      <c r="AY14" s="181">
        <f t="shared" si="13"/>
        <v>0</v>
      </c>
      <c r="AZ14" s="47">
        <v>0</v>
      </c>
      <c r="BA14" s="181">
        <f t="shared" si="14"/>
        <v>0</v>
      </c>
      <c r="BB14" s="47">
        <v>0</v>
      </c>
      <c r="BC14" s="181">
        <f t="shared" si="15"/>
        <v>0</v>
      </c>
      <c r="BD14" s="47">
        <v>0</v>
      </c>
      <c r="BE14" s="181">
        <f t="shared" si="16"/>
        <v>0</v>
      </c>
      <c r="BF14" s="47">
        <v>0</v>
      </c>
      <c r="BG14" s="181">
        <f t="shared" si="17"/>
        <v>0</v>
      </c>
      <c r="BH14" s="47">
        <v>0</v>
      </c>
      <c r="BI14" s="181">
        <f>BH14*E14</f>
        <v>0</v>
      </c>
      <c r="BJ14" s="47">
        <f t="shared" si="1"/>
        <v>0</v>
      </c>
      <c r="BK14" s="117">
        <f t="shared" si="1"/>
        <v>0</v>
      </c>
      <c r="BL14" s="344" t="s">
        <v>472</v>
      </c>
      <c r="BN14" s="113"/>
      <c r="BO14" s="113"/>
      <c r="BP14" s="113"/>
      <c r="BQ14" s="113"/>
      <c r="BR14" s="113">
        <f>BN14+BO14+BP14+BQ14</f>
        <v>0</v>
      </c>
      <c r="BS14" s="113"/>
      <c r="BT14" s="113"/>
      <c r="BU14" s="125">
        <f>BS14+BT14</f>
        <v>0</v>
      </c>
      <c r="BV14" s="181">
        <f t="shared" si="0"/>
        <v>0</v>
      </c>
    </row>
    <row r="15" spans="1:74" ht="31.5" x14ac:dyDescent="0.25">
      <c r="A15" s="989"/>
      <c r="B15" s="38">
        <v>41104</v>
      </c>
      <c r="C15" s="38" t="s">
        <v>244</v>
      </c>
      <c r="D15" s="38" t="s">
        <v>73</v>
      </c>
      <c r="E15" s="375">
        <f>0.03*100000</f>
        <v>3000</v>
      </c>
      <c r="F15" s="38">
        <f>BJ15</f>
        <v>0</v>
      </c>
      <c r="G15" s="438">
        <f>E15*F15</f>
        <v>0</v>
      </c>
      <c r="H15" s="438">
        <f>G15*0.5</f>
        <v>0</v>
      </c>
      <c r="I15" s="438">
        <f>G15*0.5</f>
        <v>0</v>
      </c>
      <c r="J15" s="438">
        <f>G15*0</f>
        <v>0</v>
      </c>
      <c r="K15" s="438">
        <f>G15*0</f>
        <v>0</v>
      </c>
      <c r="L15" s="438">
        <f>G15*0</f>
        <v>0</v>
      </c>
      <c r="M15" s="438">
        <f>G15*0</f>
        <v>0</v>
      </c>
      <c r="N15" s="438">
        <f>G15*0</f>
        <v>0</v>
      </c>
      <c r="O15" s="85">
        <f>G15*0</f>
        <v>0</v>
      </c>
      <c r="P15" s="85">
        <f>G15*0</f>
        <v>0</v>
      </c>
      <c r="Q15" s="85">
        <f>G15*0</f>
        <v>0</v>
      </c>
      <c r="R15" s="47">
        <f>F15*0.25</f>
        <v>0</v>
      </c>
      <c r="S15" s="47">
        <f>F15*0.25</f>
        <v>0</v>
      </c>
      <c r="T15" s="47">
        <f>F15*0.25</f>
        <v>0</v>
      </c>
      <c r="U15" s="47">
        <f>F15*0.25</f>
        <v>0</v>
      </c>
      <c r="V15" s="181">
        <f>R15*E15</f>
        <v>0</v>
      </c>
      <c r="W15" s="181">
        <f>S15*E15</f>
        <v>0</v>
      </c>
      <c r="X15" s="181">
        <f>T15*E15</f>
        <v>0</v>
      </c>
      <c r="Y15" s="181">
        <f>U15*E15</f>
        <v>0</v>
      </c>
      <c r="Z15" s="47">
        <v>0</v>
      </c>
      <c r="AA15" s="181">
        <f>Z15*E15</f>
        <v>0</v>
      </c>
      <c r="AB15" s="47">
        <v>0</v>
      </c>
      <c r="AC15" s="181">
        <f t="shared" si="2"/>
        <v>0</v>
      </c>
      <c r="AD15" s="47">
        <v>0</v>
      </c>
      <c r="AE15" s="181">
        <f t="shared" si="3"/>
        <v>0</v>
      </c>
      <c r="AF15" s="47">
        <v>0</v>
      </c>
      <c r="AG15" s="181">
        <f t="shared" si="4"/>
        <v>0</v>
      </c>
      <c r="AH15" s="47">
        <v>0</v>
      </c>
      <c r="AI15" s="181">
        <f t="shared" si="5"/>
        <v>0</v>
      </c>
      <c r="AJ15" s="47">
        <v>0</v>
      </c>
      <c r="AK15" s="181">
        <f t="shared" si="6"/>
        <v>0</v>
      </c>
      <c r="AL15" s="47">
        <v>0</v>
      </c>
      <c r="AM15" s="181">
        <f t="shared" si="7"/>
        <v>0</v>
      </c>
      <c r="AN15" s="47">
        <v>0</v>
      </c>
      <c r="AO15" s="181">
        <f t="shared" si="8"/>
        <v>0</v>
      </c>
      <c r="AP15" s="47">
        <v>0</v>
      </c>
      <c r="AQ15" s="181">
        <f t="shared" si="9"/>
        <v>0</v>
      </c>
      <c r="AR15" s="47">
        <v>0</v>
      </c>
      <c r="AS15" s="181">
        <f t="shared" si="10"/>
        <v>0</v>
      </c>
      <c r="AT15" s="47">
        <v>0</v>
      </c>
      <c r="AU15" s="181">
        <f t="shared" si="11"/>
        <v>0</v>
      </c>
      <c r="AV15" s="47">
        <v>0</v>
      </c>
      <c r="AW15" s="181">
        <f t="shared" si="12"/>
        <v>0</v>
      </c>
      <c r="AX15" s="47">
        <v>0</v>
      </c>
      <c r="AY15" s="181">
        <f t="shared" si="13"/>
        <v>0</v>
      </c>
      <c r="AZ15" s="47">
        <v>0</v>
      </c>
      <c r="BA15" s="181">
        <f t="shared" si="14"/>
        <v>0</v>
      </c>
      <c r="BB15" s="47">
        <v>0</v>
      </c>
      <c r="BC15" s="181">
        <f t="shared" si="15"/>
        <v>0</v>
      </c>
      <c r="BD15" s="47">
        <v>0</v>
      </c>
      <c r="BE15" s="181">
        <f t="shared" si="16"/>
        <v>0</v>
      </c>
      <c r="BF15" s="47">
        <v>0</v>
      </c>
      <c r="BG15" s="181">
        <f t="shared" si="17"/>
        <v>0</v>
      </c>
      <c r="BH15" s="47">
        <v>0</v>
      </c>
      <c r="BI15" s="181">
        <f>BH15*E15</f>
        <v>0</v>
      </c>
      <c r="BJ15" s="47">
        <f t="shared" si="1"/>
        <v>0</v>
      </c>
      <c r="BK15" s="117">
        <f t="shared" si="1"/>
        <v>0</v>
      </c>
      <c r="BL15" s="344" t="s">
        <v>472</v>
      </c>
      <c r="BN15" s="113"/>
      <c r="BO15" s="113"/>
      <c r="BP15" s="113"/>
      <c r="BQ15" s="113"/>
      <c r="BR15" s="113">
        <f>BN15+BO15+BP15+BQ15</f>
        <v>0</v>
      </c>
      <c r="BS15" s="113"/>
      <c r="BT15" s="113"/>
      <c r="BU15" s="125">
        <f>BS15+BT15</f>
        <v>0</v>
      </c>
      <c r="BV15" s="181">
        <f t="shared" si="0"/>
        <v>0</v>
      </c>
    </row>
    <row r="16" spans="1:74" ht="31.5" x14ac:dyDescent="0.25">
      <c r="A16" s="989"/>
      <c r="B16" s="38">
        <v>41105</v>
      </c>
      <c r="C16" s="38" t="s">
        <v>245</v>
      </c>
      <c r="D16" s="38" t="s">
        <v>27</v>
      </c>
      <c r="E16" s="375">
        <f>0.005*100000</f>
        <v>500</v>
      </c>
      <c r="F16" s="38">
        <f>BJ16</f>
        <v>0</v>
      </c>
      <c r="G16" s="438">
        <f>E16*F16</f>
        <v>0</v>
      </c>
      <c r="H16" s="438">
        <f>G16*0.5</f>
        <v>0</v>
      </c>
      <c r="I16" s="438">
        <f>G16*0.5</f>
        <v>0</v>
      </c>
      <c r="J16" s="438">
        <f>G16*0</f>
        <v>0</v>
      </c>
      <c r="K16" s="438">
        <f>G16*0</f>
        <v>0</v>
      </c>
      <c r="L16" s="438">
        <f>G16*0</f>
        <v>0</v>
      </c>
      <c r="M16" s="438">
        <f>G16*0</f>
        <v>0</v>
      </c>
      <c r="N16" s="438">
        <f>G16*0</f>
        <v>0</v>
      </c>
      <c r="O16" s="85">
        <f>G16*0</f>
        <v>0</v>
      </c>
      <c r="P16" s="85">
        <f>G16*0</f>
        <v>0</v>
      </c>
      <c r="Q16" s="85">
        <f>G16*0</f>
        <v>0</v>
      </c>
      <c r="R16" s="47">
        <f>F16*0.25</f>
        <v>0</v>
      </c>
      <c r="S16" s="47">
        <f>F16*0.25</f>
        <v>0</v>
      </c>
      <c r="T16" s="47">
        <f>F16*0.25</f>
        <v>0</v>
      </c>
      <c r="U16" s="47">
        <f>F16*0.25</f>
        <v>0</v>
      </c>
      <c r="V16" s="181">
        <f>R16*E16</f>
        <v>0</v>
      </c>
      <c r="W16" s="181">
        <f>S16*E16</f>
        <v>0</v>
      </c>
      <c r="X16" s="181">
        <f>T16*E16</f>
        <v>0</v>
      </c>
      <c r="Y16" s="181">
        <f>U16*E16</f>
        <v>0</v>
      </c>
      <c r="Z16" s="47">
        <v>0</v>
      </c>
      <c r="AA16" s="181">
        <f>Z16*E16</f>
        <v>0</v>
      </c>
      <c r="AB16" s="47">
        <v>0</v>
      </c>
      <c r="AC16" s="181">
        <f t="shared" si="2"/>
        <v>0</v>
      </c>
      <c r="AD16" s="47">
        <v>0</v>
      </c>
      <c r="AE16" s="181">
        <f t="shared" si="3"/>
        <v>0</v>
      </c>
      <c r="AF16" s="47">
        <v>0</v>
      </c>
      <c r="AG16" s="181">
        <f t="shared" si="4"/>
        <v>0</v>
      </c>
      <c r="AH16" s="47">
        <v>0</v>
      </c>
      <c r="AI16" s="181">
        <f t="shared" si="5"/>
        <v>0</v>
      </c>
      <c r="AJ16" s="47">
        <v>0</v>
      </c>
      <c r="AK16" s="181">
        <f t="shared" si="6"/>
        <v>0</v>
      </c>
      <c r="AL16" s="47">
        <v>0</v>
      </c>
      <c r="AM16" s="181">
        <f t="shared" si="7"/>
        <v>0</v>
      </c>
      <c r="AN16" s="47">
        <v>0</v>
      </c>
      <c r="AO16" s="181">
        <f t="shared" si="8"/>
        <v>0</v>
      </c>
      <c r="AP16" s="47">
        <v>0</v>
      </c>
      <c r="AQ16" s="181">
        <f t="shared" si="9"/>
        <v>0</v>
      </c>
      <c r="AR16" s="47">
        <v>0</v>
      </c>
      <c r="AS16" s="181">
        <f t="shared" si="10"/>
        <v>0</v>
      </c>
      <c r="AT16" s="47">
        <v>0</v>
      </c>
      <c r="AU16" s="181">
        <f t="shared" si="11"/>
        <v>0</v>
      </c>
      <c r="AV16" s="47">
        <v>0</v>
      </c>
      <c r="AW16" s="181">
        <f t="shared" si="12"/>
        <v>0</v>
      </c>
      <c r="AX16" s="47">
        <v>0</v>
      </c>
      <c r="AY16" s="181">
        <f t="shared" si="13"/>
        <v>0</v>
      </c>
      <c r="AZ16" s="47">
        <v>0</v>
      </c>
      <c r="BA16" s="181">
        <f t="shared" si="14"/>
        <v>0</v>
      </c>
      <c r="BB16" s="47">
        <v>0</v>
      </c>
      <c r="BC16" s="181">
        <f t="shared" si="15"/>
        <v>0</v>
      </c>
      <c r="BD16" s="47">
        <v>0</v>
      </c>
      <c r="BE16" s="181">
        <f t="shared" si="16"/>
        <v>0</v>
      </c>
      <c r="BF16" s="47">
        <v>0</v>
      </c>
      <c r="BG16" s="181">
        <f t="shared" si="17"/>
        <v>0</v>
      </c>
      <c r="BH16" s="47">
        <v>0</v>
      </c>
      <c r="BI16" s="181">
        <f>BH16*E16</f>
        <v>0</v>
      </c>
      <c r="BJ16" s="47">
        <f t="shared" si="1"/>
        <v>0</v>
      </c>
      <c r="BK16" s="117">
        <f t="shared" si="1"/>
        <v>0</v>
      </c>
      <c r="BL16" s="344" t="s">
        <v>472</v>
      </c>
      <c r="BN16" s="113"/>
      <c r="BO16" s="113"/>
      <c r="BP16" s="113"/>
      <c r="BQ16" s="113"/>
      <c r="BR16" s="113">
        <f>BN16+BO16+BP16+BQ16</f>
        <v>0</v>
      </c>
      <c r="BS16" s="113"/>
      <c r="BT16" s="113"/>
      <c r="BU16" s="125">
        <f>BS16+BT16</f>
        <v>0</v>
      </c>
      <c r="BV16" s="181">
        <f t="shared" si="0"/>
        <v>0</v>
      </c>
    </row>
    <row r="17" spans="1:74" x14ac:dyDescent="0.25">
      <c r="A17" s="989"/>
      <c r="B17" s="439"/>
      <c r="C17" s="439"/>
      <c r="D17" s="439"/>
      <c r="E17" s="439"/>
      <c r="F17" s="439">
        <f>SUM(F12:F16)</f>
        <v>12</v>
      </c>
      <c r="G17" s="440">
        <f>SUM(G12:G16)</f>
        <v>1200000</v>
      </c>
      <c r="H17" s="440">
        <f t="shared" ref="H17:Q17" si="18">SUM(H12:H16)</f>
        <v>600000</v>
      </c>
      <c r="I17" s="440">
        <f t="shared" si="18"/>
        <v>600000</v>
      </c>
      <c r="J17" s="440">
        <f t="shared" si="18"/>
        <v>0</v>
      </c>
      <c r="K17" s="440">
        <f t="shared" si="18"/>
        <v>0</v>
      </c>
      <c r="L17" s="440">
        <f t="shared" si="18"/>
        <v>0</v>
      </c>
      <c r="M17" s="440">
        <f t="shared" si="18"/>
        <v>0</v>
      </c>
      <c r="N17" s="440">
        <f t="shared" si="18"/>
        <v>0</v>
      </c>
      <c r="O17" s="440">
        <f t="shared" si="18"/>
        <v>0</v>
      </c>
      <c r="P17" s="440">
        <f t="shared" si="18"/>
        <v>0</v>
      </c>
      <c r="Q17" s="440">
        <f t="shared" si="18"/>
        <v>0</v>
      </c>
      <c r="R17" s="439">
        <f t="shared" ref="R17:BK17" si="19">SUM(R12:R16)</f>
        <v>3</v>
      </c>
      <c r="S17" s="439">
        <f t="shared" si="19"/>
        <v>3</v>
      </c>
      <c r="T17" s="439">
        <f t="shared" si="19"/>
        <v>3</v>
      </c>
      <c r="U17" s="439">
        <f t="shared" si="19"/>
        <v>3</v>
      </c>
      <c r="V17" s="440">
        <f t="shared" si="19"/>
        <v>300000</v>
      </c>
      <c r="W17" s="440">
        <f t="shared" si="19"/>
        <v>300000</v>
      </c>
      <c r="X17" s="440">
        <f t="shared" si="19"/>
        <v>300000</v>
      </c>
      <c r="Y17" s="440">
        <f t="shared" si="19"/>
        <v>300000</v>
      </c>
      <c r="Z17" s="439">
        <f t="shared" si="19"/>
        <v>0</v>
      </c>
      <c r="AA17" s="440">
        <f t="shared" si="19"/>
        <v>0</v>
      </c>
      <c r="AB17" s="439">
        <f t="shared" si="19"/>
        <v>0</v>
      </c>
      <c r="AC17" s="439">
        <f t="shared" si="19"/>
        <v>0</v>
      </c>
      <c r="AD17" s="439">
        <f t="shared" si="19"/>
        <v>0</v>
      </c>
      <c r="AE17" s="439">
        <f t="shared" si="19"/>
        <v>0</v>
      </c>
      <c r="AF17" s="439">
        <f t="shared" si="19"/>
        <v>0</v>
      </c>
      <c r="AG17" s="439">
        <f t="shared" si="19"/>
        <v>0</v>
      </c>
      <c r="AH17" s="439">
        <f t="shared" si="19"/>
        <v>0</v>
      </c>
      <c r="AI17" s="439">
        <f t="shared" si="19"/>
        <v>0</v>
      </c>
      <c r="AJ17" s="439">
        <f t="shared" si="19"/>
        <v>0</v>
      </c>
      <c r="AK17" s="439">
        <f t="shared" si="19"/>
        <v>0</v>
      </c>
      <c r="AL17" s="439">
        <f t="shared" si="19"/>
        <v>0</v>
      </c>
      <c r="AM17" s="439">
        <f t="shared" si="19"/>
        <v>0</v>
      </c>
      <c r="AN17" s="439">
        <f t="shared" si="19"/>
        <v>0</v>
      </c>
      <c r="AO17" s="439">
        <f t="shared" si="19"/>
        <v>0</v>
      </c>
      <c r="AP17" s="439">
        <f t="shared" si="19"/>
        <v>0</v>
      </c>
      <c r="AQ17" s="439">
        <f t="shared" si="19"/>
        <v>0</v>
      </c>
      <c r="AR17" s="439">
        <f t="shared" si="19"/>
        <v>0</v>
      </c>
      <c r="AS17" s="439">
        <f t="shared" si="19"/>
        <v>0</v>
      </c>
      <c r="AT17" s="439">
        <f t="shared" si="19"/>
        <v>0</v>
      </c>
      <c r="AU17" s="439">
        <f t="shared" si="19"/>
        <v>0</v>
      </c>
      <c r="AV17" s="439">
        <f t="shared" si="19"/>
        <v>0</v>
      </c>
      <c r="AW17" s="439">
        <f t="shared" si="19"/>
        <v>0</v>
      </c>
      <c r="AX17" s="439">
        <f t="shared" si="19"/>
        <v>0</v>
      </c>
      <c r="AY17" s="439">
        <f t="shared" si="19"/>
        <v>0</v>
      </c>
      <c r="AZ17" s="439">
        <f t="shared" si="19"/>
        <v>0</v>
      </c>
      <c r="BA17" s="439">
        <f t="shared" si="19"/>
        <v>0</v>
      </c>
      <c r="BB17" s="439">
        <f t="shared" si="19"/>
        <v>0</v>
      </c>
      <c r="BC17" s="439">
        <f t="shared" si="19"/>
        <v>0</v>
      </c>
      <c r="BD17" s="439">
        <f t="shared" si="19"/>
        <v>0</v>
      </c>
      <c r="BE17" s="439">
        <f t="shared" si="19"/>
        <v>0</v>
      </c>
      <c r="BF17" s="439">
        <f t="shared" si="19"/>
        <v>0</v>
      </c>
      <c r="BG17" s="439">
        <f t="shared" si="19"/>
        <v>0</v>
      </c>
      <c r="BH17" s="439">
        <f t="shared" si="19"/>
        <v>12</v>
      </c>
      <c r="BI17" s="440">
        <f t="shared" si="19"/>
        <v>1200000</v>
      </c>
      <c r="BJ17" s="439">
        <f t="shared" si="19"/>
        <v>12</v>
      </c>
      <c r="BK17" s="441">
        <f t="shared" si="19"/>
        <v>1200000</v>
      </c>
      <c r="BL17" s="344" t="s">
        <v>472</v>
      </c>
      <c r="BN17" s="441">
        <f t="shared" ref="BN17:BU17" si="20">SUM(BN12:BN16)</f>
        <v>0</v>
      </c>
      <c r="BO17" s="441">
        <f t="shared" si="20"/>
        <v>0</v>
      </c>
      <c r="BP17" s="441">
        <f t="shared" si="20"/>
        <v>0</v>
      </c>
      <c r="BQ17" s="441">
        <f t="shared" si="20"/>
        <v>0</v>
      </c>
      <c r="BR17" s="441">
        <f t="shared" si="20"/>
        <v>0</v>
      </c>
      <c r="BS17" s="441">
        <f t="shared" si="20"/>
        <v>0</v>
      </c>
      <c r="BT17" s="441">
        <f t="shared" si="20"/>
        <v>1200000</v>
      </c>
      <c r="BU17" s="441">
        <f t="shared" si="20"/>
        <v>1200000</v>
      </c>
      <c r="BV17" s="390">
        <f t="shared" si="0"/>
        <v>1200000</v>
      </c>
    </row>
    <row r="18" spans="1:74" x14ac:dyDescent="0.25">
      <c r="A18" s="989"/>
      <c r="B18" s="216">
        <v>41200</v>
      </c>
      <c r="C18" s="216" t="s">
        <v>247</v>
      </c>
      <c r="D18" s="38"/>
      <c r="E18" s="375"/>
      <c r="F18" s="38"/>
      <c r="G18" s="124"/>
      <c r="H18" s="124"/>
      <c r="I18" s="124"/>
      <c r="J18" s="124"/>
      <c r="K18" s="124"/>
      <c r="L18" s="124"/>
      <c r="M18" s="124"/>
      <c r="N18" s="124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81">
        <f t="shared" si="2"/>
        <v>0</v>
      </c>
      <c r="AD18" s="47"/>
      <c r="AE18" s="181">
        <f t="shared" si="3"/>
        <v>0</v>
      </c>
      <c r="AF18" s="47"/>
      <c r="AG18" s="181">
        <f t="shared" si="4"/>
        <v>0</v>
      </c>
      <c r="AH18" s="47"/>
      <c r="AI18" s="181">
        <f t="shared" si="5"/>
        <v>0</v>
      </c>
      <c r="AJ18" s="47"/>
      <c r="AK18" s="181">
        <f t="shared" si="6"/>
        <v>0</v>
      </c>
      <c r="AL18" s="47"/>
      <c r="AM18" s="181">
        <f t="shared" si="7"/>
        <v>0</v>
      </c>
      <c r="AN18" s="47"/>
      <c r="AO18" s="181">
        <f t="shared" si="8"/>
        <v>0</v>
      </c>
      <c r="AP18" s="47"/>
      <c r="AQ18" s="181">
        <f t="shared" si="9"/>
        <v>0</v>
      </c>
      <c r="AR18" s="47"/>
      <c r="AS18" s="181">
        <f t="shared" si="10"/>
        <v>0</v>
      </c>
      <c r="AT18" s="47"/>
      <c r="AU18" s="181">
        <f t="shared" si="11"/>
        <v>0</v>
      </c>
      <c r="AV18" s="47"/>
      <c r="AW18" s="181">
        <f t="shared" si="12"/>
        <v>0</v>
      </c>
      <c r="AX18" s="47"/>
      <c r="AY18" s="181">
        <f t="shared" si="13"/>
        <v>0</v>
      </c>
      <c r="AZ18" s="47"/>
      <c r="BA18" s="181">
        <f t="shared" si="14"/>
        <v>0</v>
      </c>
      <c r="BB18" s="47"/>
      <c r="BC18" s="181">
        <f t="shared" si="15"/>
        <v>0</v>
      </c>
      <c r="BD18" s="47"/>
      <c r="BE18" s="181">
        <f t="shared" si="16"/>
        <v>0</v>
      </c>
      <c r="BF18" s="47"/>
      <c r="BG18" s="181">
        <f t="shared" si="17"/>
        <v>0</v>
      </c>
      <c r="BH18" s="47"/>
      <c r="BI18" s="47"/>
      <c r="BJ18" s="47"/>
      <c r="BK18" s="124"/>
      <c r="BL18" s="47"/>
      <c r="BN18" s="113"/>
      <c r="BO18" s="113"/>
      <c r="BP18" s="113"/>
      <c r="BQ18" s="113"/>
      <c r="BR18" s="113"/>
      <c r="BS18" s="113"/>
      <c r="BT18" s="113"/>
      <c r="BU18" s="125"/>
      <c r="BV18" s="181">
        <f t="shared" si="0"/>
        <v>0</v>
      </c>
    </row>
    <row r="19" spans="1:74" x14ac:dyDescent="0.25">
      <c r="A19" s="989"/>
      <c r="B19" s="38">
        <v>41201</v>
      </c>
      <c r="C19" s="38" t="s">
        <v>726</v>
      </c>
      <c r="D19" s="38" t="s">
        <v>241</v>
      </c>
      <c r="E19" s="375">
        <f>0.75*100000</f>
        <v>75000</v>
      </c>
      <c r="F19" s="38">
        <f t="shared" ref="F19:F43" si="21">BJ19</f>
        <v>0</v>
      </c>
      <c r="G19" s="438">
        <f t="shared" ref="G19:G43" si="22">E19*F19</f>
        <v>0</v>
      </c>
      <c r="H19" s="438">
        <f>G19*0.2</f>
        <v>0</v>
      </c>
      <c r="I19" s="438">
        <f>G19*0.8</f>
        <v>0</v>
      </c>
      <c r="J19" s="438">
        <f t="shared" ref="J19:J43" si="23">G19*0</f>
        <v>0</v>
      </c>
      <c r="K19" s="438">
        <f t="shared" ref="K19:K43" si="24">G19*0</f>
        <v>0</v>
      </c>
      <c r="L19" s="438">
        <f t="shared" ref="L19:L43" si="25">G19*0</f>
        <v>0</v>
      </c>
      <c r="M19" s="438">
        <f t="shared" ref="M19:M43" si="26">G19*0</f>
        <v>0</v>
      </c>
      <c r="N19" s="438">
        <f t="shared" ref="N19:N43" si="27">G19*0</f>
        <v>0</v>
      </c>
      <c r="O19" s="85">
        <f t="shared" ref="O19:O43" si="28">G19*0</f>
        <v>0</v>
      </c>
      <c r="P19" s="85">
        <f t="shared" ref="P19:P43" si="29">G19*0</f>
        <v>0</v>
      </c>
      <c r="Q19" s="85">
        <f t="shared" ref="Q19:Q43" si="30">G19*0</f>
        <v>0</v>
      </c>
      <c r="R19" s="47"/>
      <c r="S19" s="47">
        <f>F19</f>
        <v>0</v>
      </c>
      <c r="T19" s="47"/>
      <c r="U19" s="47"/>
      <c r="V19" s="181">
        <f>R19*E19</f>
        <v>0</v>
      </c>
      <c r="W19" s="181">
        <f>S19*E19</f>
        <v>0</v>
      </c>
      <c r="X19" s="181">
        <f>T19*E19</f>
        <v>0</v>
      </c>
      <c r="Y19" s="181">
        <f>U19*E19</f>
        <v>0</v>
      </c>
      <c r="Z19" s="47">
        <v>0</v>
      </c>
      <c r="AA19" s="181">
        <f t="shared" ref="AA19:AA43" si="31">Z19*E19</f>
        <v>0</v>
      </c>
      <c r="AB19" s="47">
        <v>0</v>
      </c>
      <c r="AC19" s="181">
        <f t="shared" si="2"/>
        <v>0</v>
      </c>
      <c r="AD19" s="47">
        <v>0</v>
      </c>
      <c r="AE19" s="181">
        <f t="shared" si="3"/>
        <v>0</v>
      </c>
      <c r="AF19" s="47">
        <v>0</v>
      </c>
      <c r="AG19" s="181">
        <f t="shared" si="4"/>
        <v>0</v>
      </c>
      <c r="AH19" s="47">
        <v>0</v>
      </c>
      <c r="AI19" s="181">
        <f t="shared" si="5"/>
        <v>0</v>
      </c>
      <c r="AJ19" s="47">
        <v>0</v>
      </c>
      <c r="AK19" s="181">
        <f t="shared" si="6"/>
        <v>0</v>
      </c>
      <c r="AL19" s="47">
        <v>0</v>
      </c>
      <c r="AM19" s="181">
        <f t="shared" si="7"/>
        <v>0</v>
      </c>
      <c r="AN19" s="47">
        <v>0</v>
      </c>
      <c r="AO19" s="181">
        <f t="shared" si="8"/>
        <v>0</v>
      </c>
      <c r="AP19" s="47">
        <v>0</v>
      </c>
      <c r="AQ19" s="181">
        <f t="shared" si="9"/>
        <v>0</v>
      </c>
      <c r="AR19" s="47">
        <v>0</v>
      </c>
      <c r="AS19" s="181">
        <f t="shared" si="10"/>
        <v>0</v>
      </c>
      <c r="AT19" s="47">
        <v>0</v>
      </c>
      <c r="AU19" s="181">
        <f t="shared" si="11"/>
        <v>0</v>
      </c>
      <c r="AV19" s="47">
        <v>0</v>
      </c>
      <c r="AW19" s="181">
        <f t="shared" si="12"/>
        <v>0</v>
      </c>
      <c r="AX19" s="47">
        <v>0</v>
      </c>
      <c r="AY19" s="181">
        <f t="shared" si="13"/>
        <v>0</v>
      </c>
      <c r="AZ19" s="47">
        <v>0</v>
      </c>
      <c r="BA19" s="181">
        <f t="shared" si="14"/>
        <v>0</v>
      </c>
      <c r="BB19" s="47">
        <v>0</v>
      </c>
      <c r="BC19" s="181">
        <f t="shared" si="15"/>
        <v>0</v>
      </c>
      <c r="BD19" s="47">
        <v>0</v>
      </c>
      <c r="BE19" s="181">
        <f t="shared" si="16"/>
        <v>0</v>
      </c>
      <c r="BF19" s="47">
        <v>0</v>
      </c>
      <c r="BG19" s="181">
        <f t="shared" si="17"/>
        <v>0</v>
      </c>
      <c r="BH19" s="47">
        <v>0</v>
      </c>
      <c r="BI19" s="181">
        <f t="shared" ref="BI19:BI43" si="32">BH19*E19</f>
        <v>0</v>
      </c>
      <c r="BJ19" s="47">
        <f t="shared" ref="BJ19:BK43" si="33">Z19+AB19+AD19+AF19+AH19+AJ19+AL19+AN19+AP19+AR19+AT19+AV19+AX19+AZ19+BB19+BD19+BF19+BH19</f>
        <v>0</v>
      </c>
      <c r="BK19" s="117">
        <f t="shared" si="33"/>
        <v>0</v>
      </c>
      <c r="BL19" s="345" t="s">
        <v>469</v>
      </c>
      <c r="BN19" s="113"/>
      <c r="BO19" s="113"/>
      <c r="BP19" s="113">
        <f t="shared" ref="BP19:BP27" si="34">G19</f>
        <v>0</v>
      </c>
      <c r="BQ19" s="113"/>
      <c r="BR19" s="113">
        <f>BN19+BO19+BP19+BQ19</f>
        <v>0</v>
      </c>
      <c r="BS19" s="113"/>
      <c r="BT19" s="113"/>
      <c r="BU19" s="125">
        <f>BS19+BT19</f>
        <v>0</v>
      </c>
      <c r="BV19" s="181">
        <f t="shared" si="0"/>
        <v>0</v>
      </c>
    </row>
    <row r="20" spans="1:74" ht="31.5" x14ac:dyDescent="0.25">
      <c r="A20" s="989"/>
      <c r="B20" s="38">
        <v>41202</v>
      </c>
      <c r="C20" s="38" t="s">
        <v>772</v>
      </c>
      <c r="D20" s="38" t="s">
        <v>241</v>
      </c>
      <c r="E20" s="375">
        <v>210000</v>
      </c>
      <c r="F20" s="38">
        <f t="shared" si="21"/>
        <v>1</v>
      </c>
      <c r="G20" s="438">
        <f t="shared" si="22"/>
        <v>210000</v>
      </c>
      <c r="H20" s="438">
        <f t="shared" ref="H20:H43" si="35">G20*0.2</f>
        <v>42000</v>
      </c>
      <c r="I20" s="438">
        <f t="shared" ref="I20:I43" si="36">G20*0.8</f>
        <v>168000</v>
      </c>
      <c r="J20" s="438">
        <f t="shared" si="23"/>
        <v>0</v>
      </c>
      <c r="K20" s="438">
        <f t="shared" si="24"/>
        <v>0</v>
      </c>
      <c r="L20" s="438">
        <f t="shared" si="25"/>
        <v>0</v>
      </c>
      <c r="M20" s="438">
        <f t="shared" si="26"/>
        <v>0</v>
      </c>
      <c r="N20" s="438">
        <f t="shared" si="27"/>
        <v>0</v>
      </c>
      <c r="O20" s="85">
        <f t="shared" si="28"/>
        <v>0</v>
      </c>
      <c r="P20" s="85">
        <f t="shared" si="29"/>
        <v>0</v>
      </c>
      <c r="Q20" s="85">
        <f t="shared" si="30"/>
        <v>0</v>
      </c>
      <c r="R20" s="47">
        <v>1</v>
      </c>
      <c r="S20" s="47"/>
      <c r="T20" s="47"/>
      <c r="U20" s="47"/>
      <c r="V20" s="181">
        <f t="shared" ref="V20:V43" si="37">R20*E20</f>
        <v>210000</v>
      </c>
      <c r="W20" s="181">
        <f t="shared" ref="W20:W43" si="38">S20*E20</f>
        <v>0</v>
      </c>
      <c r="X20" s="181">
        <f t="shared" ref="X20:X43" si="39">T20*E20</f>
        <v>0</v>
      </c>
      <c r="Y20" s="181">
        <f t="shared" ref="Y20:Y43" si="40">U20*E20</f>
        <v>0</v>
      </c>
      <c r="Z20" s="47">
        <v>0</v>
      </c>
      <c r="AA20" s="181">
        <f t="shared" si="31"/>
        <v>0</v>
      </c>
      <c r="AB20" s="47">
        <v>0</v>
      </c>
      <c r="AC20" s="181">
        <f t="shared" si="2"/>
        <v>0</v>
      </c>
      <c r="AD20" s="47">
        <v>0</v>
      </c>
      <c r="AE20" s="181">
        <f t="shared" si="3"/>
        <v>0</v>
      </c>
      <c r="AF20" s="47">
        <v>0</v>
      </c>
      <c r="AG20" s="181">
        <f t="shared" si="4"/>
        <v>0</v>
      </c>
      <c r="AH20" s="47">
        <v>0</v>
      </c>
      <c r="AI20" s="181">
        <f t="shared" si="5"/>
        <v>0</v>
      </c>
      <c r="AJ20" s="47">
        <v>0</v>
      </c>
      <c r="AK20" s="181">
        <f t="shared" si="6"/>
        <v>0</v>
      </c>
      <c r="AL20" s="47">
        <v>0</v>
      </c>
      <c r="AM20" s="181">
        <f t="shared" si="7"/>
        <v>0</v>
      </c>
      <c r="AN20" s="47">
        <v>0</v>
      </c>
      <c r="AO20" s="181">
        <f t="shared" si="8"/>
        <v>0</v>
      </c>
      <c r="AP20" s="47">
        <v>0</v>
      </c>
      <c r="AQ20" s="181">
        <f t="shared" si="9"/>
        <v>0</v>
      </c>
      <c r="AR20" s="47">
        <v>0</v>
      </c>
      <c r="AS20" s="181">
        <f t="shared" si="10"/>
        <v>0</v>
      </c>
      <c r="AT20" s="47">
        <v>0</v>
      </c>
      <c r="AU20" s="181">
        <f t="shared" si="11"/>
        <v>0</v>
      </c>
      <c r="AV20" s="47">
        <v>0</v>
      </c>
      <c r="AW20" s="181">
        <f t="shared" si="12"/>
        <v>0</v>
      </c>
      <c r="AX20" s="47">
        <v>0</v>
      </c>
      <c r="AY20" s="181">
        <f t="shared" si="13"/>
        <v>0</v>
      </c>
      <c r="AZ20" s="47">
        <v>0</v>
      </c>
      <c r="BA20" s="181">
        <f t="shared" si="14"/>
        <v>0</v>
      </c>
      <c r="BB20" s="47">
        <v>0</v>
      </c>
      <c r="BC20" s="181">
        <f t="shared" si="15"/>
        <v>0</v>
      </c>
      <c r="BD20" s="47">
        <v>0</v>
      </c>
      <c r="BE20" s="181">
        <f t="shared" si="16"/>
        <v>0</v>
      </c>
      <c r="BF20" s="47">
        <v>0</v>
      </c>
      <c r="BG20" s="181">
        <f t="shared" si="17"/>
        <v>0</v>
      </c>
      <c r="BH20" s="47">
        <v>1</v>
      </c>
      <c r="BI20" s="181">
        <f t="shared" si="32"/>
        <v>210000</v>
      </c>
      <c r="BJ20" s="47">
        <f t="shared" si="33"/>
        <v>1</v>
      </c>
      <c r="BK20" s="117">
        <f t="shared" si="33"/>
        <v>210000</v>
      </c>
      <c r="BL20" s="345" t="s">
        <v>469</v>
      </c>
      <c r="BN20" s="113"/>
      <c r="BO20" s="113"/>
      <c r="BP20" s="113">
        <f t="shared" si="34"/>
        <v>210000</v>
      </c>
      <c r="BQ20" s="113"/>
      <c r="BR20" s="113">
        <f t="shared" ref="BR20:BR43" si="41">BN20+BO20+BP20+BQ20</f>
        <v>210000</v>
      </c>
      <c r="BS20" s="113"/>
      <c r="BT20" s="113"/>
      <c r="BU20" s="125">
        <f t="shared" ref="BU20:BU43" si="42">BS20+BT20</f>
        <v>0</v>
      </c>
      <c r="BV20" s="181">
        <f t="shared" si="0"/>
        <v>210000</v>
      </c>
    </row>
    <row r="21" spans="1:74" ht="31.5" x14ac:dyDescent="0.25">
      <c r="A21" s="989"/>
      <c r="B21" s="38"/>
      <c r="C21" s="38" t="s">
        <v>773</v>
      </c>
      <c r="D21" s="38" t="s">
        <v>241</v>
      </c>
      <c r="E21" s="375">
        <v>300000</v>
      </c>
      <c r="F21" s="38">
        <f t="shared" si="21"/>
        <v>1</v>
      </c>
      <c r="G21" s="438">
        <f t="shared" si="22"/>
        <v>300000</v>
      </c>
      <c r="H21" s="438">
        <f>G21*0.2</f>
        <v>60000</v>
      </c>
      <c r="I21" s="438">
        <f>G21*0.8</f>
        <v>240000</v>
      </c>
      <c r="J21" s="438">
        <f>G21*0</f>
        <v>0</v>
      </c>
      <c r="K21" s="438">
        <f>G21*0</f>
        <v>0</v>
      </c>
      <c r="L21" s="438">
        <f>G21*0</f>
        <v>0</v>
      </c>
      <c r="M21" s="438">
        <f>G21*0</f>
        <v>0</v>
      </c>
      <c r="N21" s="438">
        <f>G21*0</f>
        <v>0</v>
      </c>
      <c r="O21" s="85">
        <f>G21*0</f>
        <v>0</v>
      </c>
      <c r="P21" s="85">
        <f>G21*0</f>
        <v>0</v>
      </c>
      <c r="Q21" s="85">
        <f>G21*0</f>
        <v>0</v>
      </c>
      <c r="R21" s="47">
        <v>1</v>
      </c>
      <c r="S21" s="47"/>
      <c r="T21" s="47"/>
      <c r="U21" s="47"/>
      <c r="V21" s="181">
        <f t="shared" si="37"/>
        <v>300000</v>
      </c>
      <c r="W21" s="181">
        <f t="shared" si="38"/>
        <v>0</v>
      </c>
      <c r="X21" s="181">
        <f t="shared" si="39"/>
        <v>0</v>
      </c>
      <c r="Y21" s="181">
        <f t="shared" si="40"/>
        <v>0</v>
      </c>
      <c r="Z21" s="47"/>
      <c r="AA21" s="181">
        <f t="shared" si="31"/>
        <v>0</v>
      </c>
      <c r="AB21" s="47"/>
      <c r="AC21" s="181">
        <f t="shared" si="2"/>
        <v>0</v>
      </c>
      <c r="AD21" s="47"/>
      <c r="AE21" s="181">
        <f t="shared" si="3"/>
        <v>0</v>
      </c>
      <c r="AF21" s="47"/>
      <c r="AG21" s="181">
        <f t="shared" si="4"/>
        <v>0</v>
      </c>
      <c r="AH21" s="47"/>
      <c r="AI21" s="181">
        <f t="shared" si="5"/>
        <v>0</v>
      </c>
      <c r="AJ21" s="47"/>
      <c r="AK21" s="181">
        <f t="shared" si="6"/>
        <v>0</v>
      </c>
      <c r="AL21" s="47"/>
      <c r="AM21" s="181">
        <f t="shared" si="7"/>
        <v>0</v>
      </c>
      <c r="AN21" s="47"/>
      <c r="AO21" s="181">
        <f t="shared" si="8"/>
        <v>0</v>
      </c>
      <c r="AP21" s="47"/>
      <c r="AQ21" s="181">
        <f t="shared" si="9"/>
        <v>0</v>
      </c>
      <c r="AR21" s="47"/>
      <c r="AS21" s="181">
        <f t="shared" si="10"/>
        <v>0</v>
      </c>
      <c r="AT21" s="47"/>
      <c r="AU21" s="181">
        <f t="shared" si="11"/>
        <v>0</v>
      </c>
      <c r="AV21" s="47"/>
      <c r="AW21" s="181">
        <f t="shared" si="12"/>
        <v>0</v>
      </c>
      <c r="AX21" s="47"/>
      <c r="AY21" s="181">
        <f t="shared" si="13"/>
        <v>0</v>
      </c>
      <c r="AZ21" s="47"/>
      <c r="BA21" s="181">
        <f t="shared" si="14"/>
        <v>0</v>
      </c>
      <c r="BB21" s="47"/>
      <c r="BC21" s="181">
        <f t="shared" si="15"/>
        <v>0</v>
      </c>
      <c r="BD21" s="47"/>
      <c r="BE21" s="181">
        <f t="shared" si="16"/>
        <v>0</v>
      </c>
      <c r="BF21" s="47"/>
      <c r="BG21" s="181">
        <f t="shared" si="17"/>
        <v>0</v>
      </c>
      <c r="BH21" s="47">
        <v>1</v>
      </c>
      <c r="BI21" s="181">
        <f t="shared" si="32"/>
        <v>300000</v>
      </c>
      <c r="BJ21" s="47">
        <f>Z21+AB21+AD21+AF21+AH21+AJ21+AL21+AN21+AP21+AR21+AT21+AV21+AX21+AZ21+BB21+BD21+BF21+BH21</f>
        <v>1</v>
      </c>
      <c r="BK21" s="117">
        <f>AA21+AC21+AE21+AG21+AI21+AK21+AM21+AO21+AQ21+AS21+AU21+AW21+AY21+BA21+BC21+BE21+BG21+BI21</f>
        <v>300000</v>
      </c>
      <c r="BL21" s="345" t="s">
        <v>469</v>
      </c>
      <c r="BN21" s="113"/>
      <c r="BO21" s="113"/>
      <c r="BP21" s="113">
        <f t="shared" si="34"/>
        <v>300000</v>
      </c>
      <c r="BQ21" s="113"/>
      <c r="BR21" s="113">
        <f t="shared" si="41"/>
        <v>300000</v>
      </c>
      <c r="BS21" s="113"/>
      <c r="BT21" s="113"/>
      <c r="BU21" s="125"/>
      <c r="BV21" s="181"/>
    </row>
    <row r="22" spans="1:74" ht="31.5" x14ac:dyDescent="0.25">
      <c r="A22" s="989"/>
      <c r="B22" s="38">
        <v>41203</v>
      </c>
      <c r="C22" s="38" t="s">
        <v>249</v>
      </c>
      <c r="D22" s="38" t="s">
        <v>241</v>
      </c>
      <c r="E22" s="375">
        <f>1.5*100000</f>
        <v>150000</v>
      </c>
      <c r="F22" s="38">
        <f t="shared" si="21"/>
        <v>0</v>
      </c>
      <c r="G22" s="438">
        <f t="shared" si="22"/>
        <v>0</v>
      </c>
      <c r="H22" s="438">
        <f t="shared" si="35"/>
        <v>0</v>
      </c>
      <c r="I22" s="438">
        <f t="shared" si="36"/>
        <v>0</v>
      </c>
      <c r="J22" s="438">
        <f t="shared" si="23"/>
        <v>0</v>
      </c>
      <c r="K22" s="438">
        <f t="shared" si="24"/>
        <v>0</v>
      </c>
      <c r="L22" s="438">
        <f t="shared" si="25"/>
        <v>0</v>
      </c>
      <c r="M22" s="438">
        <f t="shared" si="26"/>
        <v>0</v>
      </c>
      <c r="N22" s="438">
        <f t="shared" si="27"/>
        <v>0</v>
      </c>
      <c r="O22" s="85">
        <f t="shared" si="28"/>
        <v>0</v>
      </c>
      <c r="P22" s="85">
        <f t="shared" si="29"/>
        <v>0</v>
      </c>
      <c r="Q22" s="85">
        <f t="shared" si="30"/>
        <v>0</v>
      </c>
      <c r="R22" s="47"/>
      <c r="S22" s="47">
        <f t="shared" ref="S22:S42" si="43">F22</f>
        <v>0</v>
      </c>
      <c r="T22" s="47"/>
      <c r="U22" s="47"/>
      <c r="V22" s="181">
        <f t="shared" si="37"/>
        <v>0</v>
      </c>
      <c r="W22" s="181">
        <f t="shared" si="38"/>
        <v>0</v>
      </c>
      <c r="X22" s="181">
        <f t="shared" si="39"/>
        <v>0</v>
      </c>
      <c r="Y22" s="181">
        <f t="shared" si="40"/>
        <v>0</v>
      </c>
      <c r="Z22" s="47">
        <v>0</v>
      </c>
      <c r="AA22" s="181">
        <f t="shared" si="31"/>
        <v>0</v>
      </c>
      <c r="AB22" s="47">
        <v>0</v>
      </c>
      <c r="AC22" s="181">
        <f t="shared" si="2"/>
        <v>0</v>
      </c>
      <c r="AD22" s="47">
        <v>0</v>
      </c>
      <c r="AE22" s="181">
        <f t="shared" si="3"/>
        <v>0</v>
      </c>
      <c r="AF22" s="47">
        <v>0</v>
      </c>
      <c r="AG22" s="181">
        <f t="shared" si="4"/>
        <v>0</v>
      </c>
      <c r="AH22" s="47">
        <v>0</v>
      </c>
      <c r="AI22" s="181">
        <f t="shared" si="5"/>
        <v>0</v>
      </c>
      <c r="AJ22" s="47">
        <v>0</v>
      </c>
      <c r="AK22" s="181">
        <f t="shared" si="6"/>
        <v>0</v>
      </c>
      <c r="AL22" s="47">
        <v>0</v>
      </c>
      <c r="AM22" s="181">
        <f t="shared" si="7"/>
        <v>0</v>
      </c>
      <c r="AN22" s="47">
        <v>0</v>
      </c>
      <c r="AO22" s="181">
        <f t="shared" si="8"/>
        <v>0</v>
      </c>
      <c r="AP22" s="47">
        <v>0</v>
      </c>
      <c r="AQ22" s="181">
        <f t="shared" si="9"/>
        <v>0</v>
      </c>
      <c r="AR22" s="47">
        <v>0</v>
      </c>
      <c r="AS22" s="181">
        <f t="shared" si="10"/>
        <v>0</v>
      </c>
      <c r="AT22" s="47">
        <v>0</v>
      </c>
      <c r="AU22" s="181">
        <f t="shared" si="11"/>
        <v>0</v>
      </c>
      <c r="AV22" s="47">
        <v>0</v>
      </c>
      <c r="AW22" s="181">
        <f t="shared" si="12"/>
        <v>0</v>
      </c>
      <c r="AX22" s="47">
        <v>0</v>
      </c>
      <c r="AY22" s="181">
        <f t="shared" si="13"/>
        <v>0</v>
      </c>
      <c r="AZ22" s="47">
        <v>0</v>
      </c>
      <c r="BA22" s="181">
        <f t="shared" si="14"/>
        <v>0</v>
      </c>
      <c r="BB22" s="47">
        <v>0</v>
      </c>
      <c r="BC22" s="181">
        <f t="shared" si="15"/>
        <v>0</v>
      </c>
      <c r="BD22" s="47">
        <v>0</v>
      </c>
      <c r="BE22" s="181">
        <f t="shared" si="16"/>
        <v>0</v>
      </c>
      <c r="BF22" s="47">
        <v>0</v>
      </c>
      <c r="BG22" s="181">
        <f t="shared" si="17"/>
        <v>0</v>
      </c>
      <c r="BH22" s="47">
        <v>0</v>
      </c>
      <c r="BI22" s="181">
        <f t="shared" si="32"/>
        <v>0</v>
      </c>
      <c r="BJ22" s="47">
        <f t="shared" si="33"/>
        <v>0</v>
      </c>
      <c r="BK22" s="117">
        <f t="shared" si="33"/>
        <v>0</v>
      </c>
      <c r="BL22" s="345" t="s">
        <v>469</v>
      </c>
      <c r="BN22" s="113"/>
      <c r="BO22" s="113"/>
      <c r="BP22" s="113">
        <f t="shared" si="34"/>
        <v>0</v>
      </c>
      <c r="BQ22" s="113"/>
      <c r="BR22" s="113">
        <f t="shared" si="41"/>
        <v>0</v>
      </c>
      <c r="BS22" s="113"/>
      <c r="BT22" s="113"/>
      <c r="BU22" s="125">
        <f t="shared" si="42"/>
        <v>0</v>
      </c>
      <c r="BV22" s="181">
        <f t="shared" si="0"/>
        <v>0</v>
      </c>
    </row>
    <row r="23" spans="1:74" ht="38.25" customHeight="1" x14ac:dyDescent="0.25">
      <c r="A23" s="989"/>
      <c r="B23" s="38">
        <v>41204</v>
      </c>
      <c r="C23" s="38" t="s">
        <v>250</v>
      </c>
      <c r="D23" s="38" t="s">
        <v>209</v>
      </c>
      <c r="E23" s="375">
        <f>0.15*100000</f>
        <v>15000</v>
      </c>
      <c r="F23" s="38">
        <f t="shared" si="21"/>
        <v>0</v>
      </c>
      <c r="G23" s="438">
        <f t="shared" si="22"/>
        <v>0</v>
      </c>
      <c r="H23" s="438">
        <f t="shared" si="35"/>
        <v>0</v>
      </c>
      <c r="I23" s="438">
        <f t="shared" si="36"/>
        <v>0</v>
      </c>
      <c r="J23" s="438">
        <f t="shared" si="23"/>
        <v>0</v>
      </c>
      <c r="K23" s="438">
        <f t="shared" si="24"/>
        <v>0</v>
      </c>
      <c r="L23" s="438">
        <f t="shared" si="25"/>
        <v>0</v>
      </c>
      <c r="M23" s="438">
        <f t="shared" si="26"/>
        <v>0</v>
      </c>
      <c r="N23" s="438">
        <f t="shared" si="27"/>
        <v>0</v>
      </c>
      <c r="O23" s="85">
        <f t="shared" si="28"/>
        <v>0</v>
      </c>
      <c r="P23" s="85">
        <f t="shared" si="29"/>
        <v>0</v>
      </c>
      <c r="Q23" s="85">
        <f t="shared" si="30"/>
        <v>0</v>
      </c>
      <c r="R23" s="47"/>
      <c r="S23" s="47">
        <f t="shared" si="43"/>
        <v>0</v>
      </c>
      <c r="T23" s="47"/>
      <c r="U23" s="47"/>
      <c r="V23" s="181">
        <f t="shared" si="37"/>
        <v>0</v>
      </c>
      <c r="W23" s="181">
        <f t="shared" si="38"/>
        <v>0</v>
      </c>
      <c r="X23" s="181">
        <f t="shared" si="39"/>
        <v>0</v>
      </c>
      <c r="Y23" s="181">
        <f t="shared" si="40"/>
        <v>0</v>
      </c>
      <c r="Z23" s="47">
        <v>0</v>
      </c>
      <c r="AA23" s="181">
        <f t="shared" si="31"/>
        <v>0</v>
      </c>
      <c r="AB23" s="47">
        <v>0</v>
      </c>
      <c r="AC23" s="181">
        <f t="shared" si="2"/>
        <v>0</v>
      </c>
      <c r="AD23" s="47">
        <v>0</v>
      </c>
      <c r="AE23" s="181">
        <f t="shared" si="3"/>
        <v>0</v>
      </c>
      <c r="AF23" s="47">
        <v>0</v>
      </c>
      <c r="AG23" s="181">
        <f t="shared" si="4"/>
        <v>0</v>
      </c>
      <c r="AH23" s="47">
        <v>0</v>
      </c>
      <c r="AI23" s="181">
        <f t="shared" si="5"/>
        <v>0</v>
      </c>
      <c r="AJ23" s="47">
        <v>0</v>
      </c>
      <c r="AK23" s="181">
        <f t="shared" si="6"/>
        <v>0</v>
      </c>
      <c r="AL23" s="47">
        <v>0</v>
      </c>
      <c r="AM23" s="181">
        <f t="shared" si="7"/>
        <v>0</v>
      </c>
      <c r="AN23" s="47">
        <v>0</v>
      </c>
      <c r="AO23" s="181">
        <f t="shared" si="8"/>
        <v>0</v>
      </c>
      <c r="AP23" s="47">
        <v>0</v>
      </c>
      <c r="AQ23" s="181">
        <f t="shared" si="9"/>
        <v>0</v>
      </c>
      <c r="AR23" s="47">
        <v>0</v>
      </c>
      <c r="AS23" s="181">
        <f t="shared" si="10"/>
        <v>0</v>
      </c>
      <c r="AT23" s="47">
        <v>0</v>
      </c>
      <c r="AU23" s="181">
        <f t="shared" si="11"/>
        <v>0</v>
      </c>
      <c r="AV23" s="47">
        <v>0</v>
      </c>
      <c r="AW23" s="181">
        <f t="shared" si="12"/>
        <v>0</v>
      </c>
      <c r="AX23" s="47">
        <v>0</v>
      </c>
      <c r="AY23" s="181">
        <f t="shared" si="13"/>
        <v>0</v>
      </c>
      <c r="AZ23" s="47">
        <v>0</v>
      </c>
      <c r="BA23" s="181">
        <f t="shared" si="14"/>
        <v>0</v>
      </c>
      <c r="BB23" s="47">
        <v>0</v>
      </c>
      <c r="BC23" s="181">
        <f t="shared" si="15"/>
        <v>0</v>
      </c>
      <c r="BD23" s="47">
        <v>0</v>
      </c>
      <c r="BE23" s="181">
        <f t="shared" si="16"/>
        <v>0</v>
      </c>
      <c r="BF23" s="47">
        <v>0</v>
      </c>
      <c r="BG23" s="181">
        <f t="shared" si="17"/>
        <v>0</v>
      </c>
      <c r="BH23" s="47">
        <v>0</v>
      </c>
      <c r="BI23" s="181">
        <f t="shared" si="32"/>
        <v>0</v>
      </c>
      <c r="BJ23" s="47">
        <f t="shared" si="33"/>
        <v>0</v>
      </c>
      <c r="BK23" s="117">
        <f t="shared" si="33"/>
        <v>0</v>
      </c>
      <c r="BL23" s="345" t="s">
        <v>469</v>
      </c>
      <c r="BN23" s="113"/>
      <c r="BO23" s="113"/>
      <c r="BP23" s="113">
        <f t="shared" si="34"/>
        <v>0</v>
      </c>
      <c r="BQ23" s="113"/>
      <c r="BR23" s="113">
        <f t="shared" si="41"/>
        <v>0</v>
      </c>
      <c r="BS23" s="113"/>
      <c r="BT23" s="113"/>
      <c r="BU23" s="125">
        <f t="shared" si="42"/>
        <v>0</v>
      </c>
      <c r="BV23" s="181">
        <f t="shared" si="0"/>
        <v>0</v>
      </c>
    </row>
    <row r="24" spans="1:74" x14ac:dyDescent="0.25">
      <c r="A24" s="989"/>
      <c r="B24" s="38">
        <v>41205</v>
      </c>
      <c r="C24" s="38" t="s">
        <v>251</v>
      </c>
      <c r="D24" s="38" t="s">
        <v>209</v>
      </c>
      <c r="E24" s="375">
        <f>0.1*100000</f>
        <v>10000</v>
      </c>
      <c r="F24" s="38">
        <f t="shared" si="21"/>
        <v>0</v>
      </c>
      <c r="G24" s="438">
        <f t="shared" si="22"/>
        <v>0</v>
      </c>
      <c r="H24" s="438">
        <f t="shared" si="35"/>
        <v>0</v>
      </c>
      <c r="I24" s="438">
        <f t="shared" si="36"/>
        <v>0</v>
      </c>
      <c r="J24" s="438">
        <f t="shared" si="23"/>
        <v>0</v>
      </c>
      <c r="K24" s="438">
        <f t="shared" si="24"/>
        <v>0</v>
      </c>
      <c r="L24" s="438">
        <f t="shared" si="25"/>
        <v>0</v>
      </c>
      <c r="M24" s="438">
        <f t="shared" si="26"/>
        <v>0</v>
      </c>
      <c r="N24" s="438">
        <f t="shared" si="27"/>
        <v>0</v>
      </c>
      <c r="O24" s="85">
        <f t="shared" si="28"/>
        <v>0</v>
      </c>
      <c r="P24" s="85">
        <f t="shared" si="29"/>
        <v>0</v>
      </c>
      <c r="Q24" s="85">
        <f t="shared" si="30"/>
        <v>0</v>
      </c>
      <c r="R24" s="47"/>
      <c r="S24" s="47">
        <f t="shared" si="43"/>
        <v>0</v>
      </c>
      <c r="T24" s="47"/>
      <c r="U24" s="47"/>
      <c r="V24" s="181">
        <f t="shared" si="37"/>
        <v>0</v>
      </c>
      <c r="W24" s="181">
        <f t="shared" si="38"/>
        <v>0</v>
      </c>
      <c r="X24" s="181">
        <f t="shared" si="39"/>
        <v>0</v>
      </c>
      <c r="Y24" s="181">
        <f t="shared" si="40"/>
        <v>0</v>
      </c>
      <c r="Z24" s="47">
        <v>0</v>
      </c>
      <c r="AA24" s="181">
        <f t="shared" si="31"/>
        <v>0</v>
      </c>
      <c r="AB24" s="47">
        <v>0</v>
      </c>
      <c r="AC24" s="181">
        <f t="shared" si="2"/>
        <v>0</v>
      </c>
      <c r="AD24" s="47">
        <v>0</v>
      </c>
      <c r="AE24" s="181">
        <f t="shared" si="3"/>
        <v>0</v>
      </c>
      <c r="AF24" s="47">
        <v>0</v>
      </c>
      <c r="AG24" s="181">
        <f t="shared" si="4"/>
        <v>0</v>
      </c>
      <c r="AH24" s="47">
        <v>0</v>
      </c>
      <c r="AI24" s="181">
        <f t="shared" si="5"/>
        <v>0</v>
      </c>
      <c r="AJ24" s="47">
        <v>0</v>
      </c>
      <c r="AK24" s="181">
        <f t="shared" si="6"/>
        <v>0</v>
      </c>
      <c r="AL24" s="47">
        <v>0</v>
      </c>
      <c r="AM24" s="181">
        <f t="shared" si="7"/>
        <v>0</v>
      </c>
      <c r="AN24" s="47">
        <v>0</v>
      </c>
      <c r="AO24" s="181">
        <f t="shared" si="8"/>
        <v>0</v>
      </c>
      <c r="AP24" s="47">
        <v>0</v>
      </c>
      <c r="AQ24" s="181">
        <f t="shared" si="9"/>
        <v>0</v>
      </c>
      <c r="AR24" s="47">
        <v>0</v>
      </c>
      <c r="AS24" s="181">
        <f t="shared" si="10"/>
        <v>0</v>
      </c>
      <c r="AT24" s="47">
        <v>0</v>
      </c>
      <c r="AU24" s="181">
        <f t="shared" si="11"/>
        <v>0</v>
      </c>
      <c r="AV24" s="47">
        <v>0</v>
      </c>
      <c r="AW24" s="181">
        <f t="shared" si="12"/>
        <v>0</v>
      </c>
      <c r="AX24" s="47">
        <v>0</v>
      </c>
      <c r="AY24" s="181">
        <f t="shared" si="13"/>
        <v>0</v>
      </c>
      <c r="AZ24" s="47">
        <v>0</v>
      </c>
      <c r="BA24" s="181">
        <f t="shared" si="14"/>
        <v>0</v>
      </c>
      <c r="BB24" s="47">
        <v>0</v>
      </c>
      <c r="BC24" s="181">
        <f t="shared" si="15"/>
        <v>0</v>
      </c>
      <c r="BD24" s="47">
        <v>0</v>
      </c>
      <c r="BE24" s="181">
        <f t="shared" si="16"/>
        <v>0</v>
      </c>
      <c r="BF24" s="47">
        <v>0</v>
      </c>
      <c r="BG24" s="181">
        <f t="shared" si="17"/>
        <v>0</v>
      </c>
      <c r="BH24" s="47">
        <v>0</v>
      </c>
      <c r="BI24" s="181">
        <f t="shared" si="32"/>
        <v>0</v>
      </c>
      <c r="BJ24" s="47">
        <f t="shared" si="33"/>
        <v>0</v>
      </c>
      <c r="BK24" s="117">
        <f t="shared" si="33"/>
        <v>0</v>
      </c>
      <c r="BL24" s="345" t="s">
        <v>469</v>
      </c>
      <c r="BN24" s="113"/>
      <c r="BO24" s="113"/>
      <c r="BP24" s="113">
        <f t="shared" si="34"/>
        <v>0</v>
      </c>
      <c r="BQ24" s="113"/>
      <c r="BR24" s="113">
        <f t="shared" si="41"/>
        <v>0</v>
      </c>
      <c r="BS24" s="113"/>
      <c r="BT24" s="113"/>
      <c r="BU24" s="125">
        <f t="shared" si="42"/>
        <v>0</v>
      </c>
      <c r="BV24" s="181">
        <f t="shared" si="0"/>
        <v>0</v>
      </c>
    </row>
    <row r="25" spans="1:74" x14ac:dyDescent="0.25">
      <c r="A25" s="989"/>
      <c r="B25" s="38">
        <v>41206</v>
      </c>
      <c r="C25" s="38" t="s">
        <v>252</v>
      </c>
      <c r="D25" s="38" t="s">
        <v>209</v>
      </c>
      <c r="E25" s="375">
        <v>60000</v>
      </c>
      <c r="F25" s="38">
        <f t="shared" si="21"/>
        <v>4</v>
      </c>
      <c r="G25" s="438">
        <f t="shared" si="22"/>
        <v>240000</v>
      </c>
      <c r="H25" s="438">
        <f t="shared" si="35"/>
        <v>48000</v>
      </c>
      <c r="I25" s="438">
        <f t="shared" si="36"/>
        <v>192000</v>
      </c>
      <c r="J25" s="438">
        <f t="shared" si="23"/>
        <v>0</v>
      </c>
      <c r="K25" s="438">
        <f t="shared" si="24"/>
        <v>0</v>
      </c>
      <c r="L25" s="438">
        <f t="shared" si="25"/>
        <v>0</v>
      </c>
      <c r="M25" s="438">
        <f t="shared" si="26"/>
        <v>0</v>
      </c>
      <c r="N25" s="438">
        <f t="shared" si="27"/>
        <v>0</v>
      </c>
      <c r="O25" s="85">
        <f t="shared" si="28"/>
        <v>0</v>
      </c>
      <c r="P25" s="85">
        <f t="shared" si="29"/>
        <v>0</v>
      </c>
      <c r="Q25" s="85">
        <f t="shared" si="30"/>
        <v>0</v>
      </c>
      <c r="R25" s="47"/>
      <c r="S25" s="47">
        <f t="shared" si="43"/>
        <v>4</v>
      </c>
      <c r="T25" s="47"/>
      <c r="U25" s="47"/>
      <c r="V25" s="181">
        <f t="shared" si="37"/>
        <v>0</v>
      </c>
      <c r="W25" s="181">
        <f t="shared" si="38"/>
        <v>240000</v>
      </c>
      <c r="X25" s="181">
        <f t="shared" si="39"/>
        <v>0</v>
      </c>
      <c r="Y25" s="181">
        <f t="shared" si="40"/>
        <v>0</v>
      </c>
      <c r="Z25" s="47">
        <v>0</v>
      </c>
      <c r="AA25" s="181">
        <f t="shared" si="31"/>
        <v>0</v>
      </c>
      <c r="AB25" s="47">
        <v>0</v>
      </c>
      <c r="AC25" s="181">
        <f t="shared" si="2"/>
        <v>0</v>
      </c>
      <c r="AD25" s="47">
        <v>0</v>
      </c>
      <c r="AE25" s="181">
        <f t="shared" si="3"/>
        <v>0</v>
      </c>
      <c r="AF25" s="47">
        <v>0</v>
      </c>
      <c r="AG25" s="181">
        <f t="shared" si="4"/>
        <v>0</v>
      </c>
      <c r="AH25" s="47">
        <v>0</v>
      </c>
      <c r="AI25" s="181">
        <f t="shared" si="5"/>
        <v>0</v>
      </c>
      <c r="AJ25" s="47">
        <v>0</v>
      </c>
      <c r="AK25" s="181">
        <f t="shared" si="6"/>
        <v>0</v>
      </c>
      <c r="AL25" s="47">
        <v>0</v>
      </c>
      <c r="AM25" s="181">
        <f t="shared" si="7"/>
        <v>0</v>
      </c>
      <c r="AN25" s="47">
        <v>0</v>
      </c>
      <c r="AO25" s="181">
        <f t="shared" si="8"/>
        <v>0</v>
      </c>
      <c r="AP25" s="47">
        <v>0</v>
      </c>
      <c r="AQ25" s="181">
        <f t="shared" si="9"/>
        <v>0</v>
      </c>
      <c r="AR25" s="47">
        <v>0</v>
      </c>
      <c r="AS25" s="181">
        <f t="shared" si="10"/>
        <v>0</v>
      </c>
      <c r="AT25" s="47">
        <v>0</v>
      </c>
      <c r="AU25" s="181">
        <f t="shared" si="11"/>
        <v>0</v>
      </c>
      <c r="AV25" s="47">
        <v>0</v>
      </c>
      <c r="AW25" s="181">
        <f t="shared" si="12"/>
        <v>0</v>
      </c>
      <c r="AX25" s="47">
        <v>0</v>
      </c>
      <c r="AY25" s="181">
        <f t="shared" si="13"/>
        <v>0</v>
      </c>
      <c r="AZ25" s="47">
        <v>0</v>
      </c>
      <c r="BA25" s="181">
        <f t="shared" si="14"/>
        <v>0</v>
      </c>
      <c r="BB25" s="47">
        <v>0</v>
      </c>
      <c r="BC25" s="181">
        <f t="shared" si="15"/>
        <v>0</v>
      </c>
      <c r="BD25" s="47">
        <v>0</v>
      </c>
      <c r="BE25" s="181">
        <f t="shared" si="16"/>
        <v>0</v>
      </c>
      <c r="BF25" s="47">
        <v>0</v>
      </c>
      <c r="BG25" s="181">
        <f t="shared" si="17"/>
        <v>0</v>
      </c>
      <c r="BH25" s="47">
        <v>4</v>
      </c>
      <c r="BI25" s="181">
        <f t="shared" si="32"/>
        <v>240000</v>
      </c>
      <c r="BJ25" s="47">
        <f t="shared" si="33"/>
        <v>4</v>
      </c>
      <c r="BK25" s="117">
        <f t="shared" si="33"/>
        <v>240000</v>
      </c>
      <c r="BL25" s="345" t="s">
        <v>469</v>
      </c>
      <c r="BN25" s="113"/>
      <c r="BO25" s="113"/>
      <c r="BP25" s="113">
        <f t="shared" si="34"/>
        <v>240000</v>
      </c>
      <c r="BQ25" s="113"/>
      <c r="BR25" s="113">
        <f t="shared" si="41"/>
        <v>240000</v>
      </c>
      <c r="BS25" s="113"/>
      <c r="BT25" s="113"/>
      <c r="BU25" s="125">
        <f t="shared" si="42"/>
        <v>0</v>
      </c>
      <c r="BV25" s="181">
        <f t="shared" si="0"/>
        <v>240000</v>
      </c>
    </row>
    <row r="26" spans="1:74" x14ac:dyDescent="0.25">
      <c r="A26" s="989"/>
      <c r="B26" s="38">
        <v>41207</v>
      </c>
      <c r="C26" s="38" t="s">
        <v>253</v>
      </c>
      <c r="D26" s="38" t="s">
        <v>209</v>
      </c>
      <c r="E26" s="375">
        <v>50000</v>
      </c>
      <c r="F26" s="38">
        <f t="shared" si="21"/>
        <v>1</v>
      </c>
      <c r="G26" s="438">
        <f t="shared" si="22"/>
        <v>50000</v>
      </c>
      <c r="H26" s="438">
        <f t="shared" si="35"/>
        <v>10000</v>
      </c>
      <c r="I26" s="438">
        <f t="shared" si="36"/>
        <v>40000</v>
      </c>
      <c r="J26" s="438">
        <f t="shared" si="23"/>
        <v>0</v>
      </c>
      <c r="K26" s="438">
        <f t="shared" si="24"/>
        <v>0</v>
      </c>
      <c r="L26" s="438">
        <f t="shared" si="25"/>
        <v>0</v>
      </c>
      <c r="M26" s="438">
        <f t="shared" si="26"/>
        <v>0</v>
      </c>
      <c r="N26" s="438">
        <f t="shared" si="27"/>
        <v>0</v>
      </c>
      <c r="O26" s="85">
        <f t="shared" si="28"/>
        <v>0</v>
      </c>
      <c r="P26" s="85">
        <f t="shared" si="29"/>
        <v>0</v>
      </c>
      <c r="Q26" s="85">
        <f t="shared" si="30"/>
        <v>0</v>
      </c>
      <c r="R26" s="47"/>
      <c r="S26" s="47">
        <f t="shared" si="43"/>
        <v>1</v>
      </c>
      <c r="T26" s="47"/>
      <c r="U26" s="47"/>
      <c r="V26" s="181">
        <f t="shared" si="37"/>
        <v>0</v>
      </c>
      <c r="W26" s="181">
        <f t="shared" si="38"/>
        <v>50000</v>
      </c>
      <c r="X26" s="181">
        <f t="shared" si="39"/>
        <v>0</v>
      </c>
      <c r="Y26" s="181">
        <f t="shared" si="40"/>
        <v>0</v>
      </c>
      <c r="Z26" s="47">
        <v>0</v>
      </c>
      <c r="AA26" s="181">
        <f t="shared" si="31"/>
        <v>0</v>
      </c>
      <c r="AB26" s="47">
        <v>0</v>
      </c>
      <c r="AC26" s="181">
        <f t="shared" si="2"/>
        <v>0</v>
      </c>
      <c r="AD26" s="47">
        <v>0</v>
      </c>
      <c r="AE26" s="181">
        <f t="shared" si="3"/>
        <v>0</v>
      </c>
      <c r="AF26" s="47">
        <v>0</v>
      </c>
      <c r="AG26" s="181">
        <f t="shared" si="4"/>
        <v>0</v>
      </c>
      <c r="AH26" s="47">
        <v>0</v>
      </c>
      <c r="AI26" s="181">
        <f t="shared" si="5"/>
        <v>0</v>
      </c>
      <c r="AJ26" s="47">
        <v>0</v>
      </c>
      <c r="AK26" s="181">
        <f t="shared" si="6"/>
        <v>0</v>
      </c>
      <c r="AL26" s="47">
        <v>0</v>
      </c>
      <c r="AM26" s="181">
        <f t="shared" si="7"/>
        <v>0</v>
      </c>
      <c r="AN26" s="47">
        <v>0</v>
      </c>
      <c r="AO26" s="181">
        <f t="shared" si="8"/>
        <v>0</v>
      </c>
      <c r="AP26" s="47">
        <v>0</v>
      </c>
      <c r="AQ26" s="181">
        <f t="shared" si="9"/>
        <v>0</v>
      </c>
      <c r="AR26" s="47">
        <v>0</v>
      </c>
      <c r="AS26" s="181">
        <f t="shared" si="10"/>
        <v>0</v>
      </c>
      <c r="AT26" s="47">
        <v>0</v>
      </c>
      <c r="AU26" s="181">
        <f t="shared" si="11"/>
        <v>0</v>
      </c>
      <c r="AV26" s="47">
        <v>0</v>
      </c>
      <c r="AW26" s="181">
        <f t="shared" si="12"/>
        <v>0</v>
      </c>
      <c r="AX26" s="47">
        <v>0</v>
      </c>
      <c r="AY26" s="181">
        <f t="shared" si="13"/>
        <v>0</v>
      </c>
      <c r="AZ26" s="47">
        <v>0</v>
      </c>
      <c r="BA26" s="181">
        <f t="shared" si="14"/>
        <v>0</v>
      </c>
      <c r="BB26" s="47">
        <v>0</v>
      </c>
      <c r="BC26" s="181">
        <f t="shared" si="15"/>
        <v>0</v>
      </c>
      <c r="BD26" s="47">
        <v>0</v>
      </c>
      <c r="BE26" s="181">
        <f t="shared" si="16"/>
        <v>0</v>
      </c>
      <c r="BF26" s="47">
        <v>0</v>
      </c>
      <c r="BG26" s="181">
        <f t="shared" si="17"/>
        <v>0</v>
      </c>
      <c r="BH26" s="47">
        <v>1</v>
      </c>
      <c r="BI26" s="181">
        <f t="shared" si="32"/>
        <v>50000</v>
      </c>
      <c r="BJ26" s="47">
        <f t="shared" si="33"/>
        <v>1</v>
      </c>
      <c r="BK26" s="117">
        <f t="shared" si="33"/>
        <v>50000</v>
      </c>
      <c r="BL26" s="345" t="s">
        <v>469</v>
      </c>
      <c r="BN26" s="113"/>
      <c r="BO26" s="113"/>
      <c r="BP26" s="113">
        <f t="shared" si="34"/>
        <v>50000</v>
      </c>
      <c r="BQ26" s="113"/>
      <c r="BR26" s="113">
        <f t="shared" si="41"/>
        <v>50000</v>
      </c>
      <c r="BS26" s="113"/>
      <c r="BT26" s="113"/>
      <c r="BU26" s="125">
        <f t="shared" si="42"/>
        <v>0</v>
      </c>
      <c r="BV26" s="181">
        <f t="shared" si="0"/>
        <v>50000</v>
      </c>
    </row>
    <row r="27" spans="1:74" x14ac:dyDescent="0.25">
      <c r="A27" s="989"/>
      <c r="B27" s="38">
        <v>41208</v>
      </c>
      <c r="C27" s="38" t="s">
        <v>254</v>
      </c>
      <c r="D27" s="38" t="s">
        <v>209</v>
      </c>
      <c r="E27" s="375">
        <f>0.5*100000</f>
        <v>50000</v>
      </c>
      <c r="F27" s="38">
        <f t="shared" si="21"/>
        <v>0</v>
      </c>
      <c r="G27" s="438">
        <f t="shared" si="22"/>
        <v>0</v>
      </c>
      <c r="H27" s="438">
        <f t="shared" si="35"/>
        <v>0</v>
      </c>
      <c r="I27" s="438">
        <f t="shared" si="36"/>
        <v>0</v>
      </c>
      <c r="J27" s="438">
        <f t="shared" si="23"/>
        <v>0</v>
      </c>
      <c r="K27" s="438">
        <f t="shared" si="24"/>
        <v>0</v>
      </c>
      <c r="L27" s="438">
        <f t="shared" si="25"/>
        <v>0</v>
      </c>
      <c r="M27" s="438">
        <f t="shared" si="26"/>
        <v>0</v>
      </c>
      <c r="N27" s="438">
        <f t="shared" si="27"/>
        <v>0</v>
      </c>
      <c r="O27" s="85">
        <f t="shared" si="28"/>
        <v>0</v>
      </c>
      <c r="P27" s="85">
        <f t="shared" si="29"/>
        <v>0</v>
      </c>
      <c r="Q27" s="85">
        <f t="shared" si="30"/>
        <v>0</v>
      </c>
      <c r="R27" s="47"/>
      <c r="S27" s="47">
        <f t="shared" si="43"/>
        <v>0</v>
      </c>
      <c r="T27" s="47"/>
      <c r="U27" s="47"/>
      <c r="V27" s="181">
        <f t="shared" si="37"/>
        <v>0</v>
      </c>
      <c r="W27" s="181">
        <f t="shared" si="38"/>
        <v>0</v>
      </c>
      <c r="X27" s="181">
        <f t="shared" si="39"/>
        <v>0</v>
      </c>
      <c r="Y27" s="181">
        <f t="shared" si="40"/>
        <v>0</v>
      </c>
      <c r="Z27" s="47">
        <v>0</v>
      </c>
      <c r="AA27" s="181">
        <f t="shared" si="31"/>
        <v>0</v>
      </c>
      <c r="AB27" s="47">
        <v>0</v>
      </c>
      <c r="AC27" s="181">
        <f t="shared" si="2"/>
        <v>0</v>
      </c>
      <c r="AD27" s="47">
        <v>0</v>
      </c>
      <c r="AE27" s="181">
        <f t="shared" si="3"/>
        <v>0</v>
      </c>
      <c r="AF27" s="47">
        <v>0</v>
      </c>
      <c r="AG27" s="181">
        <f t="shared" si="4"/>
        <v>0</v>
      </c>
      <c r="AH27" s="47">
        <v>0</v>
      </c>
      <c r="AI27" s="181">
        <f t="shared" si="5"/>
        <v>0</v>
      </c>
      <c r="AJ27" s="47">
        <v>0</v>
      </c>
      <c r="AK27" s="181">
        <f t="shared" si="6"/>
        <v>0</v>
      </c>
      <c r="AL27" s="47">
        <v>0</v>
      </c>
      <c r="AM27" s="181">
        <f t="shared" si="7"/>
        <v>0</v>
      </c>
      <c r="AN27" s="47">
        <v>0</v>
      </c>
      <c r="AO27" s="181">
        <f t="shared" si="8"/>
        <v>0</v>
      </c>
      <c r="AP27" s="47">
        <v>0</v>
      </c>
      <c r="AQ27" s="181">
        <f t="shared" si="9"/>
        <v>0</v>
      </c>
      <c r="AR27" s="47">
        <v>0</v>
      </c>
      <c r="AS27" s="181">
        <f t="shared" si="10"/>
        <v>0</v>
      </c>
      <c r="AT27" s="47">
        <v>0</v>
      </c>
      <c r="AU27" s="181">
        <f t="shared" si="11"/>
        <v>0</v>
      </c>
      <c r="AV27" s="47">
        <v>0</v>
      </c>
      <c r="AW27" s="181">
        <f t="shared" si="12"/>
        <v>0</v>
      </c>
      <c r="AX27" s="47">
        <v>0</v>
      </c>
      <c r="AY27" s="181">
        <f t="shared" si="13"/>
        <v>0</v>
      </c>
      <c r="AZ27" s="47">
        <v>0</v>
      </c>
      <c r="BA27" s="181">
        <f t="shared" si="14"/>
        <v>0</v>
      </c>
      <c r="BB27" s="47">
        <v>0</v>
      </c>
      <c r="BC27" s="181">
        <f t="shared" si="15"/>
        <v>0</v>
      </c>
      <c r="BD27" s="47">
        <v>0</v>
      </c>
      <c r="BE27" s="181">
        <f t="shared" si="16"/>
        <v>0</v>
      </c>
      <c r="BF27" s="47">
        <v>0</v>
      </c>
      <c r="BG27" s="181">
        <f t="shared" si="17"/>
        <v>0</v>
      </c>
      <c r="BH27" s="47">
        <v>0</v>
      </c>
      <c r="BI27" s="181">
        <f t="shared" si="32"/>
        <v>0</v>
      </c>
      <c r="BJ27" s="47">
        <f t="shared" si="33"/>
        <v>0</v>
      </c>
      <c r="BK27" s="117">
        <f t="shared" si="33"/>
        <v>0</v>
      </c>
      <c r="BL27" s="345" t="s">
        <v>469</v>
      </c>
      <c r="BN27" s="113"/>
      <c r="BO27" s="113"/>
      <c r="BP27" s="113">
        <f t="shared" si="34"/>
        <v>0</v>
      </c>
      <c r="BQ27" s="113"/>
      <c r="BR27" s="113">
        <f t="shared" si="41"/>
        <v>0</v>
      </c>
      <c r="BS27" s="113"/>
      <c r="BT27" s="113"/>
      <c r="BU27" s="125">
        <f t="shared" si="42"/>
        <v>0</v>
      </c>
      <c r="BV27" s="181">
        <f t="shared" si="0"/>
        <v>0</v>
      </c>
    </row>
    <row r="28" spans="1:74" ht="46.5" customHeight="1" x14ac:dyDescent="0.25">
      <c r="A28" s="989"/>
      <c r="B28" s="38">
        <v>41209</v>
      </c>
      <c r="C28" s="38" t="s">
        <v>255</v>
      </c>
      <c r="D28" s="38" t="s">
        <v>209</v>
      </c>
      <c r="E28" s="375">
        <f>0.035*100000</f>
        <v>3500.0000000000005</v>
      </c>
      <c r="F28" s="38">
        <f t="shared" si="21"/>
        <v>6</v>
      </c>
      <c r="G28" s="438">
        <f t="shared" si="22"/>
        <v>21000.000000000004</v>
      </c>
      <c r="H28" s="438">
        <f t="shared" si="35"/>
        <v>4200.0000000000009</v>
      </c>
      <c r="I28" s="438">
        <f t="shared" si="36"/>
        <v>16800.000000000004</v>
      </c>
      <c r="J28" s="438">
        <f t="shared" si="23"/>
        <v>0</v>
      </c>
      <c r="K28" s="438">
        <f t="shared" si="24"/>
        <v>0</v>
      </c>
      <c r="L28" s="438">
        <f t="shared" si="25"/>
        <v>0</v>
      </c>
      <c r="M28" s="438">
        <f t="shared" si="26"/>
        <v>0</v>
      </c>
      <c r="N28" s="438">
        <f t="shared" si="27"/>
        <v>0</v>
      </c>
      <c r="O28" s="85">
        <f t="shared" si="28"/>
        <v>0</v>
      </c>
      <c r="P28" s="85">
        <f t="shared" si="29"/>
        <v>0</v>
      </c>
      <c r="Q28" s="85">
        <f t="shared" si="30"/>
        <v>0</v>
      </c>
      <c r="R28" s="47"/>
      <c r="S28" s="47">
        <f t="shared" si="43"/>
        <v>6</v>
      </c>
      <c r="T28" s="47"/>
      <c r="U28" s="47"/>
      <c r="V28" s="181">
        <f t="shared" si="37"/>
        <v>0</v>
      </c>
      <c r="W28" s="181">
        <f t="shared" si="38"/>
        <v>21000.000000000004</v>
      </c>
      <c r="X28" s="181">
        <f t="shared" si="39"/>
        <v>0</v>
      </c>
      <c r="Y28" s="181">
        <f t="shared" si="40"/>
        <v>0</v>
      </c>
      <c r="Z28" s="47">
        <v>0</v>
      </c>
      <c r="AA28" s="181">
        <f t="shared" si="31"/>
        <v>0</v>
      </c>
      <c r="AB28" s="47">
        <v>0</v>
      </c>
      <c r="AC28" s="181">
        <f t="shared" si="2"/>
        <v>0</v>
      </c>
      <c r="AD28" s="47">
        <v>0</v>
      </c>
      <c r="AE28" s="181">
        <f t="shared" si="3"/>
        <v>0</v>
      </c>
      <c r="AF28" s="47">
        <v>0</v>
      </c>
      <c r="AG28" s="181">
        <f t="shared" si="4"/>
        <v>0</v>
      </c>
      <c r="AH28" s="47">
        <v>0</v>
      </c>
      <c r="AI28" s="181">
        <f t="shared" si="5"/>
        <v>0</v>
      </c>
      <c r="AJ28" s="47">
        <v>0</v>
      </c>
      <c r="AK28" s="181">
        <f t="shared" si="6"/>
        <v>0</v>
      </c>
      <c r="AL28" s="47">
        <v>0</v>
      </c>
      <c r="AM28" s="181">
        <f t="shared" si="7"/>
        <v>0</v>
      </c>
      <c r="AN28" s="47">
        <v>0</v>
      </c>
      <c r="AO28" s="181">
        <f t="shared" si="8"/>
        <v>0</v>
      </c>
      <c r="AP28" s="47">
        <v>0</v>
      </c>
      <c r="AQ28" s="181">
        <f t="shared" si="9"/>
        <v>0</v>
      </c>
      <c r="AR28" s="47">
        <v>0</v>
      </c>
      <c r="AS28" s="181">
        <f t="shared" si="10"/>
        <v>0</v>
      </c>
      <c r="AT28" s="47">
        <v>0</v>
      </c>
      <c r="AU28" s="181">
        <f t="shared" si="11"/>
        <v>0</v>
      </c>
      <c r="AV28" s="47">
        <v>0</v>
      </c>
      <c r="AW28" s="181">
        <f t="shared" si="12"/>
        <v>0</v>
      </c>
      <c r="AX28" s="47">
        <v>0</v>
      </c>
      <c r="AY28" s="181">
        <f t="shared" si="13"/>
        <v>0</v>
      </c>
      <c r="AZ28" s="47">
        <v>0</v>
      </c>
      <c r="BA28" s="181">
        <f t="shared" si="14"/>
        <v>0</v>
      </c>
      <c r="BB28" s="47">
        <v>0</v>
      </c>
      <c r="BC28" s="181">
        <f t="shared" si="15"/>
        <v>0</v>
      </c>
      <c r="BD28" s="47">
        <v>0</v>
      </c>
      <c r="BE28" s="181">
        <f t="shared" si="16"/>
        <v>0</v>
      </c>
      <c r="BF28" s="47">
        <v>0</v>
      </c>
      <c r="BG28" s="181">
        <f t="shared" si="17"/>
        <v>0</v>
      </c>
      <c r="BH28" s="47">
        <v>6</v>
      </c>
      <c r="BI28" s="181">
        <f t="shared" si="32"/>
        <v>21000.000000000004</v>
      </c>
      <c r="BJ28" s="47">
        <f t="shared" si="33"/>
        <v>6</v>
      </c>
      <c r="BK28" s="117">
        <f t="shared" si="33"/>
        <v>21000.000000000004</v>
      </c>
      <c r="BL28" s="345" t="s">
        <v>469</v>
      </c>
      <c r="BN28" s="113"/>
      <c r="BO28" s="113"/>
      <c r="BP28" s="113">
        <f>G28</f>
        <v>21000.000000000004</v>
      </c>
      <c r="BQ28" s="113"/>
      <c r="BR28" s="113">
        <f t="shared" si="41"/>
        <v>21000.000000000004</v>
      </c>
      <c r="BS28" s="113"/>
      <c r="BT28" s="113"/>
      <c r="BU28" s="125">
        <f t="shared" si="42"/>
        <v>0</v>
      </c>
      <c r="BV28" s="181">
        <f t="shared" si="0"/>
        <v>21000.000000000004</v>
      </c>
    </row>
    <row r="29" spans="1:74" x14ac:dyDescent="0.25">
      <c r="A29" s="989"/>
      <c r="B29" s="38">
        <v>41210</v>
      </c>
      <c r="C29" s="657" t="s">
        <v>256</v>
      </c>
      <c r="D29" s="38" t="s">
        <v>209</v>
      </c>
      <c r="E29" s="727">
        <f>1000000</f>
        <v>1000000</v>
      </c>
      <c r="F29" s="38">
        <v>1</v>
      </c>
      <c r="G29" s="438">
        <f t="shared" si="22"/>
        <v>1000000</v>
      </c>
      <c r="H29" s="438">
        <f t="shared" si="35"/>
        <v>200000</v>
      </c>
      <c r="I29" s="438">
        <f t="shared" si="36"/>
        <v>800000</v>
      </c>
      <c r="J29" s="438">
        <f t="shared" si="23"/>
        <v>0</v>
      </c>
      <c r="K29" s="438">
        <f t="shared" si="24"/>
        <v>0</v>
      </c>
      <c r="L29" s="438">
        <f t="shared" si="25"/>
        <v>0</v>
      </c>
      <c r="M29" s="438">
        <f t="shared" si="26"/>
        <v>0</v>
      </c>
      <c r="N29" s="438">
        <f t="shared" si="27"/>
        <v>0</v>
      </c>
      <c r="O29" s="85">
        <f t="shared" si="28"/>
        <v>0</v>
      </c>
      <c r="P29" s="85">
        <f t="shared" si="29"/>
        <v>0</v>
      </c>
      <c r="Q29" s="85">
        <f t="shared" si="30"/>
        <v>0</v>
      </c>
      <c r="R29" s="47"/>
      <c r="S29" s="47">
        <f t="shared" si="43"/>
        <v>1</v>
      </c>
      <c r="T29" s="47"/>
      <c r="U29" s="47"/>
      <c r="V29" s="181">
        <f t="shared" si="37"/>
        <v>0</v>
      </c>
      <c r="W29" s="181">
        <f t="shared" si="38"/>
        <v>1000000</v>
      </c>
      <c r="X29" s="181">
        <f t="shared" si="39"/>
        <v>0</v>
      </c>
      <c r="Y29" s="181">
        <f t="shared" si="40"/>
        <v>0</v>
      </c>
      <c r="Z29" s="47">
        <v>0</v>
      </c>
      <c r="AA29" s="181">
        <f t="shared" si="31"/>
        <v>0</v>
      </c>
      <c r="AB29" s="47">
        <v>0</v>
      </c>
      <c r="AC29" s="181">
        <f t="shared" si="2"/>
        <v>0</v>
      </c>
      <c r="AD29" s="47">
        <v>0</v>
      </c>
      <c r="AE29" s="181">
        <f t="shared" si="3"/>
        <v>0</v>
      </c>
      <c r="AF29" s="47">
        <v>0</v>
      </c>
      <c r="AG29" s="181">
        <f t="shared" si="4"/>
        <v>0</v>
      </c>
      <c r="AH29" s="47">
        <v>0</v>
      </c>
      <c r="AI29" s="181">
        <f t="shared" si="5"/>
        <v>0</v>
      </c>
      <c r="AJ29" s="47">
        <v>0</v>
      </c>
      <c r="AK29" s="181">
        <f t="shared" si="6"/>
        <v>0</v>
      </c>
      <c r="AL29" s="47">
        <v>0</v>
      </c>
      <c r="AM29" s="181">
        <f t="shared" si="7"/>
        <v>0</v>
      </c>
      <c r="AN29" s="47">
        <v>0</v>
      </c>
      <c r="AO29" s="181">
        <f t="shared" si="8"/>
        <v>0</v>
      </c>
      <c r="AP29" s="47">
        <v>0</v>
      </c>
      <c r="AQ29" s="181">
        <f t="shared" si="9"/>
        <v>0</v>
      </c>
      <c r="AR29" s="47">
        <v>0</v>
      </c>
      <c r="AS29" s="181">
        <f t="shared" si="10"/>
        <v>0</v>
      </c>
      <c r="AT29" s="47">
        <v>0</v>
      </c>
      <c r="AU29" s="181">
        <f t="shared" si="11"/>
        <v>0</v>
      </c>
      <c r="AV29" s="47">
        <v>0</v>
      </c>
      <c r="AW29" s="181">
        <f t="shared" si="12"/>
        <v>0</v>
      </c>
      <c r="AX29" s="47">
        <v>0</v>
      </c>
      <c r="AY29" s="181">
        <f t="shared" si="13"/>
        <v>0</v>
      </c>
      <c r="AZ29" s="47">
        <v>0</v>
      </c>
      <c r="BA29" s="181">
        <f t="shared" si="14"/>
        <v>0</v>
      </c>
      <c r="BB29" s="47">
        <v>0</v>
      </c>
      <c r="BC29" s="181">
        <f t="shared" si="15"/>
        <v>0</v>
      </c>
      <c r="BD29" s="47">
        <v>0</v>
      </c>
      <c r="BE29" s="181">
        <f t="shared" si="16"/>
        <v>0</v>
      </c>
      <c r="BF29" s="47">
        <v>0</v>
      </c>
      <c r="BG29" s="181">
        <f t="shared" si="17"/>
        <v>0</v>
      </c>
      <c r="BH29" s="47">
        <v>1</v>
      </c>
      <c r="BI29" s="181">
        <f t="shared" si="32"/>
        <v>1000000</v>
      </c>
      <c r="BJ29" s="47">
        <f t="shared" si="33"/>
        <v>1</v>
      </c>
      <c r="BK29" s="117">
        <f t="shared" si="33"/>
        <v>1000000</v>
      </c>
      <c r="BL29" s="345" t="s">
        <v>469</v>
      </c>
      <c r="BN29" s="113"/>
      <c r="BO29" s="113"/>
      <c r="BP29" s="113">
        <f t="shared" ref="BP29:BP43" si="44">G29</f>
        <v>1000000</v>
      </c>
      <c r="BQ29" s="113"/>
      <c r="BR29" s="113">
        <f t="shared" si="41"/>
        <v>1000000</v>
      </c>
      <c r="BS29" s="113"/>
      <c r="BT29" s="113"/>
      <c r="BU29" s="125">
        <f t="shared" si="42"/>
        <v>0</v>
      </c>
      <c r="BV29" s="181">
        <f t="shared" si="0"/>
        <v>1000000</v>
      </c>
    </row>
    <row r="30" spans="1:74" ht="31.5" x14ac:dyDescent="0.25">
      <c r="A30" s="989"/>
      <c r="B30" s="38">
        <v>41211</v>
      </c>
      <c r="C30" s="38" t="s">
        <v>775</v>
      </c>
      <c r="D30" s="38" t="s">
        <v>151</v>
      </c>
      <c r="E30" s="375">
        <v>100000</v>
      </c>
      <c r="F30" s="38">
        <f t="shared" si="21"/>
        <v>1</v>
      </c>
      <c r="G30" s="438">
        <f t="shared" si="22"/>
        <v>100000</v>
      </c>
      <c r="H30" s="438">
        <f t="shared" si="35"/>
        <v>20000</v>
      </c>
      <c r="I30" s="438">
        <f t="shared" si="36"/>
        <v>80000</v>
      </c>
      <c r="J30" s="438">
        <f t="shared" si="23"/>
        <v>0</v>
      </c>
      <c r="K30" s="438">
        <f t="shared" si="24"/>
        <v>0</v>
      </c>
      <c r="L30" s="438">
        <f t="shared" si="25"/>
        <v>0</v>
      </c>
      <c r="M30" s="438">
        <f t="shared" si="26"/>
        <v>0</v>
      </c>
      <c r="N30" s="438">
        <f t="shared" si="27"/>
        <v>0</v>
      </c>
      <c r="O30" s="85">
        <f t="shared" si="28"/>
        <v>0</v>
      </c>
      <c r="P30" s="85">
        <f t="shared" si="29"/>
        <v>0</v>
      </c>
      <c r="Q30" s="85">
        <f t="shared" si="30"/>
        <v>0</v>
      </c>
      <c r="R30" s="47"/>
      <c r="S30" s="47">
        <f t="shared" si="43"/>
        <v>1</v>
      </c>
      <c r="T30" s="47"/>
      <c r="U30" s="47"/>
      <c r="V30" s="181">
        <f t="shared" si="37"/>
        <v>0</v>
      </c>
      <c r="W30" s="181">
        <f t="shared" si="38"/>
        <v>100000</v>
      </c>
      <c r="X30" s="181">
        <f t="shared" si="39"/>
        <v>0</v>
      </c>
      <c r="Y30" s="181">
        <f t="shared" si="40"/>
        <v>0</v>
      </c>
      <c r="Z30" s="47">
        <v>0</v>
      </c>
      <c r="AA30" s="181">
        <f t="shared" si="31"/>
        <v>0</v>
      </c>
      <c r="AB30" s="47">
        <v>0</v>
      </c>
      <c r="AC30" s="181">
        <f t="shared" si="2"/>
        <v>0</v>
      </c>
      <c r="AD30" s="47">
        <v>0</v>
      </c>
      <c r="AE30" s="181">
        <f t="shared" si="3"/>
        <v>0</v>
      </c>
      <c r="AF30" s="47">
        <v>0</v>
      </c>
      <c r="AG30" s="181">
        <f t="shared" si="4"/>
        <v>0</v>
      </c>
      <c r="AH30" s="47">
        <v>0</v>
      </c>
      <c r="AI30" s="181">
        <f t="shared" si="5"/>
        <v>0</v>
      </c>
      <c r="AJ30" s="47">
        <v>0</v>
      </c>
      <c r="AK30" s="181">
        <f t="shared" si="6"/>
        <v>0</v>
      </c>
      <c r="AL30" s="47">
        <v>0</v>
      </c>
      <c r="AM30" s="181">
        <f t="shared" si="7"/>
        <v>0</v>
      </c>
      <c r="AN30" s="47">
        <v>0</v>
      </c>
      <c r="AO30" s="181">
        <f t="shared" si="8"/>
        <v>0</v>
      </c>
      <c r="AP30" s="47">
        <v>0</v>
      </c>
      <c r="AQ30" s="181">
        <f t="shared" si="9"/>
        <v>0</v>
      </c>
      <c r="AR30" s="47">
        <v>0</v>
      </c>
      <c r="AS30" s="181">
        <f t="shared" si="10"/>
        <v>0</v>
      </c>
      <c r="AT30" s="47">
        <v>0</v>
      </c>
      <c r="AU30" s="181">
        <f t="shared" si="11"/>
        <v>0</v>
      </c>
      <c r="AV30" s="47">
        <v>0</v>
      </c>
      <c r="AW30" s="181">
        <f t="shared" si="12"/>
        <v>0</v>
      </c>
      <c r="AX30" s="47">
        <v>0</v>
      </c>
      <c r="AY30" s="181">
        <f t="shared" si="13"/>
        <v>0</v>
      </c>
      <c r="AZ30" s="47">
        <v>0</v>
      </c>
      <c r="BA30" s="181">
        <f t="shared" si="14"/>
        <v>0</v>
      </c>
      <c r="BB30" s="47">
        <v>0</v>
      </c>
      <c r="BC30" s="181">
        <f t="shared" si="15"/>
        <v>0</v>
      </c>
      <c r="BD30" s="47">
        <v>0</v>
      </c>
      <c r="BE30" s="181">
        <f t="shared" si="16"/>
        <v>0</v>
      </c>
      <c r="BF30" s="47">
        <v>0</v>
      </c>
      <c r="BG30" s="181">
        <f t="shared" si="17"/>
        <v>0</v>
      </c>
      <c r="BH30" s="47">
        <v>1</v>
      </c>
      <c r="BI30" s="181">
        <f t="shared" si="32"/>
        <v>100000</v>
      </c>
      <c r="BJ30" s="47">
        <f t="shared" si="33"/>
        <v>1</v>
      </c>
      <c r="BK30" s="117">
        <f t="shared" si="33"/>
        <v>100000</v>
      </c>
      <c r="BL30" s="345" t="s">
        <v>469</v>
      </c>
      <c r="BN30" s="113"/>
      <c r="BO30" s="113"/>
      <c r="BP30" s="113">
        <f t="shared" si="44"/>
        <v>100000</v>
      </c>
      <c r="BQ30" s="113"/>
      <c r="BR30" s="113">
        <f t="shared" si="41"/>
        <v>100000</v>
      </c>
      <c r="BS30" s="113"/>
      <c r="BT30" s="113"/>
      <c r="BU30" s="125">
        <f t="shared" si="42"/>
        <v>0</v>
      </c>
      <c r="BV30" s="181">
        <f t="shared" si="0"/>
        <v>100000</v>
      </c>
    </row>
    <row r="31" spans="1:74" x14ac:dyDescent="0.25">
      <c r="A31" s="989"/>
      <c r="B31" s="38">
        <v>41212</v>
      </c>
      <c r="C31" s="38" t="s">
        <v>258</v>
      </c>
      <c r="D31" s="38" t="s">
        <v>209</v>
      </c>
      <c r="E31" s="375">
        <v>75000</v>
      </c>
      <c r="F31" s="38">
        <f t="shared" si="21"/>
        <v>1</v>
      </c>
      <c r="G31" s="438">
        <f t="shared" si="22"/>
        <v>75000</v>
      </c>
      <c r="H31" s="438">
        <f t="shared" si="35"/>
        <v>15000</v>
      </c>
      <c r="I31" s="438">
        <f t="shared" si="36"/>
        <v>60000</v>
      </c>
      <c r="J31" s="438">
        <f t="shared" si="23"/>
        <v>0</v>
      </c>
      <c r="K31" s="438">
        <f t="shared" si="24"/>
        <v>0</v>
      </c>
      <c r="L31" s="438">
        <f t="shared" si="25"/>
        <v>0</v>
      </c>
      <c r="M31" s="438">
        <f t="shared" si="26"/>
        <v>0</v>
      </c>
      <c r="N31" s="438">
        <f t="shared" si="27"/>
        <v>0</v>
      </c>
      <c r="O31" s="85">
        <f t="shared" si="28"/>
        <v>0</v>
      </c>
      <c r="P31" s="85">
        <f t="shared" si="29"/>
        <v>0</v>
      </c>
      <c r="Q31" s="85">
        <f t="shared" si="30"/>
        <v>0</v>
      </c>
      <c r="R31" s="47"/>
      <c r="S31" s="47">
        <f t="shared" si="43"/>
        <v>1</v>
      </c>
      <c r="T31" s="47"/>
      <c r="U31" s="47"/>
      <c r="V31" s="181">
        <f t="shared" si="37"/>
        <v>0</v>
      </c>
      <c r="W31" s="181">
        <f t="shared" si="38"/>
        <v>75000</v>
      </c>
      <c r="X31" s="181">
        <f t="shared" si="39"/>
        <v>0</v>
      </c>
      <c r="Y31" s="181">
        <f t="shared" si="40"/>
        <v>0</v>
      </c>
      <c r="Z31" s="47">
        <v>0</v>
      </c>
      <c r="AA31" s="181">
        <f t="shared" si="31"/>
        <v>0</v>
      </c>
      <c r="AB31" s="47">
        <v>0</v>
      </c>
      <c r="AC31" s="181">
        <f t="shared" si="2"/>
        <v>0</v>
      </c>
      <c r="AD31" s="47">
        <v>0</v>
      </c>
      <c r="AE31" s="181">
        <f t="shared" si="3"/>
        <v>0</v>
      </c>
      <c r="AF31" s="47">
        <v>0</v>
      </c>
      <c r="AG31" s="181">
        <f t="shared" si="4"/>
        <v>0</v>
      </c>
      <c r="AH31" s="47">
        <v>0</v>
      </c>
      <c r="AI31" s="181">
        <f t="shared" si="5"/>
        <v>0</v>
      </c>
      <c r="AJ31" s="47">
        <v>0</v>
      </c>
      <c r="AK31" s="181">
        <f t="shared" si="6"/>
        <v>0</v>
      </c>
      <c r="AL31" s="47">
        <v>0</v>
      </c>
      <c r="AM31" s="181">
        <f t="shared" si="7"/>
        <v>0</v>
      </c>
      <c r="AN31" s="47">
        <v>0</v>
      </c>
      <c r="AO31" s="181">
        <f t="shared" si="8"/>
        <v>0</v>
      </c>
      <c r="AP31" s="47">
        <v>0</v>
      </c>
      <c r="AQ31" s="181">
        <f t="shared" si="9"/>
        <v>0</v>
      </c>
      <c r="AR31" s="47">
        <v>0</v>
      </c>
      <c r="AS31" s="181">
        <f t="shared" si="10"/>
        <v>0</v>
      </c>
      <c r="AT31" s="47">
        <v>0</v>
      </c>
      <c r="AU31" s="181">
        <f t="shared" si="11"/>
        <v>0</v>
      </c>
      <c r="AV31" s="47">
        <v>0</v>
      </c>
      <c r="AW31" s="181">
        <f t="shared" si="12"/>
        <v>0</v>
      </c>
      <c r="AX31" s="47">
        <v>0</v>
      </c>
      <c r="AY31" s="181">
        <f t="shared" si="13"/>
        <v>0</v>
      </c>
      <c r="AZ31" s="47">
        <v>0</v>
      </c>
      <c r="BA31" s="181">
        <f t="shared" si="14"/>
        <v>0</v>
      </c>
      <c r="BB31" s="47">
        <v>0</v>
      </c>
      <c r="BC31" s="181">
        <f t="shared" si="15"/>
        <v>0</v>
      </c>
      <c r="BD31" s="47">
        <v>0</v>
      </c>
      <c r="BE31" s="181">
        <f t="shared" si="16"/>
        <v>0</v>
      </c>
      <c r="BF31" s="47">
        <v>0</v>
      </c>
      <c r="BG31" s="181">
        <f t="shared" si="17"/>
        <v>0</v>
      </c>
      <c r="BH31" s="47">
        <v>1</v>
      </c>
      <c r="BI31" s="181">
        <f t="shared" si="32"/>
        <v>75000</v>
      </c>
      <c r="BJ31" s="47">
        <f t="shared" si="33"/>
        <v>1</v>
      </c>
      <c r="BK31" s="117">
        <f t="shared" si="33"/>
        <v>75000</v>
      </c>
      <c r="BL31" s="345" t="s">
        <v>469</v>
      </c>
      <c r="BN31" s="113"/>
      <c r="BO31" s="113"/>
      <c r="BP31" s="113">
        <f t="shared" si="44"/>
        <v>75000</v>
      </c>
      <c r="BQ31" s="113"/>
      <c r="BR31" s="113">
        <f t="shared" si="41"/>
        <v>75000</v>
      </c>
      <c r="BS31" s="113"/>
      <c r="BT31" s="113"/>
      <c r="BU31" s="125">
        <f t="shared" si="42"/>
        <v>0</v>
      </c>
      <c r="BV31" s="181">
        <f t="shared" si="0"/>
        <v>75000</v>
      </c>
    </row>
    <row r="32" spans="1:74" x14ac:dyDescent="0.25">
      <c r="A32" s="989"/>
      <c r="B32" s="38">
        <v>41213</v>
      </c>
      <c r="C32" s="38" t="s">
        <v>259</v>
      </c>
      <c r="D32" s="38" t="s">
        <v>209</v>
      </c>
      <c r="E32" s="375">
        <v>30000</v>
      </c>
      <c r="F32" s="38">
        <f t="shared" si="21"/>
        <v>1</v>
      </c>
      <c r="G32" s="438">
        <f t="shared" si="22"/>
        <v>30000</v>
      </c>
      <c r="H32" s="438">
        <f t="shared" si="35"/>
        <v>6000</v>
      </c>
      <c r="I32" s="438">
        <f t="shared" si="36"/>
        <v>24000</v>
      </c>
      <c r="J32" s="438">
        <f t="shared" si="23"/>
        <v>0</v>
      </c>
      <c r="K32" s="438">
        <f t="shared" si="24"/>
        <v>0</v>
      </c>
      <c r="L32" s="438">
        <f t="shared" si="25"/>
        <v>0</v>
      </c>
      <c r="M32" s="438">
        <f t="shared" si="26"/>
        <v>0</v>
      </c>
      <c r="N32" s="438">
        <f t="shared" si="27"/>
        <v>0</v>
      </c>
      <c r="O32" s="85">
        <f t="shared" si="28"/>
        <v>0</v>
      </c>
      <c r="P32" s="85">
        <f t="shared" si="29"/>
        <v>0</v>
      </c>
      <c r="Q32" s="85">
        <f t="shared" si="30"/>
        <v>0</v>
      </c>
      <c r="R32" s="47"/>
      <c r="S32" s="47">
        <f t="shared" si="43"/>
        <v>1</v>
      </c>
      <c r="T32" s="47"/>
      <c r="U32" s="47"/>
      <c r="V32" s="181">
        <f t="shared" si="37"/>
        <v>0</v>
      </c>
      <c r="W32" s="181">
        <f t="shared" si="38"/>
        <v>30000</v>
      </c>
      <c r="X32" s="181">
        <f t="shared" si="39"/>
        <v>0</v>
      </c>
      <c r="Y32" s="181">
        <f t="shared" si="40"/>
        <v>0</v>
      </c>
      <c r="Z32" s="47">
        <v>0</v>
      </c>
      <c r="AA32" s="181">
        <f t="shared" si="31"/>
        <v>0</v>
      </c>
      <c r="AB32" s="47">
        <v>0</v>
      </c>
      <c r="AC32" s="181">
        <f t="shared" si="2"/>
        <v>0</v>
      </c>
      <c r="AD32" s="47">
        <v>0</v>
      </c>
      <c r="AE32" s="181">
        <f t="shared" si="3"/>
        <v>0</v>
      </c>
      <c r="AF32" s="47">
        <v>0</v>
      </c>
      <c r="AG32" s="181">
        <f t="shared" si="4"/>
        <v>0</v>
      </c>
      <c r="AH32" s="47">
        <v>0</v>
      </c>
      <c r="AI32" s="181">
        <f t="shared" si="5"/>
        <v>0</v>
      </c>
      <c r="AJ32" s="47">
        <v>0</v>
      </c>
      <c r="AK32" s="181">
        <f t="shared" si="6"/>
        <v>0</v>
      </c>
      <c r="AL32" s="47">
        <v>0</v>
      </c>
      <c r="AM32" s="181">
        <f t="shared" si="7"/>
        <v>0</v>
      </c>
      <c r="AN32" s="47">
        <v>0</v>
      </c>
      <c r="AO32" s="181">
        <f t="shared" si="8"/>
        <v>0</v>
      </c>
      <c r="AP32" s="47">
        <v>0</v>
      </c>
      <c r="AQ32" s="181">
        <f t="shared" si="9"/>
        <v>0</v>
      </c>
      <c r="AR32" s="47">
        <v>0</v>
      </c>
      <c r="AS32" s="181">
        <f t="shared" si="10"/>
        <v>0</v>
      </c>
      <c r="AT32" s="47">
        <v>0</v>
      </c>
      <c r="AU32" s="181">
        <f t="shared" si="11"/>
        <v>0</v>
      </c>
      <c r="AV32" s="47">
        <v>0</v>
      </c>
      <c r="AW32" s="181">
        <f t="shared" si="12"/>
        <v>0</v>
      </c>
      <c r="AX32" s="47">
        <v>0</v>
      </c>
      <c r="AY32" s="181">
        <f t="shared" si="13"/>
        <v>0</v>
      </c>
      <c r="AZ32" s="47">
        <v>0</v>
      </c>
      <c r="BA32" s="181">
        <f t="shared" si="14"/>
        <v>0</v>
      </c>
      <c r="BB32" s="47">
        <v>0</v>
      </c>
      <c r="BC32" s="181">
        <f t="shared" si="15"/>
        <v>0</v>
      </c>
      <c r="BD32" s="47">
        <v>0</v>
      </c>
      <c r="BE32" s="181">
        <f t="shared" si="16"/>
        <v>0</v>
      </c>
      <c r="BF32" s="47">
        <v>0</v>
      </c>
      <c r="BG32" s="181">
        <f t="shared" si="17"/>
        <v>0</v>
      </c>
      <c r="BH32" s="47">
        <v>1</v>
      </c>
      <c r="BI32" s="181">
        <f t="shared" si="32"/>
        <v>30000</v>
      </c>
      <c r="BJ32" s="47">
        <f t="shared" si="33"/>
        <v>1</v>
      </c>
      <c r="BK32" s="117">
        <f t="shared" si="33"/>
        <v>30000</v>
      </c>
      <c r="BL32" s="345" t="s">
        <v>469</v>
      </c>
      <c r="BN32" s="113"/>
      <c r="BO32" s="113"/>
      <c r="BP32" s="113">
        <f t="shared" si="44"/>
        <v>30000</v>
      </c>
      <c r="BQ32" s="113"/>
      <c r="BR32" s="113">
        <f t="shared" si="41"/>
        <v>30000</v>
      </c>
      <c r="BS32" s="113"/>
      <c r="BT32" s="113"/>
      <c r="BU32" s="125">
        <f t="shared" si="42"/>
        <v>0</v>
      </c>
      <c r="BV32" s="181">
        <f t="shared" si="0"/>
        <v>30000</v>
      </c>
    </row>
    <row r="33" spans="1:74" x14ac:dyDescent="0.25">
      <c r="A33" s="989"/>
      <c r="B33" s="38">
        <v>41214</v>
      </c>
      <c r="C33" s="38" t="s">
        <v>260</v>
      </c>
      <c r="D33" s="38" t="s">
        <v>209</v>
      </c>
      <c r="E33" s="375">
        <f>0.15*100000</f>
        <v>15000</v>
      </c>
      <c r="F33" s="38">
        <f t="shared" si="21"/>
        <v>0</v>
      </c>
      <c r="G33" s="438">
        <f t="shared" si="22"/>
        <v>0</v>
      </c>
      <c r="H33" s="438">
        <f t="shared" si="35"/>
        <v>0</v>
      </c>
      <c r="I33" s="438">
        <f t="shared" si="36"/>
        <v>0</v>
      </c>
      <c r="J33" s="438">
        <f t="shared" si="23"/>
        <v>0</v>
      </c>
      <c r="K33" s="438">
        <f t="shared" si="24"/>
        <v>0</v>
      </c>
      <c r="L33" s="438">
        <f t="shared" si="25"/>
        <v>0</v>
      </c>
      <c r="M33" s="438">
        <f t="shared" si="26"/>
        <v>0</v>
      </c>
      <c r="N33" s="438">
        <f t="shared" si="27"/>
        <v>0</v>
      </c>
      <c r="O33" s="85">
        <f t="shared" si="28"/>
        <v>0</v>
      </c>
      <c r="P33" s="85">
        <f t="shared" si="29"/>
        <v>0</v>
      </c>
      <c r="Q33" s="85">
        <f t="shared" si="30"/>
        <v>0</v>
      </c>
      <c r="R33" s="47"/>
      <c r="S33" s="47">
        <f t="shared" si="43"/>
        <v>0</v>
      </c>
      <c r="T33" s="47"/>
      <c r="U33" s="47"/>
      <c r="V33" s="181">
        <f t="shared" si="37"/>
        <v>0</v>
      </c>
      <c r="W33" s="181">
        <f t="shared" si="38"/>
        <v>0</v>
      </c>
      <c r="X33" s="181">
        <f t="shared" si="39"/>
        <v>0</v>
      </c>
      <c r="Y33" s="181">
        <f t="shared" si="40"/>
        <v>0</v>
      </c>
      <c r="Z33" s="47">
        <v>0</v>
      </c>
      <c r="AA33" s="181">
        <f t="shared" si="31"/>
        <v>0</v>
      </c>
      <c r="AB33" s="47">
        <v>0</v>
      </c>
      <c r="AC33" s="181">
        <f t="shared" si="2"/>
        <v>0</v>
      </c>
      <c r="AD33" s="47">
        <v>0</v>
      </c>
      <c r="AE33" s="181">
        <f t="shared" si="3"/>
        <v>0</v>
      </c>
      <c r="AF33" s="47">
        <v>0</v>
      </c>
      <c r="AG33" s="181">
        <f t="shared" si="4"/>
        <v>0</v>
      </c>
      <c r="AH33" s="47">
        <v>0</v>
      </c>
      <c r="AI33" s="181">
        <f t="shared" si="5"/>
        <v>0</v>
      </c>
      <c r="AJ33" s="47">
        <v>0</v>
      </c>
      <c r="AK33" s="181">
        <f t="shared" si="6"/>
        <v>0</v>
      </c>
      <c r="AL33" s="47">
        <v>0</v>
      </c>
      <c r="AM33" s="181">
        <f t="shared" si="7"/>
        <v>0</v>
      </c>
      <c r="AN33" s="47">
        <v>0</v>
      </c>
      <c r="AO33" s="181">
        <f t="shared" si="8"/>
        <v>0</v>
      </c>
      <c r="AP33" s="47">
        <v>0</v>
      </c>
      <c r="AQ33" s="181">
        <f t="shared" si="9"/>
        <v>0</v>
      </c>
      <c r="AR33" s="47">
        <v>0</v>
      </c>
      <c r="AS33" s="181">
        <f t="shared" si="10"/>
        <v>0</v>
      </c>
      <c r="AT33" s="47">
        <v>0</v>
      </c>
      <c r="AU33" s="181">
        <f t="shared" si="11"/>
        <v>0</v>
      </c>
      <c r="AV33" s="47">
        <v>0</v>
      </c>
      <c r="AW33" s="181">
        <f t="shared" si="12"/>
        <v>0</v>
      </c>
      <c r="AX33" s="47">
        <v>0</v>
      </c>
      <c r="AY33" s="181">
        <f t="shared" si="13"/>
        <v>0</v>
      </c>
      <c r="AZ33" s="47">
        <v>0</v>
      </c>
      <c r="BA33" s="181">
        <f t="shared" si="14"/>
        <v>0</v>
      </c>
      <c r="BB33" s="47">
        <v>0</v>
      </c>
      <c r="BC33" s="181">
        <f t="shared" si="15"/>
        <v>0</v>
      </c>
      <c r="BD33" s="47">
        <v>0</v>
      </c>
      <c r="BE33" s="181">
        <f t="shared" si="16"/>
        <v>0</v>
      </c>
      <c r="BF33" s="47">
        <v>0</v>
      </c>
      <c r="BG33" s="181">
        <f t="shared" si="17"/>
        <v>0</v>
      </c>
      <c r="BH33" s="47">
        <v>0</v>
      </c>
      <c r="BI33" s="181">
        <f t="shared" si="32"/>
        <v>0</v>
      </c>
      <c r="BJ33" s="47">
        <f t="shared" si="33"/>
        <v>0</v>
      </c>
      <c r="BK33" s="117">
        <f t="shared" si="33"/>
        <v>0</v>
      </c>
      <c r="BL33" s="345" t="s">
        <v>469</v>
      </c>
      <c r="BN33" s="113"/>
      <c r="BO33" s="113"/>
      <c r="BP33" s="113">
        <f t="shared" si="44"/>
        <v>0</v>
      </c>
      <c r="BQ33" s="113"/>
      <c r="BR33" s="113">
        <f t="shared" si="41"/>
        <v>0</v>
      </c>
      <c r="BS33" s="113"/>
      <c r="BT33" s="113"/>
      <c r="BU33" s="125">
        <f t="shared" si="42"/>
        <v>0</v>
      </c>
      <c r="BV33" s="181">
        <f t="shared" si="0"/>
        <v>0</v>
      </c>
    </row>
    <row r="34" spans="1:74" ht="31.5" x14ac:dyDescent="0.25">
      <c r="A34" s="989"/>
      <c r="B34" s="38">
        <v>41215</v>
      </c>
      <c r="C34" s="38" t="s">
        <v>261</v>
      </c>
      <c r="D34" s="38" t="s">
        <v>209</v>
      </c>
      <c r="E34" s="375">
        <f>3*100000</f>
        <v>300000</v>
      </c>
      <c r="F34" s="38">
        <f t="shared" si="21"/>
        <v>0</v>
      </c>
      <c r="G34" s="438">
        <f t="shared" si="22"/>
        <v>0</v>
      </c>
      <c r="H34" s="438">
        <f t="shared" si="35"/>
        <v>0</v>
      </c>
      <c r="I34" s="438">
        <f t="shared" si="36"/>
        <v>0</v>
      </c>
      <c r="J34" s="438">
        <f t="shared" si="23"/>
        <v>0</v>
      </c>
      <c r="K34" s="438">
        <f t="shared" si="24"/>
        <v>0</v>
      </c>
      <c r="L34" s="438">
        <f t="shared" si="25"/>
        <v>0</v>
      </c>
      <c r="M34" s="438">
        <f t="shared" si="26"/>
        <v>0</v>
      </c>
      <c r="N34" s="438">
        <f t="shared" si="27"/>
        <v>0</v>
      </c>
      <c r="O34" s="85">
        <f t="shared" si="28"/>
        <v>0</v>
      </c>
      <c r="P34" s="85">
        <f t="shared" si="29"/>
        <v>0</v>
      </c>
      <c r="Q34" s="85">
        <f t="shared" si="30"/>
        <v>0</v>
      </c>
      <c r="R34" s="47"/>
      <c r="S34" s="47">
        <f t="shared" si="43"/>
        <v>0</v>
      </c>
      <c r="T34" s="47"/>
      <c r="U34" s="47"/>
      <c r="V34" s="181">
        <f t="shared" si="37"/>
        <v>0</v>
      </c>
      <c r="W34" s="181">
        <f t="shared" si="38"/>
        <v>0</v>
      </c>
      <c r="X34" s="181">
        <f t="shared" si="39"/>
        <v>0</v>
      </c>
      <c r="Y34" s="181">
        <f t="shared" si="40"/>
        <v>0</v>
      </c>
      <c r="Z34" s="47">
        <v>0</v>
      </c>
      <c r="AA34" s="181">
        <f t="shared" si="31"/>
        <v>0</v>
      </c>
      <c r="AB34" s="47">
        <v>0</v>
      </c>
      <c r="AC34" s="181">
        <f t="shared" si="2"/>
        <v>0</v>
      </c>
      <c r="AD34" s="47">
        <v>0</v>
      </c>
      <c r="AE34" s="181">
        <f t="shared" si="3"/>
        <v>0</v>
      </c>
      <c r="AF34" s="47">
        <v>0</v>
      </c>
      <c r="AG34" s="181">
        <f t="shared" si="4"/>
        <v>0</v>
      </c>
      <c r="AH34" s="47">
        <v>0</v>
      </c>
      <c r="AI34" s="181">
        <f t="shared" si="5"/>
        <v>0</v>
      </c>
      <c r="AJ34" s="47">
        <v>0</v>
      </c>
      <c r="AK34" s="181">
        <f t="shared" si="6"/>
        <v>0</v>
      </c>
      <c r="AL34" s="47">
        <v>0</v>
      </c>
      <c r="AM34" s="181">
        <f t="shared" si="7"/>
        <v>0</v>
      </c>
      <c r="AN34" s="47">
        <v>0</v>
      </c>
      <c r="AO34" s="181">
        <f t="shared" si="8"/>
        <v>0</v>
      </c>
      <c r="AP34" s="47">
        <v>0</v>
      </c>
      <c r="AQ34" s="181">
        <f t="shared" si="9"/>
        <v>0</v>
      </c>
      <c r="AR34" s="47">
        <v>0</v>
      </c>
      <c r="AS34" s="181">
        <f t="shared" si="10"/>
        <v>0</v>
      </c>
      <c r="AT34" s="47">
        <v>0</v>
      </c>
      <c r="AU34" s="181">
        <f t="shared" si="11"/>
        <v>0</v>
      </c>
      <c r="AV34" s="47">
        <v>0</v>
      </c>
      <c r="AW34" s="181">
        <f t="shared" si="12"/>
        <v>0</v>
      </c>
      <c r="AX34" s="47">
        <v>0</v>
      </c>
      <c r="AY34" s="181">
        <f t="shared" si="13"/>
        <v>0</v>
      </c>
      <c r="AZ34" s="47">
        <v>0</v>
      </c>
      <c r="BA34" s="181">
        <f t="shared" si="14"/>
        <v>0</v>
      </c>
      <c r="BB34" s="47">
        <v>0</v>
      </c>
      <c r="BC34" s="181">
        <f t="shared" si="15"/>
        <v>0</v>
      </c>
      <c r="BD34" s="47">
        <v>0</v>
      </c>
      <c r="BE34" s="181">
        <f t="shared" si="16"/>
        <v>0</v>
      </c>
      <c r="BF34" s="47">
        <v>0</v>
      </c>
      <c r="BG34" s="181">
        <f t="shared" si="17"/>
        <v>0</v>
      </c>
      <c r="BH34" s="47">
        <v>0</v>
      </c>
      <c r="BI34" s="181">
        <f t="shared" si="32"/>
        <v>0</v>
      </c>
      <c r="BJ34" s="47">
        <f t="shared" si="33"/>
        <v>0</v>
      </c>
      <c r="BK34" s="117">
        <f t="shared" si="33"/>
        <v>0</v>
      </c>
      <c r="BL34" s="345" t="s">
        <v>469</v>
      </c>
      <c r="BN34" s="113"/>
      <c r="BO34" s="113"/>
      <c r="BP34" s="113">
        <f t="shared" si="44"/>
        <v>0</v>
      </c>
      <c r="BQ34" s="113"/>
      <c r="BR34" s="113">
        <f t="shared" si="41"/>
        <v>0</v>
      </c>
      <c r="BS34" s="113"/>
      <c r="BT34" s="113"/>
      <c r="BU34" s="125">
        <f t="shared" si="42"/>
        <v>0</v>
      </c>
      <c r="BV34" s="181">
        <f t="shared" si="0"/>
        <v>0</v>
      </c>
    </row>
    <row r="35" spans="1:74" s="67" customFormat="1" x14ac:dyDescent="0.25">
      <c r="A35" s="989"/>
      <c r="B35" s="38">
        <v>41216</v>
      </c>
      <c r="C35" s="38" t="s">
        <v>262</v>
      </c>
      <c r="D35" s="38" t="s">
        <v>209</v>
      </c>
      <c r="E35" s="375">
        <f>0.02*100000</f>
        <v>2000</v>
      </c>
      <c r="F35" s="38">
        <f t="shared" si="21"/>
        <v>0</v>
      </c>
      <c r="G35" s="438">
        <f t="shared" si="22"/>
        <v>0</v>
      </c>
      <c r="H35" s="438">
        <f t="shared" si="35"/>
        <v>0</v>
      </c>
      <c r="I35" s="438">
        <f t="shared" si="36"/>
        <v>0</v>
      </c>
      <c r="J35" s="438">
        <f t="shared" si="23"/>
        <v>0</v>
      </c>
      <c r="K35" s="438">
        <f t="shared" si="24"/>
        <v>0</v>
      </c>
      <c r="L35" s="438">
        <f t="shared" si="25"/>
        <v>0</v>
      </c>
      <c r="M35" s="438">
        <f t="shared" si="26"/>
        <v>0</v>
      </c>
      <c r="N35" s="438">
        <f t="shared" si="27"/>
        <v>0</v>
      </c>
      <c r="O35" s="85">
        <f t="shared" si="28"/>
        <v>0</v>
      </c>
      <c r="P35" s="85">
        <f t="shared" si="29"/>
        <v>0</v>
      </c>
      <c r="Q35" s="85">
        <f t="shared" si="30"/>
        <v>0</v>
      </c>
      <c r="R35" s="47"/>
      <c r="S35" s="47">
        <f t="shared" si="43"/>
        <v>0</v>
      </c>
      <c r="T35" s="47"/>
      <c r="U35" s="47"/>
      <c r="V35" s="181">
        <f t="shared" si="37"/>
        <v>0</v>
      </c>
      <c r="W35" s="181">
        <f t="shared" si="38"/>
        <v>0</v>
      </c>
      <c r="X35" s="181">
        <f t="shared" si="39"/>
        <v>0</v>
      </c>
      <c r="Y35" s="181">
        <f t="shared" si="40"/>
        <v>0</v>
      </c>
      <c r="Z35" s="47">
        <v>0</v>
      </c>
      <c r="AA35" s="181">
        <f t="shared" si="31"/>
        <v>0</v>
      </c>
      <c r="AB35" s="47">
        <v>0</v>
      </c>
      <c r="AC35" s="181">
        <f t="shared" si="2"/>
        <v>0</v>
      </c>
      <c r="AD35" s="47">
        <v>0</v>
      </c>
      <c r="AE35" s="181">
        <f t="shared" si="3"/>
        <v>0</v>
      </c>
      <c r="AF35" s="47">
        <v>0</v>
      </c>
      <c r="AG35" s="181">
        <f t="shared" si="4"/>
        <v>0</v>
      </c>
      <c r="AH35" s="47">
        <v>0</v>
      </c>
      <c r="AI35" s="181">
        <f t="shared" si="5"/>
        <v>0</v>
      </c>
      <c r="AJ35" s="47">
        <v>0</v>
      </c>
      <c r="AK35" s="181">
        <f t="shared" si="6"/>
        <v>0</v>
      </c>
      <c r="AL35" s="47">
        <v>0</v>
      </c>
      <c r="AM35" s="181">
        <f t="shared" si="7"/>
        <v>0</v>
      </c>
      <c r="AN35" s="47">
        <v>0</v>
      </c>
      <c r="AO35" s="181">
        <f t="shared" si="8"/>
        <v>0</v>
      </c>
      <c r="AP35" s="47">
        <v>0</v>
      </c>
      <c r="AQ35" s="181">
        <f t="shared" si="9"/>
        <v>0</v>
      </c>
      <c r="AR35" s="47">
        <v>0</v>
      </c>
      <c r="AS35" s="181">
        <f t="shared" si="10"/>
        <v>0</v>
      </c>
      <c r="AT35" s="47">
        <v>0</v>
      </c>
      <c r="AU35" s="181">
        <f t="shared" si="11"/>
        <v>0</v>
      </c>
      <c r="AV35" s="47">
        <v>0</v>
      </c>
      <c r="AW35" s="181">
        <f t="shared" si="12"/>
        <v>0</v>
      </c>
      <c r="AX35" s="47">
        <v>0</v>
      </c>
      <c r="AY35" s="181">
        <f t="shared" si="13"/>
        <v>0</v>
      </c>
      <c r="AZ35" s="47">
        <v>0</v>
      </c>
      <c r="BA35" s="181">
        <f t="shared" si="14"/>
        <v>0</v>
      </c>
      <c r="BB35" s="47">
        <v>0</v>
      </c>
      <c r="BC35" s="181">
        <f t="shared" si="15"/>
        <v>0</v>
      </c>
      <c r="BD35" s="47">
        <v>0</v>
      </c>
      <c r="BE35" s="181">
        <f t="shared" si="16"/>
        <v>0</v>
      </c>
      <c r="BF35" s="47">
        <v>0</v>
      </c>
      <c r="BG35" s="181">
        <f t="shared" si="17"/>
        <v>0</v>
      </c>
      <c r="BH35" s="47">
        <v>0</v>
      </c>
      <c r="BI35" s="181">
        <f t="shared" si="32"/>
        <v>0</v>
      </c>
      <c r="BJ35" s="47">
        <f t="shared" si="33"/>
        <v>0</v>
      </c>
      <c r="BK35" s="117">
        <f t="shared" si="33"/>
        <v>0</v>
      </c>
      <c r="BL35" s="345" t="s">
        <v>469</v>
      </c>
      <c r="BN35" s="263"/>
      <c r="BO35" s="263"/>
      <c r="BP35" s="113">
        <f t="shared" si="44"/>
        <v>0</v>
      </c>
      <c r="BQ35" s="263"/>
      <c r="BR35" s="113">
        <f t="shared" si="41"/>
        <v>0</v>
      </c>
      <c r="BS35" s="263"/>
      <c r="BT35" s="263"/>
      <c r="BU35" s="125">
        <f t="shared" si="42"/>
        <v>0</v>
      </c>
      <c r="BV35" s="181">
        <f t="shared" si="0"/>
        <v>0</v>
      </c>
    </row>
    <row r="36" spans="1:74" x14ac:dyDescent="0.25">
      <c r="A36" s="989"/>
      <c r="B36" s="38">
        <v>41217</v>
      </c>
      <c r="C36" s="38" t="s">
        <v>263</v>
      </c>
      <c r="D36" s="38" t="s">
        <v>209</v>
      </c>
      <c r="E36" s="375">
        <v>100000</v>
      </c>
      <c r="F36" s="38">
        <f t="shared" si="21"/>
        <v>1</v>
      </c>
      <c r="G36" s="438">
        <f t="shared" si="22"/>
        <v>100000</v>
      </c>
      <c r="H36" s="438">
        <f t="shared" si="35"/>
        <v>20000</v>
      </c>
      <c r="I36" s="438">
        <f t="shared" si="36"/>
        <v>80000</v>
      </c>
      <c r="J36" s="438">
        <f t="shared" si="23"/>
        <v>0</v>
      </c>
      <c r="K36" s="438">
        <f t="shared" si="24"/>
        <v>0</v>
      </c>
      <c r="L36" s="438">
        <f t="shared" si="25"/>
        <v>0</v>
      </c>
      <c r="M36" s="438">
        <f t="shared" si="26"/>
        <v>0</v>
      </c>
      <c r="N36" s="438">
        <f t="shared" si="27"/>
        <v>0</v>
      </c>
      <c r="O36" s="85">
        <f t="shared" si="28"/>
        <v>0</v>
      </c>
      <c r="P36" s="85">
        <f t="shared" si="29"/>
        <v>0</v>
      </c>
      <c r="Q36" s="85">
        <f t="shared" si="30"/>
        <v>0</v>
      </c>
      <c r="R36" s="47"/>
      <c r="S36" s="47">
        <f t="shared" si="43"/>
        <v>1</v>
      </c>
      <c r="T36" s="47"/>
      <c r="U36" s="47"/>
      <c r="V36" s="181">
        <f t="shared" si="37"/>
        <v>0</v>
      </c>
      <c r="W36" s="181">
        <f t="shared" si="38"/>
        <v>100000</v>
      </c>
      <c r="X36" s="181">
        <f t="shared" si="39"/>
        <v>0</v>
      </c>
      <c r="Y36" s="181">
        <f t="shared" si="40"/>
        <v>0</v>
      </c>
      <c r="Z36" s="47">
        <v>0</v>
      </c>
      <c r="AA36" s="181">
        <f t="shared" si="31"/>
        <v>0</v>
      </c>
      <c r="AB36" s="47">
        <v>0</v>
      </c>
      <c r="AC36" s="181">
        <f t="shared" si="2"/>
        <v>0</v>
      </c>
      <c r="AD36" s="47">
        <v>0</v>
      </c>
      <c r="AE36" s="181">
        <f t="shared" si="3"/>
        <v>0</v>
      </c>
      <c r="AF36" s="47">
        <v>0</v>
      </c>
      <c r="AG36" s="181">
        <f t="shared" si="4"/>
        <v>0</v>
      </c>
      <c r="AH36" s="47">
        <v>0</v>
      </c>
      <c r="AI36" s="181">
        <f t="shared" si="5"/>
        <v>0</v>
      </c>
      <c r="AJ36" s="47">
        <v>0</v>
      </c>
      <c r="AK36" s="181">
        <f t="shared" si="6"/>
        <v>0</v>
      </c>
      <c r="AL36" s="47">
        <v>0</v>
      </c>
      <c r="AM36" s="181">
        <f t="shared" si="7"/>
        <v>0</v>
      </c>
      <c r="AN36" s="47">
        <v>0</v>
      </c>
      <c r="AO36" s="181">
        <f t="shared" si="8"/>
        <v>0</v>
      </c>
      <c r="AP36" s="47">
        <v>0</v>
      </c>
      <c r="AQ36" s="181">
        <f t="shared" si="9"/>
        <v>0</v>
      </c>
      <c r="AR36" s="47">
        <v>0</v>
      </c>
      <c r="AS36" s="181">
        <f t="shared" si="10"/>
        <v>0</v>
      </c>
      <c r="AT36" s="47">
        <v>0</v>
      </c>
      <c r="AU36" s="181">
        <f t="shared" si="11"/>
        <v>0</v>
      </c>
      <c r="AV36" s="47">
        <v>0</v>
      </c>
      <c r="AW36" s="181">
        <f t="shared" si="12"/>
        <v>0</v>
      </c>
      <c r="AX36" s="47">
        <v>0</v>
      </c>
      <c r="AY36" s="181">
        <f t="shared" si="13"/>
        <v>0</v>
      </c>
      <c r="AZ36" s="47">
        <v>0</v>
      </c>
      <c r="BA36" s="181">
        <f t="shared" si="14"/>
        <v>0</v>
      </c>
      <c r="BB36" s="47">
        <v>0</v>
      </c>
      <c r="BC36" s="181">
        <f t="shared" si="15"/>
        <v>0</v>
      </c>
      <c r="BD36" s="47">
        <v>0</v>
      </c>
      <c r="BE36" s="181">
        <f t="shared" si="16"/>
        <v>0</v>
      </c>
      <c r="BF36" s="47">
        <v>0</v>
      </c>
      <c r="BG36" s="181">
        <f t="shared" si="17"/>
        <v>0</v>
      </c>
      <c r="BH36" s="47">
        <v>1</v>
      </c>
      <c r="BI36" s="181">
        <f t="shared" si="32"/>
        <v>100000</v>
      </c>
      <c r="BJ36" s="47">
        <f t="shared" si="33"/>
        <v>1</v>
      </c>
      <c r="BK36" s="117">
        <f t="shared" si="33"/>
        <v>100000</v>
      </c>
      <c r="BL36" s="345" t="s">
        <v>469</v>
      </c>
      <c r="BN36" s="113"/>
      <c r="BO36" s="113"/>
      <c r="BP36" s="113">
        <f t="shared" si="44"/>
        <v>100000</v>
      </c>
      <c r="BQ36" s="113"/>
      <c r="BR36" s="113">
        <f t="shared" si="41"/>
        <v>100000</v>
      </c>
      <c r="BS36" s="113"/>
      <c r="BT36" s="113"/>
      <c r="BU36" s="125">
        <f t="shared" si="42"/>
        <v>0</v>
      </c>
      <c r="BV36" s="181">
        <f t="shared" si="0"/>
        <v>100000</v>
      </c>
    </row>
    <row r="37" spans="1:74" x14ac:dyDescent="0.25">
      <c r="A37" s="989"/>
      <c r="B37" s="38">
        <v>41218</v>
      </c>
      <c r="C37" s="38" t="s">
        <v>729</v>
      </c>
      <c r="D37" s="38" t="s">
        <v>209</v>
      </c>
      <c r="E37" s="375">
        <f>1*100000</f>
        <v>100000</v>
      </c>
      <c r="F37" s="38">
        <f t="shared" si="21"/>
        <v>0</v>
      </c>
      <c r="G37" s="438">
        <f t="shared" si="22"/>
        <v>0</v>
      </c>
      <c r="H37" s="438">
        <f t="shared" si="35"/>
        <v>0</v>
      </c>
      <c r="I37" s="438">
        <f t="shared" si="36"/>
        <v>0</v>
      </c>
      <c r="J37" s="438">
        <f t="shared" si="23"/>
        <v>0</v>
      </c>
      <c r="K37" s="438">
        <f t="shared" si="24"/>
        <v>0</v>
      </c>
      <c r="L37" s="438">
        <f t="shared" si="25"/>
        <v>0</v>
      </c>
      <c r="M37" s="438">
        <f t="shared" si="26"/>
        <v>0</v>
      </c>
      <c r="N37" s="438">
        <f t="shared" si="27"/>
        <v>0</v>
      </c>
      <c r="O37" s="85">
        <f t="shared" si="28"/>
        <v>0</v>
      </c>
      <c r="P37" s="85">
        <f t="shared" si="29"/>
        <v>0</v>
      </c>
      <c r="Q37" s="85">
        <f t="shared" si="30"/>
        <v>0</v>
      </c>
      <c r="R37" s="47"/>
      <c r="S37" s="47">
        <f t="shared" si="43"/>
        <v>0</v>
      </c>
      <c r="T37" s="47"/>
      <c r="U37" s="47"/>
      <c r="V37" s="181">
        <f t="shared" si="37"/>
        <v>0</v>
      </c>
      <c r="W37" s="181">
        <f t="shared" si="38"/>
        <v>0</v>
      </c>
      <c r="X37" s="181">
        <f t="shared" si="39"/>
        <v>0</v>
      </c>
      <c r="Y37" s="181">
        <f t="shared" si="40"/>
        <v>0</v>
      </c>
      <c r="Z37" s="47">
        <v>0</v>
      </c>
      <c r="AA37" s="181">
        <f t="shared" si="31"/>
        <v>0</v>
      </c>
      <c r="AB37" s="47">
        <v>0</v>
      </c>
      <c r="AC37" s="181">
        <f t="shared" si="2"/>
        <v>0</v>
      </c>
      <c r="AD37" s="47">
        <v>0</v>
      </c>
      <c r="AE37" s="181">
        <f t="shared" si="3"/>
        <v>0</v>
      </c>
      <c r="AF37" s="47">
        <v>0</v>
      </c>
      <c r="AG37" s="181">
        <f t="shared" si="4"/>
        <v>0</v>
      </c>
      <c r="AH37" s="47">
        <v>0</v>
      </c>
      <c r="AI37" s="181">
        <f t="shared" si="5"/>
        <v>0</v>
      </c>
      <c r="AJ37" s="47">
        <v>0</v>
      </c>
      <c r="AK37" s="181">
        <f t="shared" si="6"/>
        <v>0</v>
      </c>
      <c r="AL37" s="47">
        <v>0</v>
      </c>
      <c r="AM37" s="181">
        <f t="shared" si="7"/>
        <v>0</v>
      </c>
      <c r="AN37" s="47">
        <v>0</v>
      </c>
      <c r="AO37" s="181">
        <f t="shared" si="8"/>
        <v>0</v>
      </c>
      <c r="AP37" s="47">
        <v>0</v>
      </c>
      <c r="AQ37" s="181">
        <f t="shared" si="9"/>
        <v>0</v>
      </c>
      <c r="AR37" s="47">
        <v>0</v>
      </c>
      <c r="AS37" s="181">
        <f t="shared" si="10"/>
        <v>0</v>
      </c>
      <c r="AT37" s="47">
        <v>0</v>
      </c>
      <c r="AU37" s="181">
        <f t="shared" si="11"/>
        <v>0</v>
      </c>
      <c r="AV37" s="47">
        <v>0</v>
      </c>
      <c r="AW37" s="181">
        <f t="shared" si="12"/>
        <v>0</v>
      </c>
      <c r="AX37" s="47">
        <v>0</v>
      </c>
      <c r="AY37" s="181">
        <f t="shared" si="13"/>
        <v>0</v>
      </c>
      <c r="AZ37" s="47">
        <v>0</v>
      </c>
      <c r="BA37" s="181">
        <f t="shared" si="14"/>
        <v>0</v>
      </c>
      <c r="BB37" s="47">
        <v>0</v>
      </c>
      <c r="BC37" s="181">
        <f t="shared" si="15"/>
        <v>0</v>
      </c>
      <c r="BD37" s="47">
        <v>0</v>
      </c>
      <c r="BE37" s="181">
        <f t="shared" si="16"/>
        <v>0</v>
      </c>
      <c r="BF37" s="47">
        <v>0</v>
      </c>
      <c r="BG37" s="181">
        <f t="shared" si="17"/>
        <v>0</v>
      </c>
      <c r="BH37" s="47">
        <v>0</v>
      </c>
      <c r="BI37" s="181">
        <f t="shared" si="32"/>
        <v>0</v>
      </c>
      <c r="BJ37" s="47">
        <f t="shared" si="33"/>
        <v>0</v>
      </c>
      <c r="BK37" s="117">
        <f t="shared" si="33"/>
        <v>0</v>
      </c>
      <c r="BL37" s="345" t="s">
        <v>469</v>
      </c>
      <c r="BN37" s="113"/>
      <c r="BO37" s="113"/>
      <c r="BP37" s="113">
        <f t="shared" si="44"/>
        <v>0</v>
      </c>
      <c r="BQ37" s="113"/>
      <c r="BR37" s="113">
        <f t="shared" si="41"/>
        <v>0</v>
      </c>
      <c r="BS37" s="113"/>
      <c r="BT37" s="113"/>
      <c r="BU37" s="125">
        <f t="shared" si="42"/>
        <v>0</v>
      </c>
      <c r="BV37" s="181">
        <f t="shared" si="0"/>
        <v>0</v>
      </c>
    </row>
    <row r="38" spans="1:74" x14ac:dyDescent="0.25">
      <c r="A38" s="989"/>
      <c r="B38" s="38">
        <v>41219</v>
      </c>
      <c r="C38" s="38" t="s">
        <v>265</v>
      </c>
      <c r="D38" s="38" t="s">
        <v>17</v>
      </c>
      <c r="E38" s="235">
        <v>20000</v>
      </c>
      <c r="F38" s="38">
        <f t="shared" si="21"/>
        <v>3</v>
      </c>
      <c r="G38" s="438">
        <f t="shared" si="22"/>
        <v>60000</v>
      </c>
      <c r="H38" s="438">
        <f t="shared" si="35"/>
        <v>12000</v>
      </c>
      <c r="I38" s="438">
        <f t="shared" si="36"/>
        <v>48000</v>
      </c>
      <c r="J38" s="438">
        <f t="shared" si="23"/>
        <v>0</v>
      </c>
      <c r="K38" s="438">
        <f t="shared" si="24"/>
        <v>0</v>
      </c>
      <c r="L38" s="438">
        <f t="shared" si="25"/>
        <v>0</v>
      </c>
      <c r="M38" s="438">
        <f t="shared" si="26"/>
        <v>0</v>
      </c>
      <c r="N38" s="438">
        <f t="shared" si="27"/>
        <v>0</v>
      </c>
      <c r="O38" s="85">
        <f t="shared" si="28"/>
        <v>0</v>
      </c>
      <c r="P38" s="85">
        <f t="shared" si="29"/>
        <v>0</v>
      </c>
      <c r="Q38" s="85">
        <f t="shared" si="30"/>
        <v>0</v>
      </c>
      <c r="R38" s="47"/>
      <c r="S38" s="47">
        <f t="shared" si="43"/>
        <v>3</v>
      </c>
      <c r="T38" s="47"/>
      <c r="U38" s="47"/>
      <c r="V38" s="181">
        <f t="shared" si="37"/>
        <v>0</v>
      </c>
      <c r="W38" s="181">
        <f t="shared" si="38"/>
        <v>60000</v>
      </c>
      <c r="X38" s="181">
        <f t="shared" si="39"/>
        <v>0</v>
      </c>
      <c r="Y38" s="181">
        <f t="shared" si="40"/>
        <v>0</v>
      </c>
      <c r="Z38" s="47">
        <v>0</v>
      </c>
      <c r="AA38" s="181">
        <f t="shared" si="31"/>
        <v>0</v>
      </c>
      <c r="AB38" s="47">
        <v>0</v>
      </c>
      <c r="AC38" s="181">
        <f t="shared" si="2"/>
        <v>0</v>
      </c>
      <c r="AD38" s="47">
        <v>0</v>
      </c>
      <c r="AE38" s="181">
        <f t="shared" si="3"/>
        <v>0</v>
      </c>
      <c r="AF38" s="47">
        <v>0</v>
      </c>
      <c r="AG38" s="181">
        <f t="shared" si="4"/>
        <v>0</v>
      </c>
      <c r="AH38" s="47">
        <v>0</v>
      </c>
      <c r="AI38" s="181">
        <f t="shared" si="5"/>
        <v>0</v>
      </c>
      <c r="AJ38" s="47">
        <v>0</v>
      </c>
      <c r="AK38" s="181">
        <f t="shared" si="6"/>
        <v>0</v>
      </c>
      <c r="AL38" s="47">
        <v>0</v>
      </c>
      <c r="AM38" s="181">
        <f t="shared" si="7"/>
        <v>0</v>
      </c>
      <c r="AN38" s="47">
        <v>0</v>
      </c>
      <c r="AO38" s="181">
        <f t="shared" si="8"/>
        <v>0</v>
      </c>
      <c r="AP38" s="47">
        <v>0</v>
      </c>
      <c r="AQ38" s="181">
        <f t="shared" si="9"/>
        <v>0</v>
      </c>
      <c r="AR38" s="47">
        <v>0</v>
      </c>
      <c r="AS38" s="181">
        <f t="shared" si="10"/>
        <v>0</v>
      </c>
      <c r="AT38" s="47">
        <v>0</v>
      </c>
      <c r="AU38" s="181">
        <f t="shared" si="11"/>
        <v>0</v>
      </c>
      <c r="AV38" s="47">
        <v>0</v>
      </c>
      <c r="AW38" s="181">
        <f t="shared" si="12"/>
        <v>0</v>
      </c>
      <c r="AX38" s="47">
        <v>0</v>
      </c>
      <c r="AY38" s="181">
        <f t="shared" si="13"/>
        <v>0</v>
      </c>
      <c r="AZ38" s="47">
        <v>0</v>
      </c>
      <c r="BA38" s="181">
        <f t="shared" si="14"/>
        <v>0</v>
      </c>
      <c r="BB38" s="47">
        <v>0</v>
      </c>
      <c r="BC38" s="181">
        <f t="shared" si="15"/>
        <v>0</v>
      </c>
      <c r="BD38" s="47">
        <v>0</v>
      </c>
      <c r="BE38" s="181">
        <f t="shared" si="16"/>
        <v>0</v>
      </c>
      <c r="BF38" s="47">
        <v>0</v>
      </c>
      <c r="BG38" s="181">
        <f t="shared" si="17"/>
        <v>0</v>
      </c>
      <c r="BH38" s="47">
        <v>3</v>
      </c>
      <c r="BI38" s="181">
        <f t="shared" si="32"/>
        <v>60000</v>
      </c>
      <c r="BJ38" s="47">
        <v>3</v>
      </c>
      <c r="BK38" s="117">
        <f t="shared" si="33"/>
        <v>60000</v>
      </c>
      <c r="BL38" s="345" t="s">
        <v>469</v>
      </c>
      <c r="BN38" s="113"/>
      <c r="BO38" s="113"/>
      <c r="BP38" s="113">
        <f t="shared" si="44"/>
        <v>60000</v>
      </c>
      <c r="BQ38" s="113"/>
      <c r="BR38" s="113">
        <f t="shared" si="41"/>
        <v>60000</v>
      </c>
      <c r="BS38" s="113"/>
      <c r="BT38" s="113"/>
      <c r="BU38" s="125">
        <f t="shared" si="42"/>
        <v>0</v>
      </c>
      <c r="BV38" s="181">
        <f t="shared" si="0"/>
        <v>60000</v>
      </c>
    </row>
    <row r="39" spans="1:74" x14ac:dyDescent="0.25">
      <c r="A39" s="989"/>
      <c r="B39" s="38">
        <v>41220</v>
      </c>
      <c r="C39" s="38" t="s">
        <v>266</v>
      </c>
      <c r="D39" s="38" t="s">
        <v>209</v>
      </c>
      <c r="E39" s="375">
        <f>1*100000</f>
        <v>100000</v>
      </c>
      <c r="F39" s="38">
        <f t="shared" si="21"/>
        <v>1</v>
      </c>
      <c r="G39" s="438">
        <f t="shared" si="22"/>
        <v>100000</v>
      </c>
      <c r="H39" s="438">
        <f t="shared" si="35"/>
        <v>20000</v>
      </c>
      <c r="I39" s="438">
        <f t="shared" si="36"/>
        <v>80000</v>
      </c>
      <c r="J39" s="438">
        <f t="shared" si="23"/>
        <v>0</v>
      </c>
      <c r="K39" s="438">
        <f t="shared" si="24"/>
        <v>0</v>
      </c>
      <c r="L39" s="438">
        <f t="shared" si="25"/>
        <v>0</v>
      </c>
      <c r="M39" s="438">
        <f t="shared" si="26"/>
        <v>0</v>
      </c>
      <c r="N39" s="438">
        <f t="shared" si="27"/>
        <v>0</v>
      </c>
      <c r="O39" s="85">
        <f t="shared" si="28"/>
        <v>0</v>
      </c>
      <c r="P39" s="85">
        <f t="shared" si="29"/>
        <v>0</v>
      </c>
      <c r="Q39" s="85">
        <f t="shared" si="30"/>
        <v>0</v>
      </c>
      <c r="R39" s="47"/>
      <c r="S39" s="47">
        <f t="shared" si="43"/>
        <v>1</v>
      </c>
      <c r="T39" s="47"/>
      <c r="U39" s="47"/>
      <c r="V39" s="181">
        <f t="shared" si="37"/>
        <v>0</v>
      </c>
      <c r="W39" s="181">
        <f t="shared" si="38"/>
        <v>100000</v>
      </c>
      <c r="X39" s="181">
        <f t="shared" si="39"/>
        <v>0</v>
      </c>
      <c r="Y39" s="181">
        <f t="shared" si="40"/>
        <v>0</v>
      </c>
      <c r="Z39" s="47">
        <v>0</v>
      </c>
      <c r="AA39" s="181">
        <f t="shared" si="31"/>
        <v>0</v>
      </c>
      <c r="AB39" s="47">
        <v>0</v>
      </c>
      <c r="AC39" s="181">
        <f t="shared" si="2"/>
        <v>0</v>
      </c>
      <c r="AD39" s="47">
        <v>0</v>
      </c>
      <c r="AE39" s="181">
        <f t="shared" si="3"/>
        <v>0</v>
      </c>
      <c r="AF39" s="47">
        <v>0</v>
      </c>
      <c r="AG39" s="181">
        <f t="shared" si="4"/>
        <v>0</v>
      </c>
      <c r="AH39" s="47">
        <v>0</v>
      </c>
      <c r="AI39" s="181">
        <f t="shared" si="5"/>
        <v>0</v>
      </c>
      <c r="AJ39" s="47">
        <v>0</v>
      </c>
      <c r="AK39" s="181">
        <f t="shared" si="6"/>
        <v>0</v>
      </c>
      <c r="AL39" s="47">
        <v>0</v>
      </c>
      <c r="AM39" s="181">
        <f t="shared" si="7"/>
        <v>0</v>
      </c>
      <c r="AN39" s="47">
        <v>0</v>
      </c>
      <c r="AO39" s="181">
        <f t="shared" si="8"/>
        <v>0</v>
      </c>
      <c r="AP39" s="47">
        <v>0</v>
      </c>
      <c r="AQ39" s="181">
        <f t="shared" si="9"/>
        <v>0</v>
      </c>
      <c r="AR39" s="47">
        <v>0</v>
      </c>
      <c r="AS39" s="181">
        <f t="shared" si="10"/>
        <v>0</v>
      </c>
      <c r="AT39" s="47">
        <v>0</v>
      </c>
      <c r="AU39" s="181">
        <f t="shared" si="11"/>
        <v>0</v>
      </c>
      <c r="AV39" s="47">
        <v>0</v>
      </c>
      <c r="AW39" s="181">
        <f t="shared" si="12"/>
        <v>0</v>
      </c>
      <c r="AX39" s="47">
        <v>0</v>
      </c>
      <c r="AY39" s="181">
        <f t="shared" si="13"/>
        <v>0</v>
      </c>
      <c r="AZ39" s="47">
        <v>0</v>
      </c>
      <c r="BA39" s="181">
        <f t="shared" si="14"/>
        <v>0</v>
      </c>
      <c r="BB39" s="47">
        <v>0</v>
      </c>
      <c r="BC39" s="181">
        <f t="shared" si="15"/>
        <v>0</v>
      </c>
      <c r="BD39" s="47">
        <v>0</v>
      </c>
      <c r="BE39" s="181">
        <f t="shared" si="16"/>
        <v>0</v>
      </c>
      <c r="BF39" s="47">
        <v>0</v>
      </c>
      <c r="BG39" s="181">
        <f t="shared" si="17"/>
        <v>0</v>
      </c>
      <c r="BH39" s="47">
        <v>1</v>
      </c>
      <c r="BI39" s="181">
        <f t="shared" si="32"/>
        <v>100000</v>
      </c>
      <c r="BJ39" s="47">
        <f t="shared" si="33"/>
        <v>1</v>
      </c>
      <c r="BK39" s="117">
        <f t="shared" si="33"/>
        <v>100000</v>
      </c>
      <c r="BL39" s="345" t="s">
        <v>469</v>
      </c>
      <c r="BN39" s="113"/>
      <c r="BO39" s="113"/>
      <c r="BP39" s="113">
        <f t="shared" si="44"/>
        <v>100000</v>
      </c>
      <c r="BQ39" s="113"/>
      <c r="BR39" s="113">
        <f t="shared" si="41"/>
        <v>100000</v>
      </c>
      <c r="BS39" s="113"/>
      <c r="BT39" s="113"/>
      <c r="BU39" s="125">
        <f t="shared" si="42"/>
        <v>0</v>
      </c>
      <c r="BV39" s="181">
        <f t="shared" si="0"/>
        <v>100000</v>
      </c>
    </row>
    <row r="40" spans="1:74" x14ac:dyDescent="0.25">
      <c r="A40" s="989"/>
      <c r="B40" s="38">
        <v>41221</v>
      </c>
      <c r="C40" s="171" t="s">
        <v>267</v>
      </c>
      <c r="D40" s="38" t="s">
        <v>209</v>
      </c>
      <c r="E40" s="375">
        <f>1.5*100000</f>
        <v>150000</v>
      </c>
      <c r="F40" s="38">
        <f t="shared" si="21"/>
        <v>0</v>
      </c>
      <c r="G40" s="438">
        <f t="shared" si="22"/>
        <v>0</v>
      </c>
      <c r="H40" s="438">
        <f t="shared" si="35"/>
        <v>0</v>
      </c>
      <c r="I40" s="438">
        <f t="shared" si="36"/>
        <v>0</v>
      </c>
      <c r="J40" s="438">
        <f t="shared" si="23"/>
        <v>0</v>
      </c>
      <c r="K40" s="438">
        <f t="shared" si="24"/>
        <v>0</v>
      </c>
      <c r="L40" s="438">
        <f t="shared" si="25"/>
        <v>0</v>
      </c>
      <c r="M40" s="438">
        <f t="shared" si="26"/>
        <v>0</v>
      </c>
      <c r="N40" s="438">
        <f t="shared" si="27"/>
        <v>0</v>
      </c>
      <c r="O40" s="85">
        <f t="shared" si="28"/>
        <v>0</v>
      </c>
      <c r="P40" s="85">
        <f t="shared" si="29"/>
        <v>0</v>
      </c>
      <c r="Q40" s="85">
        <f t="shared" si="30"/>
        <v>0</v>
      </c>
      <c r="R40" s="47"/>
      <c r="S40" s="47">
        <f t="shared" si="43"/>
        <v>0</v>
      </c>
      <c r="T40" s="47"/>
      <c r="U40" s="47"/>
      <c r="V40" s="181">
        <f t="shared" si="37"/>
        <v>0</v>
      </c>
      <c r="W40" s="181">
        <f t="shared" si="38"/>
        <v>0</v>
      </c>
      <c r="X40" s="181">
        <f t="shared" si="39"/>
        <v>0</v>
      </c>
      <c r="Y40" s="181">
        <f t="shared" si="40"/>
        <v>0</v>
      </c>
      <c r="Z40" s="47">
        <v>0</v>
      </c>
      <c r="AA40" s="181">
        <f t="shared" si="31"/>
        <v>0</v>
      </c>
      <c r="AB40" s="47">
        <v>0</v>
      </c>
      <c r="AC40" s="181">
        <f t="shared" si="2"/>
        <v>0</v>
      </c>
      <c r="AD40" s="47">
        <v>0</v>
      </c>
      <c r="AE40" s="181">
        <f t="shared" si="3"/>
        <v>0</v>
      </c>
      <c r="AF40" s="47">
        <v>0</v>
      </c>
      <c r="AG40" s="181">
        <f t="shared" si="4"/>
        <v>0</v>
      </c>
      <c r="AH40" s="47">
        <v>0</v>
      </c>
      <c r="AI40" s="181">
        <f t="shared" si="5"/>
        <v>0</v>
      </c>
      <c r="AJ40" s="47">
        <v>0</v>
      </c>
      <c r="AK40" s="181">
        <f t="shared" si="6"/>
        <v>0</v>
      </c>
      <c r="AL40" s="47">
        <v>0</v>
      </c>
      <c r="AM40" s="181">
        <f t="shared" si="7"/>
        <v>0</v>
      </c>
      <c r="AN40" s="47">
        <v>0</v>
      </c>
      <c r="AO40" s="181">
        <f t="shared" si="8"/>
        <v>0</v>
      </c>
      <c r="AP40" s="47">
        <v>0</v>
      </c>
      <c r="AQ40" s="181">
        <f t="shared" si="9"/>
        <v>0</v>
      </c>
      <c r="AR40" s="47">
        <v>0</v>
      </c>
      <c r="AS40" s="181">
        <f t="shared" si="10"/>
        <v>0</v>
      </c>
      <c r="AT40" s="47">
        <v>0</v>
      </c>
      <c r="AU40" s="181">
        <f t="shared" si="11"/>
        <v>0</v>
      </c>
      <c r="AV40" s="47">
        <v>0</v>
      </c>
      <c r="AW40" s="181">
        <f t="shared" si="12"/>
        <v>0</v>
      </c>
      <c r="AX40" s="47">
        <v>0</v>
      </c>
      <c r="AY40" s="181">
        <f t="shared" si="13"/>
        <v>0</v>
      </c>
      <c r="AZ40" s="47">
        <v>0</v>
      </c>
      <c r="BA40" s="181">
        <f t="shared" si="14"/>
        <v>0</v>
      </c>
      <c r="BB40" s="47">
        <v>0</v>
      </c>
      <c r="BC40" s="181">
        <f t="shared" si="15"/>
        <v>0</v>
      </c>
      <c r="BD40" s="47">
        <v>0</v>
      </c>
      <c r="BE40" s="181">
        <f t="shared" si="16"/>
        <v>0</v>
      </c>
      <c r="BF40" s="47">
        <v>0</v>
      </c>
      <c r="BG40" s="181">
        <f t="shared" si="17"/>
        <v>0</v>
      </c>
      <c r="BH40" s="47">
        <v>0</v>
      </c>
      <c r="BI40" s="181">
        <f t="shared" si="32"/>
        <v>0</v>
      </c>
      <c r="BJ40" s="47">
        <f t="shared" si="33"/>
        <v>0</v>
      </c>
      <c r="BK40" s="117">
        <f t="shared" si="33"/>
        <v>0</v>
      </c>
      <c r="BL40" s="345" t="s">
        <v>469</v>
      </c>
      <c r="BN40" s="113"/>
      <c r="BO40" s="113"/>
      <c r="BP40" s="113">
        <f t="shared" si="44"/>
        <v>0</v>
      </c>
      <c r="BQ40" s="113"/>
      <c r="BR40" s="113">
        <f t="shared" si="41"/>
        <v>0</v>
      </c>
      <c r="BS40" s="113"/>
      <c r="BT40" s="113"/>
      <c r="BU40" s="125">
        <f t="shared" si="42"/>
        <v>0</v>
      </c>
      <c r="BV40" s="181">
        <f t="shared" si="0"/>
        <v>0</v>
      </c>
    </row>
    <row r="41" spans="1:74" ht="31.5" x14ac:dyDescent="0.25">
      <c r="A41" s="989"/>
      <c r="B41" s="38">
        <v>41222</v>
      </c>
      <c r="C41" s="38" t="s">
        <v>749</v>
      </c>
      <c r="D41" s="38" t="s">
        <v>209</v>
      </c>
      <c r="E41" s="375">
        <v>400000</v>
      </c>
      <c r="F41" s="38">
        <f t="shared" si="21"/>
        <v>1</v>
      </c>
      <c r="G41" s="438">
        <f t="shared" si="22"/>
        <v>400000</v>
      </c>
      <c r="H41" s="438">
        <f t="shared" si="35"/>
        <v>80000</v>
      </c>
      <c r="I41" s="438">
        <f t="shared" si="36"/>
        <v>320000</v>
      </c>
      <c r="J41" s="438">
        <f t="shared" si="23"/>
        <v>0</v>
      </c>
      <c r="K41" s="438">
        <f t="shared" si="24"/>
        <v>0</v>
      </c>
      <c r="L41" s="438">
        <f t="shared" si="25"/>
        <v>0</v>
      </c>
      <c r="M41" s="438">
        <f t="shared" si="26"/>
        <v>0</v>
      </c>
      <c r="N41" s="438">
        <f t="shared" si="27"/>
        <v>0</v>
      </c>
      <c r="O41" s="85">
        <f t="shared" si="28"/>
        <v>0</v>
      </c>
      <c r="P41" s="85">
        <f t="shared" si="29"/>
        <v>0</v>
      </c>
      <c r="Q41" s="85">
        <f t="shared" si="30"/>
        <v>0</v>
      </c>
      <c r="R41" s="47"/>
      <c r="S41" s="47">
        <f t="shared" si="43"/>
        <v>1</v>
      </c>
      <c r="T41" s="47"/>
      <c r="U41" s="47"/>
      <c r="V41" s="181">
        <f t="shared" si="37"/>
        <v>0</v>
      </c>
      <c r="W41" s="181">
        <f t="shared" si="38"/>
        <v>400000</v>
      </c>
      <c r="X41" s="181">
        <f t="shared" si="39"/>
        <v>0</v>
      </c>
      <c r="Y41" s="181">
        <f t="shared" si="40"/>
        <v>0</v>
      </c>
      <c r="Z41" s="47">
        <v>0</v>
      </c>
      <c r="AA41" s="181">
        <f t="shared" si="31"/>
        <v>0</v>
      </c>
      <c r="AB41" s="47">
        <v>0</v>
      </c>
      <c r="AC41" s="181">
        <f t="shared" si="2"/>
        <v>0</v>
      </c>
      <c r="AD41" s="47">
        <v>0</v>
      </c>
      <c r="AE41" s="181">
        <f t="shared" si="3"/>
        <v>0</v>
      </c>
      <c r="AF41" s="47">
        <v>0</v>
      </c>
      <c r="AG41" s="181">
        <f t="shared" si="4"/>
        <v>0</v>
      </c>
      <c r="AH41" s="47">
        <v>0</v>
      </c>
      <c r="AI41" s="181">
        <f t="shared" si="5"/>
        <v>0</v>
      </c>
      <c r="AJ41" s="47">
        <v>0</v>
      </c>
      <c r="AK41" s="181">
        <f t="shared" si="6"/>
        <v>0</v>
      </c>
      <c r="AL41" s="47">
        <v>0</v>
      </c>
      <c r="AM41" s="181">
        <f t="shared" si="7"/>
        <v>0</v>
      </c>
      <c r="AN41" s="47">
        <v>0</v>
      </c>
      <c r="AO41" s="181">
        <f t="shared" si="8"/>
        <v>0</v>
      </c>
      <c r="AP41" s="47">
        <v>0</v>
      </c>
      <c r="AQ41" s="181">
        <f t="shared" si="9"/>
        <v>0</v>
      </c>
      <c r="AR41" s="47">
        <v>0</v>
      </c>
      <c r="AS41" s="181">
        <f t="shared" si="10"/>
        <v>0</v>
      </c>
      <c r="AT41" s="47">
        <v>0</v>
      </c>
      <c r="AU41" s="181">
        <f t="shared" si="11"/>
        <v>0</v>
      </c>
      <c r="AV41" s="47">
        <v>0</v>
      </c>
      <c r="AW41" s="181">
        <f t="shared" si="12"/>
        <v>0</v>
      </c>
      <c r="AX41" s="47">
        <v>0</v>
      </c>
      <c r="AY41" s="181">
        <f t="shared" si="13"/>
        <v>0</v>
      </c>
      <c r="AZ41" s="47">
        <v>0</v>
      </c>
      <c r="BA41" s="181">
        <f t="shared" si="14"/>
        <v>0</v>
      </c>
      <c r="BB41" s="47">
        <v>0</v>
      </c>
      <c r="BC41" s="181">
        <f t="shared" si="15"/>
        <v>0</v>
      </c>
      <c r="BD41" s="47">
        <v>0</v>
      </c>
      <c r="BE41" s="181">
        <f t="shared" si="16"/>
        <v>0</v>
      </c>
      <c r="BF41" s="47">
        <v>0</v>
      </c>
      <c r="BG41" s="181">
        <f t="shared" si="17"/>
        <v>0</v>
      </c>
      <c r="BH41" s="47">
        <v>1</v>
      </c>
      <c r="BI41" s="181">
        <f t="shared" si="32"/>
        <v>400000</v>
      </c>
      <c r="BJ41" s="47">
        <f t="shared" si="33"/>
        <v>1</v>
      </c>
      <c r="BK41" s="117">
        <f t="shared" si="33"/>
        <v>400000</v>
      </c>
      <c r="BL41" s="345" t="s">
        <v>469</v>
      </c>
      <c r="BN41" s="113"/>
      <c r="BO41" s="113"/>
      <c r="BP41" s="113">
        <f t="shared" si="44"/>
        <v>400000</v>
      </c>
      <c r="BQ41" s="113"/>
      <c r="BR41" s="113">
        <f t="shared" si="41"/>
        <v>400000</v>
      </c>
      <c r="BS41" s="113"/>
      <c r="BT41" s="113"/>
      <c r="BU41" s="125">
        <f t="shared" si="42"/>
        <v>0</v>
      </c>
      <c r="BV41" s="181">
        <f t="shared" si="0"/>
        <v>400000</v>
      </c>
    </row>
    <row r="42" spans="1:74" x14ac:dyDescent="0.25">
      <c r="A42" s="989"/>
      <c r="B42" s="38">
        <v>41223</v>
      </c>
      <c r="C42" s="38" t="s">
        <v>269</v>
      </c>
      <c r="D42" s="38" t="s">
        <v>241</v>
      </c>
      <c r="E42" s="375">
        <v>100000</v>
      </c>
      <c r="F42" s="38">
        <f t="shared" si="21"/>
        <v>1</v>
      </c>
      <c r="G42" s="438">
        <f t="shared" si="22"/>
        <v>100000</v>
      </c>
      <c r="H42" s="438">
        <f t="shared" si="35"/>
        <v>20000</v>
      </c>
      <c r="I42" s="438">
        <f t="shared" si="36"/>
        <v>80000</v>
      </c>
      <c r="J42" s="438">
        <f t="shared" si="23"/>
        <v>0</v>
      </c>
      <c r="K42" s="438">
        <f t="shared" si="24"/>
        <v>0</v>
      </c>
      <c r="L42" s="438">
        <f t="shared" si="25"/>
        <v>0</v>
      </c>
      <c r="M42" s="438">
        <f t="shared" si="26"/>
        <v>0</v>
      </c>
      <c r="N42" s="438">
        <f t="shared" si="27"/>
        <v>0</v>
      </c>
      <c r="O42" s="85">
        <f t="shared" si="28"/>
        <v>0</v>
      </c>
      <c r="P42" s="85">
        <f t="shared" si="29"/>
        <v>0</v>
      </c>
      <c r="Q42" s="85">
        <f t="shared" si="30"/>
        <v>0</v>
      </c>
      <c r="R42" s="47"/>
      <c r="S42" s="47">
        <f t="shared" si="43"/>
        <v>1</v>
      </c>
      <c r="T42" s="47"/>
      <c r="U42" s="47"/>
      <c r="V42" s="181">
        <f t="shared" si="37"/>
        <v>0</v>
      </c>
      <c r="W42" s="181">
        <f t="shared" si="38"/>
        <v>100000</v>
      </c>
      <c r="X42" s="181">
        <f t="shared" si="39"/>
        <v>0</v>
      </c>
      <c r="Y42" s="181">
        <f t="shared" si="40"/>
        <v>0</v>
      </c>
      <c r="Z42" s="47">
        <v>0</v>
      </c>
      <c r="AA42" s="181">
        <f t="shared" si="31"/>
        <v>0</v>
      </c>
      <c r="AB42" s="47">
        <v>0</v>
      </c>
      <c r="AC42" s="181">
        <f t="shared" si="2"/>
        <v>0</v>
      </c>
      <c r="AD42" s="47">
        <v>0</v>
      </c>
      <c r="AE42" s="181">
        <f t="shared" si="3"/>
        <v>0</v>
      </c>
      <c r="AF42" s="47">
        <v>0</v>
      </c>
      <c r="AG42" s="181">
        <f t="shared" si="4"/>
        <v>0</v>
      </c>
      <c r="AH42" s="47">
        <v>0</v>
      </c>
      <c r="AI42" s="181">
        <f t="shared" si="5"/>
        <v>0</v>
      </c>
      <c r="AJ42" s="47">
        <v>0</v>
      </c>
      <c r="AK42" s="181">
        <f t="shared" si="6"/>
        <v>0</v>
      </c>
      <c r="AL42" s="47">
        <v>0</v>
      </c>
      <c r="AM42" s="181">
        <f t="shared" si="7"/>
        <v>0</v>
      </c>
      <c r="AN42" s="47">
        <v>0</v>
      </c>
      <c r="AO42" s="181">
        <f t="shared" si="8"/>
        <v>0</v>
      </c>
      <c r="AP42" s="47">
        <v>0</v>
      </c>
      <c r="AQ42" s="181">
        <f t="shared" si="9"/>
        <v>0</v>
      </c>
      <c r="AR42" s="47">
        <v>0</v>
      </c>
      <c r="AS42" s="181">
        <f t="shared" si="10"/>
        <v>0</v>
      </c>
      <c r="AT42" s="47">
        <v>0</v>
      </c>
      <c r="AU42" s="181">
        <f t="shared" si="11"/>
        <v>0</v>
      </c>
      <c r="AV42" s="47">
        <v>0</v>
      </c>
      <c r="AW42" s="181">
        <f t="shared" si="12"/>
        <v>0</v>
      </c>
      <c r="AX42" s="47">
        <v>0</v>
      </c>
      <c r="AY42" s="181">
        <f t="shared" si="13"/>
        <v>0</v>
      </c>
      <c r="AZ42" s="47">
        <v>0</v>
      </c>
      <c r="BA42" s="181">
        <f t="shared" si="14"/>
        <v>0</v>
      </c>
      <c r="BB42" s="47">
        <v>0</v>
      </c>
      <c r="BC42" s="181">
        <f t="shared" si="15"/>
        <v>0</v>
      </c>
      <c r="BD42" s="47">
        <v>0</v>
      </c>
      <c r="BE42" s="181">
        <f t="shared" si="16"/>
        <v>0</v>
      </c>
      <c r="BF42" s="47">
        <v>0</v>
      </c>
      <c r="BG42" s="181">
        <f t="shared" si="17"/>
        <v>0</v>
      </c>
      <c r="BH42" s="47">
        <v>1</v>
      </c>
      <c r="BI42" s="181">
        <f t="shared" si="32"/>
        <v>100000</v>
      </c>
      <c r="BJ42" s="47">
        <f t="shared" si="33"/>
        <v>1</v>
      </c>
      <c r="BK42" s="117">
        <f t="shared" si="33"/>
        <v>100000</v>
      </c>
      <c r="BL42" s="345" t="s">
        <v>469</v>
      </c>
      <c r="BN42" s="113"/>
      <c r="BO42" s="113"/>
      <c r="BP42" s="113">
        <f t="shared" si="44"/>
        <v>100000</v>
      </c>
      <c r="BQ42" s="113"/>
      <c r="BR42" s="113">
        <f t="shared" si="41"/>
        <v>100000</v>
      </c>
      <c r="BS42" s="113"/>
      <c r="BT42" s="113"/>
      <c r="BU42" s="125">
        <f t="shared" si="42"/>
        <v>0</v>
      </c>
      <c r="BV42" s="181">
        <f t="shared" si="0"/>
        <v>100000</v>
      </c>
    </row>
    <row r="43" spans="1:74" x14ac:dyDescent="0.25">
      <c r="A43" s="989"/>
      <c r="B43" s="38">
        <v>41224</v>
      </c>
      <c r="C43" s="38" t="s">
        <v>270</v>
      </c>
      <c r="D43" s="38" t="s">
        <v>17</v>
      </c>
      <c r="E43" s="375">
        <v>1000000</v>
      </c>
      <c r="F43" s="38">
        <f t="shared" si="21"/>
        <v>1</v>
      </c>
      <c r="G43" s="438">
        <f t="shared" si="22"/>
        <v>1000000</v>
      </c>
      <c r="H43" s="438">
        <f t="shared" si="35"/>
        <v>200000</v>
      </c>
      <c r="I43" s="438">
        <f t="shared" si="36"/>
        <v>800000</v>
      </c>
      <c r="J43" s="438">
        <f t="shared" si="23"/>
        <v>0</v>
      </c>
      <c r="K43" s="438">
        <f t="shared" si="24"/>
        <v>0</v>
      </c>
      <c r="L43" s="438">
        <f t="shared" si="25"/>
        <v>0</v>
      </c>
      <c r="M43" s="438">
        <f t="shared" si="26"/>
        <v>0</v>
      </c>
      <c r="N43" s="438">
        <f t="shared" si="27"/>
        <v>0</v>
      </c>
      <c r="O43" s="85">
        <f t="shared" si="28"/>
        <v>0</v>
      </c>
      <c r="P43" s="85">
        <f t="shared" si="29"/>
        <v>0</v>
      </c>
      <c r="Q43" s="85">
        <f t="shared" si="30"/>
        <v>0</v>
      </c>
      <c r="R43" s="47">
        <v>1</v>
      </c>
      <c r="S43" s="47"/>
      <c r="T43" s="47"/>
      <c r="U43" s="47"/>
      <c r="V43" s="181">
        <f t="shared" si="37"/>
        <v>1000000</v>
      </c>
      <c r="W43" s="181">
        <f t="shared" si="38"/>
        <v>0</v>
      </c>
      <c r="X43" s="181">
        <f t="shared" si="39"/>
        <v>0</v>
      </c>
      <c r="Y43" s="181">
        <f t="shared" si="40"/>
        <v>0</v>
      </c>
      <c r="Z43" s="47">
        <v>0</v>
      </c>
      <c r="AA43" s="181">
        <f t="shared" si="31"/>
        <v>0</v>
      </c>
      <c r="AB43" s="47">
        <v>0</v>
      </c>
      <c r="AC43" s="181">
        <f t="shared" si="2"/>
        <v>0</v>
      </c>
      <c r="AD43" s="47">
        <v>0</v>
      </c>
      <c r="AE43" s="181">
        <f t="shared" si="3"/>
        <v>0</v>
      </c>
      <c r="AF43" s="47">
        <v>0</v>
      </c>
      <c r="AG43" s="181">
        <f t="shared" si="4"/>
        <v>0</v>
      </c>
      <c r="AH43" s="47">
        <v>0</v>
      </c>
      <c r="AI43" s="181">
        <f t="shared" si="5"/>
        <v>0</v>
      </c>
      <c r="AJ43" s="47">
        <v>0</v>
      </c>
      <c r="AK43" s="181">
        <f t="shared" si="6"/>
        <v>0</v>
      </c>
      <c r="AL43" s="47">
        <v>0</v>
      </c>
      <c r="AM43" s="181">
        <f t="shared" si="7"/>
        <v>0</v>
      </c>
      <c r="AN43" s="47">
        <v>0</v>
      </c>
      <c r="AO43" s="181">
        <f t="shared" si="8"/>
        <v>0</v>
      </c>
      <c r="AP43" s="47">
        <v>0</v>
      </c>
      <c r="AQ43" s="181">
        <f t="shared" si="9"/>
        <v>0</v>
      </c>
      <c r="AR43" s="47">
        <v>0</v>
      </c>
      <c r="AS43" s="181">
        <f t="shared" si="10"/>
        <v>0</v>
      </c>
      <c r="AT43" s="47">
        <v>0</v>
      </c>
      <c r="AU43" s="181">
        <f t="shared" si="11"/>
        <v>0</v>
      </c>
      <c r="AV43" s="47">
        <v>0</v>
      </c>
      <c r="AW43" s="181">
        <f t="shared" si="12"/>
        <v>0</v>
      </c>
      <c r="AX43" s="47">
        <v>0</v>
      </c>
      <c r="AY43" s="181">
        <f t="shared" si="13"/>
        <v>0</v>
      </c>
      <c r="AZ43" s="47">
        <v>0</v>
      </c>
      <c r="BA43" s="181">
        <f t="shared" si="14"/>
        <v>0</v>
      </c>
      <c r="BB43" s="47">
        <v>0</v>
      </c>
      <c r="BC43" s="181">
        <f t="shared" si="15"/>
        <v>0</v>
      </c>
      <c r="BD43" s="47">
        <v>0</v>
      </c>
      <c r="BE43" s="181">
        <f t="shared" si="16"/>
        <v>0</v>
      </c>
      <c r="BF43" s="47">
        <v>0</v>
      </c>
      <c r="BG43" s="181">
        <f t="shared" si="17"/>
        <v>0</v>
      </c>
      <c r="BH43" s="47">
        <v>1</v>
      </c>
      <c r="BI43" s="181">
        <f t="shared" si="32"/>
        <v>1000000</v>
      </c>
      <c r="BJ43" s="47">
        <f t="shared" si="33"/>
        <v>1</v>
      </c>
      <c r="BK43" s="117">
        <f t="shared" si="33"/>
        <v>1000000</v>
      </c>
      <c r="BL43" s="345" t="s">
        <v>469</v>
      </c>
      <c r="BN43" s="113"/>
      <c r="BO43" s="113"/>
      <c r="BP43" s="113">
        <f t="shared" si="44"/>
        <v>1000000</v>
      </c>
      <c r="BQ43" s="113"/>
      <c r="BR43" s="113">
        <f t="shared" si="41"/>
        <v>1000000</v>
      </c>
      <c r="BS43" s="113"/>
      <c r="BT43" s="113"/>
      <c r="BU43" s="125">
        <f t="shared" si="42"/>
        <v>0</v>
      </c>
      <c r="BV43" s="181">
        <f t="shared" si="0"/>
        <v>1000000</v>
      </c>
    </row>
    <row r="44" spans="1:74" x14ac:dyDescent="0.25">
      <c r="A44" s="989"/>
      <c r="B44" s="439"/>
      <c r="C44" s="439" t="s">
        <v>271</v>
      </c>
      <c r="D44" s="439"/>
      <c r="E44" s="439"/>
      <c r="F44" s="439">
        <f>SUM(F19:F43)</f>
        <v>25</v>
      </c>
      <c r="G44" s="440">
        <f>SUM(G19:G43)</f>
        <v>3786000</v>
      </c>
      <c r="H44" s="440">
        <f t="shared" ref="H44:Q44" si="45">SUM(H19:H43)</f>
        <v>757200</v>
      </c>
      <c r="I44" s="440">
        <f t="shared" si="45"/>
        <v>3028800</v>
      </c>
      <c r="J44" s="440">
        <f t="shared" si="45"/>
        <v>0</v>
      </c>
      <c r="K44" s="440">
        <f t="shared" si="45"/>
        <v>0</v>
      </c>
      <c r="L44" s="440">
        <f t="shared" si="45"/>
        <v>0</v>
      </c>
      <c r="M44" s="440">
        <f t="shared" si="45"/>
        <v>0</v>
      </c>
      <c r="N44" s="440">
        <f t="shared" si="45"/>
        <v>0</v>
      </c>
      <c r="O44" s="440">
        <f t="shared" si="45"/>
        <v>0</v>
      </c>
      <c r="P44" s="440">
        <f t="shared" si="45"/>
        <v>0</v>
      </c>
      <c r="Q44" s="440">
        <f t="shared" si="45"/>
        <v>0</v>
      </c>
      <c r="R44" s="439">
        <f t="shared" ref="R44:BK44" si="46">SUM(R19:R43)</f>
        <v>3</v>
      </c>
      <c r="S44" s="439">
        <f t="shared" si="46"/>
        <v>22</v>
      </c>
      <c r="T44" s="439">
        <f t="shared" si="46"/>
        <v>0</v>
      </c>
      <c r="U44" s="439">
        <f t="shared" si="46"/>
        <v>0</v>
      </c>
      <c r="V44" s="440">
        <f t="shared" si="46"/>
        <v>1510000</v>
      </c>
      <c r="W44" s="440">
        <f t="shared" si="46"/>
        <v>2276000</v>
      </c>
      <c r="X44" s="440">
        <f t="shared" si="46"/>
        <v>0</v>
      </c>
      <c r="Y44" s="440">
        <f t="shared" si="46"/>
        <v>0</v>
      </c>
      <c r="Z44" s="439">
        <f t="shared" si="46"/>
        <v>0</v>
      </c>
      <c r="AA44" s="440">
        <f t="shared" si="46"/>
        <v>0</v>
      </c>
      <c r="AB44" s="439">
        <f t="shared" si="46"/>
        <v>0</v>
      </c>
      <c r="AC44" s="440">
        <f t="shared" si="46"/>
        <v>0</v>
      </c>
      <c r="AD44" s="439">
        <f t="shared" si="46"/>
        <v>0</v>
      </c>
      <c r="AE44" s="440">
        <f t="shared" si="46"/>
        <v>0</v>
      </c>
      <c r="AF44" s="439">
        <f t="shared" si="46"/>
        <v>0</v>
      </c>
      <c r="AG44" s="440">
        <f t="shared" si="46"/>
        <v>0</v>
      </c>
      <c r="AH44" s="439">
        <f t="shared" si="46"/>
        <v>0</v>
      </c>
      <c r="AI44" s="440">
        <f t="shared" si="46"/>
        <v>0</v>
      </c>
      <c r="AJ44" s="439">
        <f t="shared" si="46"/>
        <v>0</v>
      </c>
      <c r="AK44" s="440">
        <f t="shared" si="46"/>
        <v>0</v>
      </c>
      <c r="AL44" s="439">
        <f t="shared" si="46"/>
        <v>0</v>
      </c>
      <c r="AM44" s="440">
        <f t="shared" si="46"/>
        <v>0</v>
      </c>
      <c r="AN44" s="439">
        <f t="shared" si="46"/>
        <v>0</v>
      </c>
      <c r="AO44" s="440">
        <f t="shared" si="46"/>
        <v>0</v>
      </c>
      <c r="AP44" s="439">
        <f t="shared" si="46"/>
        <v>0</v>
      </c>
      <c r="AQ44" s="440">
        <f t="shared" si="46"/>
        <v>0</v>
      </c>
      <c r="AR44" s="439">
        <f t="shared" si="46"/>
        <v>0</v>
      </c>
      <c r="AS44" s="440">
        <f t="shared" si="46"/>
        <v>0</v>
      </c>
      <c r="AT44" s="439">
        <f t="shared" si="46"/>
        <v>0</v>
      </c>
      <c r="AU44" s="440">
        <f t="shared" si="46"/>
        <v>0</v>
      </c>
      <c r="AV44" s="439">
        <f t="shared" si="46"/>
        <v>0</v>
      </c>
      <c r="AW44" s="440">
        <f t="shared" si="46"/>
        <v>0</v>
      </c>
      <c r="AX44" s="439">
        <f t="shared" si="46"/>
        <v>0</v>
      </c>
      <c r="AY44" s="440">
        <f t="shared" si="46"/>
        <v>0</v>
      </c>
      <c r="AZ44" s="439">
        <f t="shared" si="46"/>
        <v>0</v>
      </c>
      <c r="BA44" s="440">
        <f t="shared" si="46"/>
        <v>0</v>
      </c>
      <c r="BB44" s="439">
        <f t="shared" si="46"/>
        <v>0</v>
      </c>
      <c r="BC44" s="440">
        <f t="shared" si="46"/>
        <v>0</v>
      </c>
      <c r="BD44" s="439">
        <f t="shared" si="46"/>
        <v>0</v>
      </c>
      <c r="BE44" s="440">
        <f t="shared" si="46"/>
        <v>0</v>
      </c>
      <c r="BF44" s="439">
        <f t="shared" si="46"/>
        <v>0</v>
      </c>
      <c r="BG44" s="440">
        <f t="shared" si="46"/>
        <v>0</v>
      </c>
      <c r="BH44" s="439">
        <f t="shared" si="46"/>
        <v>25</v>
      </c>
      <c r="BI44" s="440">
        <f t="shared" si="46"/>
        <v>3786000</v>
      </c>
      <c r="BJ44" s="439">
        <f t="shared" si="46"/>
        <v>25</v>
      </c>
      <c r="BK44" s="441">
        <f t="shared" si="46"/>
        <v>3786000</v>
      </c>
      <c r="BL44" s="47"/>
      <c r="BN44" s="441">
        <f t="shared" ref="BN44:BU44" si="47">SUM(BN19:BN43)</f>
        <v>0</v>
      </c>
      <c r="BO44" s="441">
        <f t="shared" si="47"/>
        <v>0</v>
      </c>
      <c r="BP44" s="441">
        <f t="shared" si="47"/>
        <v>3786000</v>
      </c>
      <c r="BQ44" s="441">
        <f t="shared" si="47"/>
        <v>0</v>
      </c>
      <c r="BR44" s="441">
        <f t="shared" si="47"/>
        <v>3786000</v>
      </c>
      <c r="BS44" s="441">
        <f t="shared" si="47"/>
        <v>0</v>
      </c>
      <c r="BT44" s="441">
        <f t="shared" si="47"/>
        <v>0</v>
      </c>
      <c r="BU44" s="441">
        <f t="shared" si="47"/>
        <v>0</v>
      </c>
      <c r="BV44" s="390">
        <f t="shared" si="0"/>
        <v>3786000</v>
      </c>
    </row>
    <row r="45" spans="1:74" x14ac:dyDescent="0.25">
      <c r="A45" s="989"/>
      <c r="B45" s="38">
        <v>41300</v>
      </c>
      <c r="C45" s="216" t="s">
        <v>272</v>
      </c>
      <c r="D45" s="38"/>
      <c r="E45" s="375"/>
      <c r="F45" s="38"/>
      <c r="G45" s="124"/>
      <c r="H45" s="124"/>
      <c r="I45" s="124"/>
      <c r="J45" s="124"/>
      <c r="K45" s="124"/>
      <c r="L45" s="124"/>
      <c r="M45" s="124"/>
      <c r="N45" s="12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181">
        <f t="shared" si="2"/>
        <v>0</v>
      </c>
      <c r="AD45" s="47"/>
      <c r="AE45" s="181">
        <f t="shared" si="3"/>
        <v>0</v>
      </c>
      <c r="AF45" s="47"/>
      <c r="AG45" s="181">
        <f t="shared" si="4"/>
        <v>0</v>
      </c>
      <c r="AH45" s="47"/>
      <c r="AI45" s="181">
        <f t="shared" si="5"/>
        <v>0</v>
      </c>
      <c r="AJ45" s="47"/>
      <c r="AK45" s="181">
        <f t="shared" si="6"/>
        <v>0</v>
      </c>
      <c r="AL45" s="47"/>
      <c r="AM45" s="181">
        <f t="shared" si="7"/>
        <v>0</v>
      </c>
      <c r="AN45" s="47"/>
      <c r="AO45" s="181">
        <f t="shared" si="8"/>
        <v>0</v>
      </c>
      <c r="AP45" s="47"/>
      <c r="AQ45" s="181">
        <f t="shared" si="9"/>
        <v>0</v>
      </c>
      <c r="AR45" s="47"/>
      <c r="AS45" s="181">
        <f t="shared" si="10"/>
        <v>0</v>
      </c>
      <c r="AT45" s="47"/>
      <c r="AU45" s="181">
        <f t="shared" si="11"/>
        <v>0</v>
      </c>
      <c r="AV45" s="47"/>
      <c r="AW45" s="181">
        <f t="shared" si="12"/>
        <v>0</v>
      </c>
      <c r="AX45" s="47"/>
      <c r="AY45" s="181">
        <f t="shared" si="13"/>
        <v>0</v>
      </c>
      <c r="AZ45" s="47"/>
      <c r="BA45" s="181">
        <f t="shared" si="14"/>
        <v>0</v>
      </c>
      <c r="BB45" s="47"/>
      <c r="BC45" s="181">
        <f t="shared" si="15"/>
        <v>0</v>
      </c>
      <c r="BD45" s="47"/>
      <c r="BE45" s="181">
        <f t="shared" si="16"/>
        <v>0</v>
      </c>
      <c r="BF45" s="47"/>
      <c r="BG45" s="181">
        <f t="shared" si="17"/>
        <v>0</v>
      </c>
      <c r="BH45" s="47"/>
      <c r="BI45" s="181">
        <f t="shared" ref="BI45:BI52" si="48">BH45*E45</f>
        <v>0</v>
      </c>
      <c r="BJ45" s="47"/>
      <c r="BK45" s="124"/>
      <c r="BL45" s="47"/>
      <c r="BN45" s="113"/>
      <c r="BO45" s="113"/>
      <c r="BP45" s="113"/>
      <c r="BQ45" s="113"/>
      <c r="BR45" s="113"/>
      <c r="BS45" s="113"/>
      <c r="BT45" s="113"/>
      <c r="BU45" s="125"/>
      <c r="BV45" s="181">
        <f t="shared" si="0"/>
        <v>0</v>
      </c>
    </row>
    <row r="46" spans="1:74" x14ac:dyDescent="0.25">
      <c r="A46" s="989"/>
      <c r="B46" s="38">
        <v>41310</v>
      </c>
      <c r="C46" s="391" t="s">
        <v>273</v>
      </c>
      <c r="D46" s="38"/>
      <c r="E46" s="375"/>
      <c r="F46" s="38"/>
      <c r="G46" s="124"/>
      <c r="H46" s="124"/>
      <c r="I46" s="124"/>
      <c r="J46" s="124"/>
      <c r="K46" s="124"/>
      <c r="L46" s="124"/>
      <c r="M46" s="124"/>
      <c r="N46" s="124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181">
        <f t="shared" si="2"/>
        <v>0</v>
      </c>
      <c r="AD46" s="47"/>
      <c r="AE46" s="181">
        <f t="shared" si="3"/>
        <v>0</v>
      </c>
      <c r="AF46" s="47"/>
      <c r="AG46" s="181">
        <f t="shared" si="4"/>
        <v>0</v>
      </c>
      <c r="AH46" s="47"/>
      <c r="AI46" s="181">
        <f t="shared" si="5"/>
        <v>0</v>
      </c>
      <c r="AJ46" s="47"/>
      <c r="AK46" s="181">
        <f t="shared" si="6"/>
        <v>0</v>
      </c>
      <c r="AL46" s="47"/>
      <c r="AM46" s="181">
        <f t="shared" si="7"/>
        <v>0</v>
      </c>
      <c r="AN46" s="47"/>
      <c r="AO46" s="181">
        <f t="shared" si="8"/>
        <v>0</v>
      </c>
      <c r="AP46" s="47"/>
      <c r="AQ46" s="181">
        <f t="shared" si="9"/>
        <v>0</v>
      </c>
      <c r="AR46" s="47"/>
      <c r="AS46" s="181">
        <f t="shared" si="10"/>
        <v>0</v>
      </c>
      <c r="AT46" s="47"/>
      <c r="AU46" s="181">
        <f t="shared" si="11"/>
        <v>0</v>
      </c>
      <c r="AV46" s="47"/>
      <c r="AW46" s="181">
        <f t="shared" si="12"/>
        <v>0</v>
      </c>
      <c r="AX46" s="47"/>
      <c r="AY46" s="181">
        <f t="shared" si="13"/>
        <v>0</v>
      </c>
      <c r="AZ46" s="47"/>
      <c r="BA46" s="181">
        <f t="shared" si="14"/>
        <v>0</v>
      </c>
      <c r="BB46" s="47"/>
      <c r="BC46" s="181">
        <f t="shared" si="15"/>
        <v>0</v>
      </c>
      <c r="BD46" s="47"/>
      <c r="BE46" s="181">
        <f t="shared" si="16"/>
        <v>0</v>
      </c>
      <c r="BF46" s="47"/>
      <c r="BG46" s="181">
        <f t="shared" si="17"/>
        <v>0</v>
      </c>
      <c r="BH46" s="47"/>
      <c r="BI46" s="181">
        <f t="shared" si="48"/>
        <v>0</v>
      </c>
      <c r="BJ46" s="47"/>
      <c r="BK46" s="124"/>
      <c r="BL46" s="47"/>
      <c r="BN46" s="113"/>
      <c r="BO46" s="113"/>
      <c r="BP46" s="113"/>
      <c r="BQ46" s="113"/>
      <c r="BR46" s="113"/>
      <c r="BS46" s="113"/>
      <c r="BT46" s="113"/>
      <c r="BU46" s="125"/>
      <c r="BV46" s="181">
        <f t="shared" si="0"/>
        <v>0</v>
      </c>
    </row>
    <row r="47" spans="1:74" x14ac:dyDescent="0.25">
      <c r="A47" s="989"/>
      <c r="B47" s="38"/>
      <c r="C47" s="38" t="s">
        <v>274</v>
      </c>
      <c r="D47" s="38" t="s">
        <v>17</v>
      </c>
      <c r="E47" s="375">
        <f>21*100000</f>
        <v>2100000</v>
      </c>
      <c r="F47" s="38">
        <f t="shared" ref="F47:F52" si="49">BJ47</f>
        <v>0</v>
      </c>
      <c r="G47" s="438">
        <f t="shared" ref="G47:G52" si="50">E47*F47</f>
        <v>0</v>
      </c>
      <c r="H47" s="438">
        <f t="shared" ref="H47:H52" si="51">G47*0.2</f>
        <v>0</v>
      </c>
      <c r="I47" s="438">
        <f t="shared" ref="I47:I52" si="52">G47*0.8</f>
        <v>0</v>
      </c>
      <c r="J47" s="438">
        <f t="shared" ref="J47:J52" si="53">G47*0</f>
        <v>0</v>
      </c>
      <c r="K47" s="438">
        <f t="shared" ref="K47:K52" si="54">G47*0</f>
        <v>0</v>
      </c>
      <c r="L47" s="438">
        <f t="shared" ref="L47:L52" si="55">G47*0</f>
        <v>0</v>
      </c>
      <c r="M47" s="438">
        <f t="shared" ref="M47:M52" si="56">G47*0</f>
        <v>0</v>
      </c>
      <c r="N47" s="438">
        <f t="shared" ref="N47:N52" si="57">G47*0</f>
        <v>0</v>
      </c>
      <c r="O47" s="85">
        <f t="shared" ref="O47:O52" si="58">G47*0</f>
        <v>0</v>
      </c>
      <c r="P47" s="85">
        <f t="shared" ref="P47:P52" si="59">G47*0</f>
        <v>0</v>
      </c>
      <c r="Q47" s="85">
        <f t="shared" ref="Q47:Q52" si="60">G47*0</f>
        <v>0</v>
      </c>
      <c r="R47" s="47"/>
      <c r="S47" s="47"/>
      <c r="T47" s="47"/>
      <c r="U47" s="47"/>
      <c r="V47" s="181">
        <f t="shared" ref="V47:V52" si="61">R47*E47</f>
        <v>0</v>
      </c>
      <c r="W47" s="181">
        <f t="shared" ref="W47:W52" si="62">S47*E47</f>
        <v>0</v>
      </c>
      <c r="X47" s="181">
        <f t="shared" ref="X47:X52" si="63">T47*E47</f>
        <v>0</v>
      </c>
      <c r="Y47" s="181">
        <f t="shared" ref="Y47:Y52" si="64">U47*E47</f>
        <v>0</v>
      </c>
      <c r="Z47" s="47">
        <v>0</v>
      </c>
      <c r="AA47" s="181">
        <f t="shared" ref="AA47:AA52" si="65">Z47*E47</f>
        <v>0</v>
      </c>
      <c r="AB47" s="47">
        <v>0</v>
      </c>
      <c r="AC47" s="181">
        <f t="shared" si="2"/>
        <v>0</v>
      </c>
      <c r="AD47" s="47">
        <v>0</v>
      </c>
      <c r="AE47" s="181">
        <f t="shared" si="3"/>
        <v>0</v>
      </c>
      <c r="AF47" s="47">
        <v>0</v>
      </c>
      <c r="AG47" s="181">
        <f t="shared" si="4"/>
        <v>0</v>
      </c>
      <c r="AH47" s="47">
        <v>0</v>
      </c>
      <c r="AI47" s="181">
        <f t="shared" si="5"/>
        <v>0</v>
      </c>
      <c r="AJ47" s="47">
        <v>0</v>
      </c>
      <c r="AK47" s="181">
        <f t="shared" si="6"/>
        <v>0</v>
      </c>
      <c r="AL47" s="47">
        <v>0</v>
      </c>
      <c r="AM47" s="181">
        <f t="shared" si="7"/>
        <v>0</v>
      </c>
      <c r="AN47" s="47">
        <v>0</v>
      </c>
      <c r="AO47" s="181">
        <f t="shared" si="8"/>
        <v>0</v>
      </c>
      <c r="AP47" s="47">
        <v>0</v>
      </c>
      <c r="AQ47" s="181">
        <f t="shared" si="9"/>
        <v>0</v>
      </c>
      <c r="AR47" s="47">
        <v>0</v>
      </c>
      <c r="AS47" s="181">
        <f t="shared" si="10"/>
        <v>0</v>
      </c>
      <c r="AT47" s="47">
        <v>0</v>
      </c>
      <c r="AU47" s="181">
        <f t="shared" si="11"/>
        <v>0</v>
      </c>
      <c r="AV47" s="47">
        <v>0</v>
      </c>
      <c r="AW47" s="181">
        <f t="shared" si="12"/>
        <v>0</v>
      </c>
      <c r="AX47" s="47">
        <v>0</v>
      </c>
      <c r="AY47" s="181">
        <f t="shared" si="13"/>
        <v>0</v>
      </c>
      <c r="AZ47" s="47">
        <v>0</v>
      </c>
      <c r="BA47" s="181">
        <f t="shared" si="14"/>
        <v>0</v>
      </c>
      <c r="BB47" s="47">
        <v>0</v>
      </c>
      <c r="BC47" s="181">
        <f t="shared" si="15"/>
        <v>0</v>
      </c>
      <c r="BD47" s="47">
        <v>0</v>
      </c>
      <c r="BE47" s="181">
        <f t="shared" si="16"/>
        <v>0</v>
      </c>
      <c r="BF47" s="47">
        <v>0</v>
      </c>
      <c r="BG47" s="181">
        <f t="shared" si="17"/>
        <v>0</v>
      </c>
      <c r="BH47" s="47">
        <v>0</v>
      </c>
      <c r="BI47" s="181">
        <f t="shared" si="48"/>
        <v>0</v>
      </c>
      <c r="BJ47" s="47">
        <f t="shared" ref="BJ47:BK51" si="66">Z47+AB47+AD47+AF47+AH47+AJ47+AL47+AN47+AP47+AR47+AT47+AV47+AX47+AZ47+BB47+BD47+BF47+BH47</f>
        <v>0</v>
      </c>
      <c r="BK47" s="117">
        <f t="shared" si="66"/>
        <v>0</v>
      </c>
      <c r="BL47" s="345" t="s">
        <v>469</v>
      </c>
      <c r="BN47" s="113"/>
      <c r="BO47" s="113"/>
      <c r="BP47" s="113">
        <f t="shared" ref="BP47:BP52" si="67">G47</f>
        <v>0</v>
      </c>
      <c r="BQ47" s="113"/>
      <c r="BR47" s="113">
        <f t="shared" ref="BR47:BR52" si="68">BN47+BO47+BP47+BQ47</f>
        <v>0</v>
      </c>
      <c r="BS47" s="113"/>
      <c r="BT47" s="113"/>
      <c r="BU47" s="125">
        <f t="shared" ref="BU47:BU52" si="69">BS47+BT47</f>
        <v>0</v>
      </c>
      <c r="BV47" s="181">
        <f t="shared" si="0"/>
        <v>0</v>
      </c>
    </row>
    <row r="48" spans="1:74" ht="31.5" x14ac:dyDescent="0.25">
      <c r="A48" s="989"/>
      <c r="B48" s="38"/>
      <c r="C48" s="38" t="s">
        <v>275</v>
      </c>
      <c r="D48" s="38" t="s">
        <v>276</v>
      </c>
      <c r="E48" s="375">
        <f>25*100000</f>
        <v>2500000</v>
      </c>
      <c r="F48" s="38">
        <f t="shared" si="49"/>
        <v>1</v>
      </c>
      <c r="G48" s="438">
        <f t="shared" si="50"/>
        <v>2500000</v>
      </c>
      <c r="H48" s="438">
        <f t="shared" si="51"/>
        <v>500000</v>
      </c>
      <c r="I48" s="438">
        <f t="shared" si="52"/>
        <v>2000000</v>
      </c>
      <c r="J48" s="438">
        <f t="shared" si="53"/>
        <v>0</v>
      </c>
      <c r="K48" s="438">
        <f t="shared" si="54"/>
        <v>0</v>
      </c>
      <c r="L48" s="438">
        <f t="shared" si="55"/>
        <v>0</v>
      </c>
      <c r="M48" s="438">
        <f t="shared" si="56"/>
        <v>0</v>
      </c>
      <c r="N48" s="438">
        <f t="shared" si="57"/>
        <v>0</v>
      </c>
      <c r="O48" s="85">
        <f t="shared" si="58"/>
        <v>0</v>
      </c>
      <c r="P48" s="85">
        <f t="shared" si="59"/>
        <v>0</v>
      </c>
      <c r="Q48" s="85">
        <f t="shared" si="60"/>
        <v>0</v>
      </c>
      <c r="R48" s="47"/>
      <c r="S48" s="47">
        <v>1</v>
      </c>
      <c r="T48" s="47"/>
      <c r="U48" s="47"/>
      <c r="V48" s="181">
        <f t="shared" si="61"/>
        <v>0</v>
      </c>
      <c r="W48" s="181">
        <f t="shared" si="62"/>
        <v>2500000</v>
      </c>
      <c r="X48" s="181">
        <f t="shared" si="63"/>
        <v>0</v>
      </c>
      <c r="Y48" s="181">
        <f t="shared" si="64"/>
        <v>0</v>
      </c>
      <c r="Z48" s="47">
        <v>0</v>
      </c>
      <c r="AA48" s="181">
        <f t="shared" si="65"/>
        <v>0</v>
      </c>
      <c r="AB48" s="47">
        <v>0</v>
      </c>
      <c r="AC48" s="181">
        <f t="shared" si="2"/>
        <v>0</v>
      </c>
      <c r="AD48" s="47">
        <v>0</v>
      </c>
      <c r="AE48" s="181">
        <f t="shared" si="3"/>
        <v>0</v>
      </c>
      <c r="AF48" s="47">
        <v>0</v>
      </c>
      <c r="AG48" s="181">
        <f t="shared" si="4"/>
        <v>0</v>
      </c>
      <c r="AH48" s="47">
        <v>0</v>
      </c>
      <c r="AI48" s="181">
        <f t="shared" si="5"/>
        <v>0</v>
      </c>
      <c r="AJ48" s="47">
        <v>0</v>
      </c>
      <c r="AK48" s="181">
        <f t="shared" si="6"/>
        <v>0</v>
      </c>
      <c r="AL48" s="47">
        <v>0</v>
      </c>
      <c r="AM48" s="181">
        <f t="shared" si="7"/>
        <v>0</v>
      </c>
      <c r="AN48" s="47">
        <v>0</v>
      </c>
      <c r="AO48" s="181">
        <f t="shared" si="8"/>
        <v>0</v>
      </c>
      <c r="AP48" s="47">
        <v>0</v>
      </c>
      <c r="AQ48" s="181">
        <f t="shared" si="9"/>
        <v>0</v>
      </c>
      <c r="AR48" s="47">
        <v>0</v>
      </c>
      <c r="AS48" s="181">
        <f t="shared" si="10"/>
        <v>0</v>
      </c>
      <c r="AT48" s="47">
        <v>0</v>
      </c>
      <c r="AU48" s="181">
        <f t="shared" si="11"/>
        <v>0</v>
      </c>
      <c r="AV48" s="47">
        <v>0</v>
      </c>
      <c r="AW48" s="181">
        <f t="shared" si="12"/>
        <v>0</v>
      </c>
      <c r="AX48" s="47">
        <v>0</v>
      </c>
      <c r="AY48" s="181">
        <f t="shared" si="13"/>
        <v>0</v>
      </c>
      <c r="AZ48" s="47">
        <v>0</v>
      </c>
      <c r="BA48" s="181">
        <f t="shared" si="14"/>
        <v>0</v>
      </c>
      <c r="BB48" s="47">
        <v>0</v>
      </c>
      <c r="BC48" s="181">
        <f t="shared" si="15"/>
        <v>0</v>
      </c>
      <c r="BD48" s="47">
        <v>0</v>
      </c>
      <c r="BE48" s="181">
        <f t="shared" si="16"/>
        <v>0</v>
      </c>
      <c r="BF48" s="47">
        <v>0</v>
      </c>
      <c r="BG48" s="181">
        <f t="shared" si="17"/>
        <v>0</v>
      </c>
      <c r="BH48" s="47">
        <v>1</v>
      </c>
      <c r="BI48" s="181">
        <f t="shared" si="48"/>
        <v>2500000</v>
      </c>
      <c r="BJ48" s="47">
        <f t="shared" si="66"/>
        <v>1</v>
      </c>
      <c r="BK48" s="117">
        <f t="shared" si="66"/>
        <v>2500000</v>
      </c>
      <c r="BL48" s="345" t="s">
        <v>469</v>
      </c>
      <c r="BN48" s="113"/>
      <c r="BO48" s="113"/>
      <c r="BP48" s="113">
        <f t="shared" si="67"/>
        <v>2500000</v>
      </c>
      <c r="BQ48" s="113"/>
      <c r="BR48" s="113">
        <f t="shared" si="68"/>
        <v>2500000</v>
      </c>
      <c r="BS48" s="113"/>
      <c r="BT48" s="113"/>
      <c r="BU48" s="125">
        <f t="shared" si="69"/>
        <v>0</v>
      </c>
      <c r="BV48" s="181">
        <f t="shared" si="0"/>
        <v>2500000</v>
      </c>
    </row>
    <row r="49" spans="1:74" x14ac:dyDescent="0.25">
      <c r="A49" s="989"/>
      <c r="B49" s="38"/>
      <c r="C49" s="38" t="s">
        <v>277</v>
      </c>
      <c r="D49" s="38" t="s">
        <v>276</v>
      </c>
      <c r="E49" s="375">
        <f>5*100000</f>
        <v>500000</v>
      </c>
      <c r="F49" s="38">
        <f t="shared" si="49"/>
        <v>1</v>
      </c>
      <c r="G49" s="438">
        <f t="shared" si="50"/>
        <v>500000</v>
      </c>
      <c r="H49" s="438">
        <f t="shared" si="51"/>
        <v>100000</v>
      </c>
      <c r="I49" s="438">
        <f t="shared" si="52"/>
        <v>400000</v>
      </c>
      <c r="J49" s="438">
        <f t="shared" si="53"/>
        <v>0</v>
      </c>
      <c r="K49" s="438">
        <f t="shared" si="54"/>
        <v>0</v>
      </c>
      <c r="L49" s="438">
        <f t="shared" si="55"/>
        <v>0</v>
      </c>
      <c r="M49" s="438">
        <f t="shared" si="56"/>
        <v>0</v>
      </c>
      <c r="N49" s="438">
        <f t="shared" si="57"/>
        <v>0</v>
      </c>
      <c r="O49" s="85">
        <f t="shared" si="58"/>
        <v>0</v>
      </c>
      <c r="P49" s="85">
        <f t="shared" si="59"/>
        <v>0</v>
      </c>
      <c r="Q49" s="85">
        <f t="shared" si="60"/>
        <v>0</v>
      </c>
      <c r="R49" s="47"/>
      <c r="S49" s="47"/>
      <c r="T49" s="47"/>
      <c r="U49" s="47">
        <f>F49</f>
        <v>1</v>
      </c>
      <c r="V49" s="181">
        <f t="shared" si="61"/>
        <v>0</v>
      </c>
      <c r="W49" s="181">
        <f t="shared" si="62"/>
        <v>0</v>
      </c>
      <c r="X49" s="181">
        <f t="shared" si="63"/>
        <v>0</v>
      </c>
      <c r="Y49" s="181">
        <f t="shared" si="64"/>
        <v>500000</v>
      </c>
      <c r="Z49" s="47">
        <v>0</v>
      </c>
      <c r="AA49" s="181">
        <f t="shared" si="65"/>
        <v>0</v>
      </c>
      <c r="AB49" s="47">
        <v>0</v>
      </c>
      <c r="AC49" s="181">
        <f t="shared" si="2"/>
        <v>0</v>
      </c>
      <c r="AD49" s="47">
        <v>0</v>
      </c>
      <c r="AE49" s="181">
        <f t="shared" si="3"/>
        <v>0</v>
      </c>
      <c r="AF49" s="47">
        <v>0</v>
      </c>
      <c r="AG49" s="181">
        <f t="shared" si="4"/>
        <v>0</v>
      </c>
      <c r="AH49" s="47">
        <v>0</v>
      </c>
      <c r="AI49" s="181">
        <f t="shared" si="5"/>
        <v>0</v>
      </c>
      <c r="AJ49" s="47">
        <v>0</v>
      </c>
      <c r="AK49" s="181">
        <f t="shared" si="6"/>
        <v>0</v>
      </c>
      <c r="AL49" s="47">
        <v>0</v>
      </c>
      <c r="AM49" s="181">
        <f t="shared" si="7"/>
        <v>0</v>
      </c>
      <c r="AN49" s="47">
        <v>0</v>
      </c>
      <c r="AO49" s="181">
        <f t="shared" si="8"/>
        <v>0</v>
      </c>
      <c r="AP49" s="47">
        <v>0</v>
      </c>
      <c r="AQ49" s="181">
        <f t="shared" si="9"/>
        <v>0</v>
      </c>
      <c r="AR49" s="47">
        <v>0</v>
      </c>
      <c r="AS49" s="181">
        <f t="shared" si="10"/>
        <v>0</v>
      </c>
      <c r="AT49" s="47">
        <v>0</v>
      </c>
      <c r="AU49" s="181">
        <f t="shared" si="11"/>
        <v>0</v>
      </c>
      <c r="AV49" s="47">
        <v>0</v>
      </c>
      <c r="AW49" s="181">
        <f t="shared" si="12"/>
        <v>0</v>
      </c>
      <c r="AX49" s="47">
        <v>0</v>
      </c>
      <c r="AY49" s="181">
        <f t="shared" si="13"/>
        <v>0</v>
      </c>
      <c r="AZ49" s="47">
        <v>0</v>
      </c>
      <c r="BA49" s="181">
        <f t="shared" si="14"/>
        <v>0</v>
      </c>
      <c r="BB49" s="47">
        <v>0</v>
      </c>
      <c r="BC49" s="181">
        <f t="shared" si="15"/>
        <v>0</v>
      </c>
      <c r="BD49" s="47">
        <v>0</v>
      </c>
      <c r="BE49" s="181">
        <f t="shared" si="16"/>
        <v>0</v>
      </c>
      <c r="BF49" s="47">
        <v>0</v>
      </c>
      <c r="BG49" s="181">
        <f t="shared" si="17"/>
        <v>0</v>
      </c>
      <c r="BH49" s="47">
        <v>1</v>
      </c>
      <c r="BI49" s="181">
        <f t="shared" si="48"/>
        <v>500000</v>
      </c>
      <c r="BJ49" s="47">
        <f t="shared" si="66"/>
        <v>1</v>
      </c>
      <c r="BK49" s="117">
        <f t="shared" si="66"/>
        <v>500000</v>
      </c>
      <c r="BL49" s="345" t="s">
        <v>469</v>
      </c>
      <c r="BN49" s="113"/>
      <c r="BO49" s="113"/>
      <c r="BP49" s="113">
        <f t="shared" si="67"/>
        <v>500000</v>
      </c>
      <c r="BQ49" s="113"/>
      <c r="BR49" s="113">
        <f t="shared" si="68"/>
        <v>500000</v>
      </c>
      <c r="BS49" s="113"/>
      <c r="BT49" s="113"/>
      <c r="BU49" s="125">
        <f t="shared" si="69"/>
        <v>0</v>
      </c>
      <c r="BV49" s="181">
        <f t="shared" si="0"/>
        <v>500000</v>
      </c>
    </row>
    <row r="50" spans="1:74" x14ac:dyDescent="0.25">
      <c r="A50" s="989"/>
      <c r="B50" s="38"/>
      <c r="C50" s="38" t="s">
        <v>278</v>
      </c>
      <c r="D50" s="38" t="s">
        <v>276</v>
      </c>
      <c r="E50" s="375">
        <f>10*100000</f>
        <v>1000000</v>
      </c>
      <c r="F50" s="38">
        <f t="shared" si="49"/>
        <v>0</v>
      </c>
      <c r="G50" s="438">
        <f t="shared" si="50"/>
        <v>0</v>
      </c>
      <c r="H50" s="438">
        <f t="shared" si="51"/>
        <v>0</v>
      </c>
      <c r="I50" s="438">
        <f t="shared" si="52"/>
        <v>0</v>
      </c>
      <c r="J50" s="438">
        <f t="shared" si="53"/>
        <v>0</v>
      </c>
      <c r="K50" s="438">
        <f t="shared" si="54"/>
        <v>0</v>
      </c>
      <c r="L50" s="438">
        <f t="shared" si="55"/>
        <v>0</v>
      </c>
      <c r="M50" s="438">
        <f t="shared" si="56"/>
        <v>0</v>
      </c>
      <c r="N50" s="438">
        <f t="shared" si="57"/>
        <v>0</v>
      </c>
      <c r="O50" s="85">
        <f t="shared" si="58"/>
        <v>0</v>
      </c>
      <c r="P50" s="85">
        <f t="shared" si="59"/>
        <v>0</v>
      </c>
      <c r="Q50" s="85">
        <f t="shared" si="60"/>
        <v>0</v>
      </c>
      <c r="R50" s="47"/>
      <c r="S50" s="47"/>
      <c r="T50" s="47"/>
      <c r="U50" s="47"/>
      <c r="V50" s="181">
        <f t="shared" si="61"/>
        <v>0</v>
      </c>
      <c r="W50" s="181">
        <f t="shared" si="62"/>
        <v>0</v>
      </c>
      <c r="X50" s="181">
        <f t="shared" si="63"/>
        <v>0</v>
      </c>
      <c r="Y50" s="181">
        <f t="shared" si="64"/>
        <v>0</v>
      </c>
      <c r="Z50" s="47">
        <v>0</v>
      </c>
      <c r="AA50" s="181">
        <f t="shared" si="65"/>
        <v>0</v>
      </c>
      <c r="AB50" s="47">
        <v>0</v>
      </c>
      <c r="AC50" s="181">
        <f t="shared" si="2"/>
        <v>0</v>
      </c>
      <c r="AD50" s="47">
        <v>0</v>
      </c>
      <c r="AE50" s="181">
        <f t="shared" si="3"/>
        <v>0</v>
      </c>
      <c r="AF50" s="47">
        <v>0</v>
      </c>
      <c r="AG50" s="181">
        <f t="shared" si="4"/>
        <v>0</v>
      </c>
      <c r="AH50" s="47">
        <v>0</v>
      </c>
      <c r="AI50" s="181">
        <f t="shared" si="5"/>
        <v>0</v>
      </c>
      <c r="AJ50" s="47">
        <v>0</v>
      </c>
      <c r="AK50" s="181">
        <f t="shared" si="6"/>
        <v>0</v>
      </c>
      <c r="AL50" s="47">
        <v>0</v>
      </c>
      <c r="AM50" s="181">
        <f t="shared" si="7"/>
        <v>0</v>
      </c>
      <c r="AN50" s="47">
        <v>0</v>
      </c>
      <c r="AO50" s="181">
        <f t="shared" si="8"/>
        <v>0</v>
      </c>
      <c r="AP50" s="47">
        <v>0</v>
      </c>
      <c r="AQ50" s="181">
        <f t="shared" si="9"/>
        <v>0</v>
      </c>
      <c r="AR50" s="47">
        <v>0</v>
      </c>
      <c r="AS50" s="181">
        <f t="shared" si="10"/>
        <v>0</v>
      </c>
      <c r="AT50" s="47">
        <v>0</v>
      </c>
      <c r="AU50" s="181">
        <f t="shared" si="11"/>
        <v>0</v>
      </c>
      <c r="AV50" s="47">
        <v>0</v>
      </c>
      <c r="AW50" s="181">
        <f t="shared" si="12"/>
        <v>0</v>
      </c>
      <c r="AX50" s="47">
        <v>0</v>
      </c>
      <c r="AY50" s="181">
        <f t="shared" si="13"/>
        <v>0</v>
      </c>
      <c r="AZ50" s="47">
        <v>0</v>
      </c>
      <c r="BA50" s="181">
        <f t="shared" si="14"/>
        <v>0</v>
      </c>
      <c r="BB50" s="47">
        <v>0</v>
      </c>
      <c r="BC50" s="181">
        <f t="shared" si="15"/>
        <v>0</v>
      </c>
      <c r="BD50" s="47">
        <v>0</v>
      </c>
      <c r="BE50" s="181">
        <f t="shared" si="16"/>
        <v>0</v>
      </c>
      <c r="BF50" s="47">
        <v>0</v>
      </c>
      <c r="BG50" s="181">
        <f t="shared" si="17"/>
        <v>0</v>
      </c>
      <c r="BH50" s="47">
        <v>0</v>
      </c>
      <c r="BI50" s="181">
        <f t="shared" si="48"/>
        <v>0</v>
      </c>
      <c r="BJ50" s="47">
        <f t="shared" si="66"/>
        <v>0</v>
      </c>
      <c r="BK50" s="117">
        <f t="shared" si="66"/>
        <v>0</v>
      </c>
      <c r="BL50" s="345" t="s">
        <v>469</v>
      </c>
      <c r="BN50" s="113"/>
      <c r="BO50" s="113"/>
      <c r="BP50" s="113">
        <f t="shared" si="67"/>
        <v>0</v>
      </c>
      <c r="BQ50" s="113"/>
      <c r="BR50" s="113">
        <f t="shared" si="68"/>
        <v>0</v>
      </c>
      <c r="BS50" s="113"/>
      <c r="BT50" s="113"/>
      <c r="BU50" s="125">
        <f t="shared" si="69"/>
        <v>0</v>
      </c>
      <c r="BV50" s="181">
        <f t="shared" si="0"/>
        <v>0</v>
      </c>
    </row>
    <row r="51" spans="1:74" x14ac:dyDescent="0.25">
      <c r="A51" s="989"/>
      <c r="B51" s="38"/>
      <c r="C51" s="38" t="s">
        <v>279</v>
      </c>
      <c r="D51" s="38" t="s">
        <v>129</v>
      </c>
      <c r="E51" s="375">
        <f>25*100000</f>
        <v>2500000</v>
      </c>
      <c r="F51" s="38">
        <f t="shared" si="49"/>
        <v>0</v>
      </c>
      <c r="G51" s="438">
        <f t="shared" si="50"/>
        <v>0</v>
      </c>
      <c r="H51" s="438">
        <f t="shared" si="51"/>
        <v>0</v>
      </c>
      <c r="I51" s="438">
        <f t="shared" si="52"/>
        <v>0</v>
      </c>
      <c r="J51" s="438">
        <f t="shared" si="53"/>
        <v>0</v>
      </c>
      <c r="K51" s="438">
        <f t="shared" si="54"/>
        <v>0</v>
      </c>
      <c r="L51" s="438">
        <f t="shared" si="55"/>
        <v>0</v>
      </c>
      <c r="M51" s="438">
        <f t="shared" si="56"/>
        <v>0</v>
      </c>
      <c r="N51" s="438">
        <f t="shared" si="57"/>
        <v>0</v>
      </c>
      <c r="O51" s="85">
        <f t="shared" si="58"/>
        <v>0</v>
      </c>
      <c r="P51" s="85">
        <f t="shared" si="59"/>
        <v>0</v>
      </c>
      <c r="Q51" s="85">
        <f t="shared" si="60"/>
        <v>0</v>
      </c>
      <c r="R51" s="47"/>
      <c r="S51" s="47"/>
      <c r="T51" s="47"/>
      <c r="U51" s="47"/>
      <c r="V51" s="181">
        <f t="shared" si="61"/>
        <v>0</v>
      </c>
      <c r="W51" s="181">
        <f t="shared" si="62"/>
        <v>0</v>
      </c>
      <c r="X51" s="181">
        <f t="shared" si="63"/>
        <v>0</v>
      </c>
      <c r="Y51" s="181">
        <f t="shared" si="64"/>
        <v>0</v>
      </c>
      <c r="Z51" s="47">
        <v>0</v>
      </c>
      <c r="AA51" s="181">
        <f t="shared" si="65"/>
        <v>0</v>
      </c>
      <c r="AB51" s="47">
        <v>0</v>
      </c>
      <c r="AC51" s="181">
        <f t="shared" si="2"/>
        <v>0</v>
      </c>
      <c r="AD51" s="47">
        <v>0</v>
      </c>
      <c r="AE51" s="181">
        <f t="shared" si="3"/>
        <v>0</v>
      </c>
      <c r="AF51" s="47">
        <v>0</v>
      </c>
      <c r="AG51" s="181">
        <f t="shared" si="4"/>
        <v>0</v>
      </c>
      <c r="AH51" s="47">
        <v>0</v>
      </c>
      <c r="AI51" s="181">
        <f t="shared" si="5"/>
        <v>0</v>
      </c>
      <c r="AJ51" s="47">
        <v>0</v>
      </c>
      <c r="AK51" s="181">
        <f t="shared" si="6"/>
        <v>0</v>
      </c>
      <c r="AL51" s="47">
        <v>0</v>
      </c>
      <c r="AM51" s="181">
        <f t="shared" si="7"/>
        <v>0</v>
      </c>
      <c r="AN51" s="47">
        <v>0</v>
      </c>
      <c r="AO51" s="181">
        <f t="shared" si="8"/>
        <v>0</v>
      </c>
      <c r="AP51" s="47">
        <v>0</v>
      </c>
      <c r="AQ51" s="181">
        <f t="shared" si="9"/>
        <v>0</v>
      </c>
      <c r="AR51" s="47">
        <v>0</v>
      </c>
      <c r="AS51" s="181">
        <f t="shared" si="10"/>
        <v>0</v>
      </c>
      <c r="AT51" s="47">
        <v>0</v>
      </c>
      <c r="AU51" s="181">
        <f t="shared" si="11"/>
        <v>0</v>
      </c>
      <c r="AV51" s="47">
        <v>0</v>
      </c>
      <c r="AW51" s="181">
        <f t="shared" si="12"/>
        <v>0</v>
      </c>
      <c r="AX51" s="47">
        <v>0</v>
      </c>
      <c r="AY51" s="181">
        <f t="shared" si="13"/>
        <v>0</v>
      </c>
      <c r="AZ51" s="47">
        <v>0</v>
      </c>
      <c r="BA51" s="181">
        <f t="shared" si="14"/>
        <v>0</v>
      </c>
      <c r="BB51" s="47">
        <v>0</v>
      </c>
      <c r="BC51" s="181">
        <f t="shared" si="15"/>
        <v>0</v>
      </c>
      <c r="BD51" s="47">
        <v>0</v>
      </c>
      <c r="BE51" s="181">
        <f t="shared" si="16"/>
        <v>0</v>
      </c>
      <c r="BF51" s="47">
        <v>0</v>
      </c>
      <c r="BG51" s="181">
        <f t="shared" si="17"/>
        <v>0</v>
      </c>
      <c r="BH51" s="47">
        <v>0</v>
      </c>
      <c r="BI51" s="181">
        <f t="shared" si="48"/>
        <v>0</v>
      </c>
      <c r="BJ51" s="47">
        <f t="shared" si="66"/>
        <v>0</v>
      </c>
      <c r="BK51" s="117">
        <f t="shared" si="66"/>
        <v>0</v>
      </c>
      <c r="BL51" s="345" t="s">
        <v>469</v>
      </c>
      <c r="BN51" s="113"/>
      <c r="BO51" s="113"/>
      <c r="BP51" s="113">
        <f t="shared" si="67"/>
        <v>0</v>
      </c>
      <c r="BQ51" s="113"/>
      <c r="BR51" s="113">
        <f t="shared" si="68"/>
        <v>0</v>
      </c>
      <c r="BS51" s="113"/>
      <c r="BT51" s="113"/>
      <c r="BU51" s="125">
        <f t="shared" si="69"/>
        <v>0</v>
      </c>
      <c r="BV51" s="181">
        <f t="shared" si="0"/>
        <v>0</v>
      </c>
    </row>
    <row r="52" spans="1:74" x14ac:dyDescent="0.25">
      <c r="A52" s="989"/>
      <c r="B52" s="38"/>
      <c r="C52" s="38" t="s">
        <v>280</v>
      </c>
      <c r="D52" s="38" t="s">
        <v>129</v>
      </c>
      <c r="E52" s="375">
        <v>500000</v>
      </c>
      <c r="F52" s="38">
        <f t="shared" si="49"/>
        <v>1</v>
      </c>
      <c r="G52" s="438">
        <f t="shared" si="50"/>
        <v>500000</v>
      </c>
      <c r="H52" s="438">
        <f t="shared" si="51"/>
        <v>100000</v>
      </c>
      <c r="I52" s="438">
        <f t="shared" si="52"/>
        <v>400000</v>
      </c>
      <c r="J52" s="438">
        <f t="shared" si="53"/>
        <v>0</v>
      </c>
      <c r="K52" s="438">
        <f t="shared" si="54"/>
        <v>0</v>
      </c>
      <c r="L52" s="438">
        <f t="shared" si="55"/>
        <v>0</v>
      </c>
      <c r="M52" s="438">
        <f t="shared" si="56"/>
        <v>0</v>
      </c>
      <c r="N52" s="438">
        <f t="shared" si="57"/>
        <v>0</v>
      </c>
      <c r="O52" s="85">
        <f t="shared" si="58"/>
        <v>0</v>
      </c>
      <c r="P52" s="85">
        <f t="shared" si="59"/>
        <v>0</v>
      </c>
      <c r="Q52" s="85">
        <f t="shared" si="60"/>
        <v>0</v>
      </c>
      <c r="R52" s="47"/>
      <c r="S52" s="47"/>
      <c r="T52" s="47">
        <f>F52</f>
        <v>1</v>
      </c>
      <c r="U52" s="47"/>
      <c r="V52" s="181">
        <f t="shared" si="61"/>
        <v>0</v>
      </c>
      <c r="W52" s="181">
        <f t="shared" si="62"/>
        <v>0</v>
      </c>
      <c r="X52" s="181">
        <f t="shared" si="63"/>
        <v>500000</v>
      </c>
      <c r="Y52" s="181">
        <f t="shared" si="64"/>
        <v>0</v>
      </c>
      <c r="Z52" s="47">
        <v>0</v>
      </c>
      <c r="AA52" s="181">
        <f t="shared" si="65"/>
        <v>0</v>
      </c>
      <c r="AB52" s="47">
        <v>0</v>
      </c>
      <c r="AC52" s="181">
        <f t="shared" si="2"/>
        <v>0</v>
      </c>
      <c r="AD52" s="47">
        <v>0</v>
      </c>
      <c r="AE52" s="181">
        <f t="shared" si="3"/>
        <v>0</v>
      </c>
      <c r="AF52" s="47">
        <v>0</v>
      </c>
      <c r="AG52" s="181">
        <f t="shared" si="4"/>
        <v>0</v>
      </c>
      <c r="AH52" s="47">
        <v>0</v>
      </c>
      <c r="AI52" s="181">
        <f t="shared" si="5"/>
        <v>0</v>
      </c>
      <c r="AJ52" s="47">
        <v>0</v>
      </c>
      <c r="AK52" s="181">
        <f t="shared" si="6"/>
        <v>0</v>
      </c>
      <c r="AL52" s="47">
        <v>0</v>
      </c>
      <c r="AM52" s="181">
        <f t="shared" si="7"/>
        <v>0</v>
      </c>
      <c r="AN52" s="47">
        <v>0</v>
      </c>
      <c r="AO52" s="181">
        <f t="shared" si="8"/>
        <v>0</v>
      </c>
      <c r="AP52" s="47">
        <v>0</v>
      </c>
      <c r="AQ52" s="181">
        <f t="shared" si="9"/>
        <v>0</v>
      </c>
      <c r="AR52" s="47">
        <v>0</v>
      </c>
      <c r="AS52" s="181">
        <f t="shared" si="10"/>
        <v>0</v>
      </c>
      <c r="AT52" s="47">
        <v>0</v>
      </c>
      <c r="AU52" s="181">
        <f t="shared" si="11"/>
        <v>0</v>
      </c>
      <c r="AV52" s="47">
        <v>0</v>
      </c>
      <c r="AW52" s="181">
        <f t="shared" si="12"/>
        <v>0</v>
      </c>
      <c r="AX52" s="47">
        <v>0</v>
      </c>
      <c r="AY52" s="181">
        <f t="shared" si="13"/>
        <v>0</v>
      </c>
      <c r="AZ52" s="47">
        <v>0</v>
      </c>
      <c r="BA52" s="181">
        <f t="shared" si="14"/>
        <v>0</v>
      </c>
      <c r="BB52" s="47">
        <v>0</v>
      </c>
      <c r="BC52" s="181">
        <f t="shared" si="15"/>
        <v>0</v>
      </c>
      <c r="BD52" s="47">
        <v>0</v>
      </c>
      <c r="BE52" s="181">
        <f t="shared" si="16"/>
        <v>0</v>
      </c>
      <c r="BF52" s="47">
        <v>0</v>
      </c>
      <c r="BG52" s="181">
        <f t="shared" si="17"/>
        <v>0</v>
      </c>
      <c r="BH52" s="47">
        <v>1</v>
      </c>
      <c r="BI52" s="181">
        <f t="shared" si="48"/>
        <v>500000</v>
      </c>
      <c r="BJ52" s="47">
        <f>Z52+AB52+AD52+AF52+AH52+AJ52+AL52+AN52+AP52+AR52+AT52+AV52+AX52+AZ52+BB52+BD52+BF52+BH52</f>
        <v>1</v>
      </c>
      <c r="BK52" s="117">
        <f>AA52+AC52+AE52+AG52+AI52+AK52+AM52+AO52+AQ52+AS52+AU52+AW52+AY52+BA52+BC52+BE52+BG52+BI52</f>
        <v>500000</v>
      </c>
      <c r="BL52" s="345" t="s">
        <v>469</v>
      </c>
      <c r="BN52" s="113"/>
      <c r="BO52" s="113"/>
      <c r="BP52" s="113">
        <f t="shared" si="67"/>
        <v>500000</v>
      </c>
      <c r="BQ52" s="113"/>
      <c r="BR52" s="113">
        <f t="shared" si="68"/>
        <v>500000</v>
      </c>
      <c r="BS52" s="113"/>
      <c r="BT52" s="113"/>
      <c r="BU52" s="125">
        <f t="shared" si="69"/>
        <v>0</v>
      </c>
      <c r="BV52" s="181">
        <f t="shared" si="0"/>
        <v>500000</v>
      </c>
    </row>
    <row r="53" spans="1:74" ht="31.5" x14ac:dyDescent="0.25">
      <c r="A53" s="989"/>
      <c r="B53" s="439"/>
      <c r="C53" s="439" t="s">
        <v>281</v>
      </c>
      <c r="D53" s="439" t="s">
        <v>282</v>
      </c>
      <c r="E53" s="439"/>
      <c r="F53" s="439">
        <f>SUM(F47:F52)</f>
        <v>3</v>
      </c>
      <c r="G53" s="440">
        <f>SUM(G47:G52)</f>
        <v>3500000</v>
      </c>
      <c r="H53" s="440">
        <f t="shared" ref="H53:Q53" si="70">SUM(H47:H52)</f>
        <v>700000</v>
      </c>
      <c r="I53" s="440">
        <f t="shared" si="70"/>
        <v>2800000</v>
      </c>
      <c r="J53" s="440">
        <f t="shared" si="70"/>
        <v>0</v>
      </c>
      <c r="K53" s="440">
        <f t="shared" si="70"/>
        <v>0</v>
      </c>
      <c r="L53" s="440">
        <f t="shared" si="70"/>
        <v>0</v>
      </c>
      <c r="M53" s="440">
        <f t="shared" si="70"/>
        <v>0</v>
      </c>
      <c r="N53" s="440">
        <f t="shared" si="70"/>
        <v>0</v>
      </c>
      <c r="O53" s="440">
        <f t="shared" si="70"/>
        <v>0</v>
      </c>
      <c r="P53" s="440">
        <f t="shared" si="70"/>
        <v>0</v>
      </c>
      <c r="Q53" s="440">
        <f t="shared" si="70"/>
        <v>0</v>
      </c>
      <c r="R53" s="439">
        <f t="shared" ref="R53:BK53" si="71">SUM(R47:R52)</f>
        <v>0</v>
      </c>
      <c r="S53" s="439">
        <f t="shared" si="71"/>
        <v>1</v>
      </c>
      <c r="T53" s="439">
        <f t="shared" si="71"/>
        <v>1</v>
      </c>
      <c r="U53" s="439">
        <f t="shared" si="71"/>
        <v>1</v>
      </c>
      <c r="V53" s="440">
        <f t="shared" si="71"/>
        <v>0</v>
      </c>
      <c r="W53" s="440">
        <f t="shared" si="71"/>
        <v>2500000</v>
      </c>
      <c r="X53" s="440">
        <f t="shared" si="71"/>
        <v>500000</v>
      </c>
      <c r="Y53" s="440">
        <f t="shared" si="71"/>
        <v>500000</v>
      </c>
      <c r="Z53" s="439">
        <f t="shared" si="71"/>
        <v>0</v>
      </c>
      <c r="AA53" s="440">
        <f t="shared" si="71"/>
        <v>0</v>
      </c>
      <c r="AB53" s="439">
        <f t="shared" si="71"/>
        <v>0</v>
      </c>
      <c r="AC53" s="440">
        <f t="shared" si="71"/>
        <v>0</v>
      </c>
      <c r="AD53" s="439">
        <f t="shared" si="71"/>
        <v>0</v>
      </c>
      <c r="AE53" s="440">
        <f t="shared" si="71"/>
        <v>0</v>
      </c>
      <c r="AF53" s="439">
        <f t="shared" si="71"/>
        <v>0</v>
      </c>
      <c r="AG53" s="440">
        <f t="shared" si="71"/>
        <v>0</v>
      </c>
      <c r="AH53" s="439">
        <f t="shared" si="71"/>
        <v>0</v>
      </c>
      <c r="AI53" s="440">
        <f t="shared" si="71"/>
        <v>0</v>
      </c>
      <c r="AJ53" s="439">
        <f t="shared" si="71"/>
        <v>0</v>
      </c>
      <c r="AK53" s="440">
        <f t="shared" si="71"/>
        <v>0</v>
      </c>
      <c r="AL53" s="439">
        <f t="shared" si="71"/>
        <v>0</v>
      </c>
      <c r="AM53" s="440">
        <f t="shared" si="71"/>
        <v>0</v>
      </c>
      <c r="AN53" s="439">
        <f t="shared" si="71"/>
        <v>0</v>
      </c>
      <c r="AO53" s="440">
        <f t="shared" si="71"/>
        <v>0</v>
      </c>
      <c r="AP53" s="439">
        <f t="shared" si="71"/>
        <v>0</v>
      </c>
      <c r="AQ53" s="440">
        <f t="shared" si="71"/>
        <v>0</v>
      </c>
      <c r="AR53" s="439">
        <f t="shared" si="71"/>
        <v>0</v>
      </c>
      <c r="AS53" s="440">
        <f t="shared" si="71"/>
        <v>0</v>
      </c>
      <c r="AT53" s="439">
        <f t="shared" si="71"/>
        <v>0</v>
      </c>
      <c r="AU53" s="440">
        <f t="shared" si="71"/>
        <v>0</v>
      </c>
      <c r="AV53" s="439">
        <f t="shared" si="71"/>
        <v>0</v>
      </c>
      <c r="AW53" s="440">
        <f t="shared" si="71"/>
        <v>0</v>
      </c>
      <c r="AX53" s="439">
        <f t="shared" si="71"/>
        <v>0</v>
      </c>
      <c r="AY53" s="440">
        <f t="shared" si="71"/>
        <v>0</v>
      </c>
      <c r="AZ53" s="439">
        <f t="shared" si="71"/>
        <v>0</v>
      </c>
      <c r="BA53" s="440">
        <f t="shared" si="71"/>
        <v>0</v>
      </c>
      <c r="BB53" s="439">
        <f t="shared" si="71"/>
        <v>0</v>
      </c>
      <c r="BC53" s="440">
        <f t="shared" si="71"/>
        <v>0</v>
      </c>
      <c r="BD53" s="439">
        <f t="shared" si="71"/>
        <v>0</v>
      </c>
      <c r="BE53" s="440">
        <f t="shared" si="71"/>
        <v>0</v>
      </c>
      <c r="BF53" s="439">
        <f t="shared" si="71"/>
        <v>0</v>
      </c>
      <c r="BG53" s="440">
        <f t="shared" si="71"/>
        <v>0</v>
      </c>
      <c r="BH53" s="439">
        <f t="shared" si="71"/>
        <v>3</v>
      </c>
      <c r="BI53" s="440">
        <f t="shared" si="71"/>
        <v>3500000</v>
      </c>
      <c r="BJ53" s="439">
        <f t="shared" si="71"/>
        <v>3</v>
      </c>
      <c r="BK53" s="441">
        <f t="shared" si="71"/>
        <v>3500000</v>
      </c>
      <c r="BL53" s="47"/>
      <c r="BN53" s="441">
        <f t="shared" ref="BN53:BU53" si="72">SUM(BN47:BN52)</f>
        <v>0</v>
      </c>
      <c r="BO53" s="441">
        <f t="shared" si="72"/>
        <v>0</v>
      </c>
      <c r="BP53" s="441">
        <f t="shared" si="72"/>
        <v>3500000</v>
      </c>
      <c r="BQ53" s="441">
        <f t="shared" si="72"/>
        <v>0</v>
      </c>
      <c r="BR53" s="441">
        <f t="shared" si="72"/>
        <v>3500000</v>
      </c>
      <c r="BS53" s="441">
        <f t="shared" si="72"/>
        <v>0</v>
      </c>
      <c r="BT53" s="441">
        <f t="shared" si="72"/>
        <v>0</v>
      </c>
      <c r="BU53" s="441">
        <f t="shared" si="72"/>
        <v>0</v>
      </c>
      <c r="BV53" s="390">
        <f t="shared" si="0"/>
        <v>3500000</v>
      </c>
    </row>
    <row r="54" spans="1:74" x14ac:dyDescent="0.25">
      <c r="A54" s="989"/>
      <c r="B54" s="38">
        <v>41320</v>
      </c>
      <c r="C54" s="706" t="s">
        <v>283</v>
      </c>
      <c r="D54" s="38"/>
      <c r="E54" s="375"/>
      <c r="F54" s="38"/>
      <c r="G54" s="124"/>
      <c r="H54" s="124"/>
      <c r="I54" s="124"/>
      <c r="J54" s="124"/>
      <c r="K54" s="124"/>
      <c r="L54" s="124"/>
      <c r="M54" s="124"/>
      <c r="N54" s="124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81">
        <f t="shared" si="2"/>
        <v>0</v>
      </c>
      <c r="AD54" s="47"/>
      <c r="AE54" s="181">
        <f t="shared" si="3"/>
        <v>0</v>
      </c>
      <c r="AF54" s="47"/>
      <c r="AG54" s="181">
        <f t="shared" si="4"/>
        <v>0</v>
      </c>
      <c r="AH54" s="47"/>
      <c r="AI54" s="181">
        <f t="shared" si="5"/>
        <v>0</v>
      </c>
      <c r="AJ54" s="47"/>
      <c r="AK54" s="181">
        <f t="shared" si="6"/>
        <v>0</v>
      </c>
      <c r="AL54" s="47"/>
      <c r="AM54" s="181">
        <f t="shared" si="7"/>
        <v>0</v>
      </c>
      <c r="AN54" s="47"/>
      <c r="AO54" s="181">
        <f t="shared" si="8"/>
        <v>0</v>
      </c>
      <c r="AP54" s="47"/>
      <c r="AQ54" s="181">
        <f t="shared" si="9"/>
        <v>0</v>
      </c>
      <c r="AR54" s="47"/>
      <c r="AS54" s="181">
        <f t="shared" si="10"/>
        <v>0</v>
      </c>
      <c r="AT54" s="47"/>
      <c r="AU54" s="181">
        <f t="shared" si="11"/>
        <v>0</v>
      </c>
      <c r="AV54" s="47"/>
      <c r="AW54" s="181">
        <f t="shared" si="12"/>
        <v>0</v>
      </c>
      <c r="AX54" s="47"/>
      <c r="AY54" s="181">
        <f t="shared" si="13"/>
        <v>0</v>
      </c>
      <c r="AZ54" s="47"/>
      <c r="BA54" s="181">
        <f t="shared" si="14"/>
        <v>0</v>
      </c>
      <c r="BB54" s="47"/>
      <c r="BC54" s="181">
        <f t="shared" si="15"/>
        <v>0</v>
      </c>
      <c r="BD54" s="47"/>
      <c r="BE54" s="181">
        <f t="shared" si="16"/>
        <v>0</v>
      </c>
      <c r="BF54" s="47"/>
      <c r="BG54" s="181">
        <f t="shared" si="17"/>
        <v>0</v>
      </c>
      <c r="BH54" s="47"/>
      <c r="BI54" s="47"/>
      <c r="BJ54" s="47"/>
      <c r="BK54" s="124"/>
      <c r="BL54" s="47"/>
      <c r="BN54" s="113"/>
      <c r="BO54" s="113"/>
      <c r="BP54" s="113"/>
      <c r="BQ54" s="113"/>
      <c r="BR54" s="113"/>
      <c r="BS54" s="113"/>
      <c r="BT54" s="113"/>
      <c r="BU54" s="125"/>
      <c r="BV54" s="181">
        <f t="shared" si="0"/>
        <v>0</v>
      </c>
    </row>
    <row r="55" spans="1:74" x14ac:dyDescent="0.25">
      <c r="A55" s="989"/>
      <c r="B55" s="38"/>
      <c r="C55" s="38" t="s">
        <v>799</v>
      </c>
      <c r="D55" s="38" t="s">
        <v>44</v>
      </c>
      <c r="E55" s="375">
        <v>118000</v>
      </c>
      <c r="F55" s="657">
        <v>18</v>
      </c>
      <c r="G55" s="658">
        <f>E55*F55</f>
        <v>2124000</v>
      </c>
      <c r="H55" s="438">
        <f>G55*0.2</f>
        <v>424800</v>
      </c>
      <c r="I55" s="438">
        <f>G55*0.8</f>
        <v>1699200</v>
      </c>
      <c r="J55" s="438">
        <f>G55*0</f>
        <v>0</v>
      </c>
      <c r="K55" s="438">
        <f>G55*0</f>
        <v>0</v>
      </c>
      <c r="L55" s="438">
        <f>G55*0</f>
        <v>0</v>
      </c>
      <c r="M55" s="438">
        <f>G55*0</f>
        <v>0</v>
      </c>
      <c r="N55" s="438">
        <f>G55*0</f>
        <v>0</v>
      </c>
      <c r="O55" s="85">
        <f>G55*0</f>
        <v>0</v>
      </c>
      <c r="P55" s="85">
        <f>G55*0</f>
        <v>0</v>
      </c>
      <c r="Q55" s="85">
        <f>G55*0</f>
        <v>0</v>
      </c>
      <c r="R55" s="47"/>
      <c r="S55" s="47">
        <f>F55</f>
        <v>18</v>
      </c>
      <c r="T55" s="47"/>
      <c r="U55" s="47"/>
      <c r="V55" s="181">
        <f>R55*E55</f>
        <v>0</v>
      </c>
      <c r="W55" s="181">
        <f>S55*E55</f>
        <v>2124000</v>
      </c>
      <c r="X55" s="181">
        <f>T55*E55</f>
        <v>0</v>
      </c>
      <c r="Y55" s="181">
        <f>U55*E55</f>
        <v>0</v>
      </c>
      <c r="Z55" s="47">
        <v>0</v>
      </c>
      <c r="AA55" s="181">
        <f>Z55*E55</f>
        <v>0</v>
      </c>
      <c r="AB55" s="47">
        <v>0</v>
      </c>
      <c r="AC55" s="181">
        <f t="shared" si="2"/>
        <v>0</v>
      </c>
      <c r="AD55" s="47">
        <v>0</v>
      </c>
      <c r="AE55" s="181">
        <f t="shared" si="3"/>
        <v>0</v>
      </c>
      <c r="AF55" s="47">
        <v>0</v>
      </c>
      <c r="AG55" s="181">
        <f t="shared" si="4"/>
        <v>0</v>
      </c>
      <c r="AH55" s="47">
        <v>0</v>
      </c>
      <c r="AI55" s="181">
        <f t="shared" si="5"/>
        <v>0</v>
      </c>
      <c r="AJ55" s="47">
        <v>0</v>
      </c>
      <c r="AK55" s="181">
        <f t="shared" si="6"/>
        <v>0</v>
      </c>
      <c r="AL55" s="47">
        <v>0</v>
      </c>
      <c r="AM55" s="181">
        <f t="shared" si="7"/>
        <v>0</v>
      </c>
      <c r="AN55" s="47">
        <v>0</v>
      </c>
      <c r="AO55" s="181">
        <f t="shared" si="8"/>
        <v>0</v>
      </c>
      <c r="AP55" s="47">
        <v>0</v>
      </c>
      <c r="AQ55" s="181">
        <f t="shared" si="9"/>
        <v>0</v>
      </c>
      <c r="AR55" s="47">
        <v>0</v>
      </c>
      <c r="AS55" s="181">
        <f t="shared" si="10"/>
        <v>0</v>
      </c>
      <c r="AT55" s="47">
        <v>0</v>
      </c>
      <c r="AU55" s="181">
        <f t="shared" si="11"/>
        <v>0</v>
      </c>
      <c r="AV55" s="47">
        <v>0</v>
      </c>
      <c r="AW55" s="181">
        <f t="shared" si="12"/>
        <v>0</v>
      </c>
      <c r="AX55" s="47">
        <v>0</v>
      </c>
      <c r="AY55" s="181">
        <f t="shared" si="13"/>
        <v>0</v>
      </c>
      <c r="AZ55" s="47">
        <v>0</v>
      </c>
      <c r="BA55" s="181">
        <f t="shared" si="14"/>
        <v>0</v>
      </c>
      <c r="BB55" s="47">
        <v>0</v>
      </c>
      <c r="BC55" s="181">
        <f t="shared" si="15"/>
        <v>0</v>
      </c>
      <c r="BD55" s="47">
        <v>0</v>
      </c>
      <c r="BE55" s="181">
        <f t="shared" si="16"/>
        <v>0</v>
      </c>
      <c r="BF55" s="47">
        <v>0</v>
      </c>
      <c r="BG55" s="181">
        <f t="shared" si="17"/>
        <v>0</v>
      </c>
      <c r="BH55" s="47">
        <v>18</v>
      </c>
      <c r="BI55" s="181">
        <f>BH55*E55</f>
        <v>2124000</v>
      </c>
      <c r="BJ55" s="47">
        <f t="shared" ref="BJ55:BK59" si="73">Z55+AB55+AD55+AF55+AH55+AJ55+AL55+AN55+AP55+AR55+AT55+AV55+AX55+AZ55+BB55+BD55+BF55+BH55</f>
        <v>18</v>
      </c>
      <c r="BK55" s="117">
        <f t="shared" si="73"/>
        <v>2124000</v>
      </c>
      <c r="BL55" s="345" t="s">
        <v>469</v>
      </c>
      <c r="BN55" s="113"/>
      <c r="BO55" s="113"/>
      <c r="BP55" s="113">
        <f>G55</f>
        <v>2124000</v>
      </c>
      <c r="BQ55" s="113"/>
      <c r="BR55" s="113">
        <f>BN55+BO55+BP55+BQ55</f>
        <v>2124000</v>
      </c>
      <c r="BS55" s="113"/>
      <c r="BT55" s="113"/>
      <c r="BU55" s="125">
        <f>BS55+BT55</f>
        <v>0</v>
      </c>
      <c r="BV55" s="181">
        <f t="shared" si="0"/>
        <v>2124000</v>
      </c>
    </row>
    <row r="56" spans="1:74" x14ac:dyDescent="0.25">
      <c r="A56" s="989"/>
      <c r="B56" s="38"/>
      <c r="C56" s="38" t="s">
        <v>284</v>
      </c>
      <c r="D56" s="38" t="s">
        <v>44</v>
      </c>
      <c r="E56" s="375">
        <v>1000000</v>
      </c>
      <c r="F56" s="38">
        <f>BJ56</f>
        <v>1</v>
      </c>
      <c r="G56" s="438">
        <f>E56*F56</f>
        <v>1000000</v>
      </c>
      <c r="H56" s="438">
        <f>G56*0.2</f>
        <v>200000</v>
      </c>
      <c r="I56" s="438">
        <f>G56*0.8</f>
        <v>800000</v>
      </c>
      <c r="J56" s="438">
        <f>G56*0</f>
        <v>0</v>
      </c>
      <c r="K56" s="438">
        <f>G56*0</f>
        <v>0</v>
      </c>
      <c r="L56" s="438">
        <f>G56*0</f>
        <v>0</v>
      </c>
      <c r="M56" s="438">
        <f>G56*0</f>
        <v>0</v>
      </c>
      <c r="N56" s="438">
        <f>G56*0</f>
        <v>0</v>
      </c>
      <c r="O56" s="85">
        <f>G56*0</f>
        <v>0</v>
      </c>
      <c r="P56" s="85">
        <f>G56*0</f>
        <v>0</v>
      </c>
      <c r="Q56" s="85">
        <f>G56*0</f>
        <v>0</v>
      </c>
      <c r="R56" s="47"/>
      <c r="S56" s="47">
        <f>F56</f>
        <v>1</v>
      </c>
      <c r="T56" s="47"/>
      <c r="U56" s="47"/>
      <c r="V56" s="181">
        <f>R56*E56</f>
        <v>0</v>
      </c>
      <c r="W56" s="181">
        <f>S56*E56</f>
        <v>1000000</v>
      </c>
      <c r="X56" s="181">
        <f>T56*E56</f>
        <v>0</v>
      </c>
      <c r="Y56" s="181">
        <f>U56*E56</f>
        <v>0</v>
      </c>
      <c r="Z56" s="47">
        <v>0</v>
      </c>
      <c r="AA56" s="181">
        <f>Z56*E56</f>
        <v>0</v>
      </c>
      <c r="AB56" s="47">
        <v>0</v>
      </c>
      <c r="AC56" s="181">
        <f t="shared" si="2"/>
        <v>0</v>
      </c>
      <c r="AD56" s="47">
        <v>0</v>
      </c>
      <c r="AE56" s="181">
        <f t="shared" si="3"/>
        <v>0</v>
      </c>
      <c r="AF56" s="47">
        <v>0</v>
      </c>
      <c r="AG56" s="181">
        <f t="shared" si="4"/>
        <v>0</v>
      </c>
      <c r="AH56" s="47">
        <v>0</v>
      </c>
      <c r="AI56" s="181">
        <f t="shared" si="5"/>
        <v>0</v>
      </c>
      <c r="AJ56" s="47">
        <v>0</v>
      </c>
      <c r="AK56" s="181">
        <f t="shared" si="6"/>
        <v>0</v>
      </c>
      <c r="AL56" s="47">
        <v>0</v>
      </c>
      <c r="AM56" s="181">
        <f t="shared" si="7"/>
        <v>0</v>
      </c>
      <c r="AN56" s="47">
        <v>0</v>
      </c>
      <c r="AO56" s="181">
        <f t="shared" si="8"/>
        <v>0</v>
      </c>
      <c r="AP56" s="47">
        <v>0</v>
      </c>
      <c r="AQ56" s="181">
        <f t="shared" si="9"/>
        <v>0</v>
      </c>
      <c r="AR56" s="47">
        <v>0</v>
      </c>
      <c r="AS56" s="181">
        <f t="shared" si="10"/>
        <v>0</v>
      </c>
      <c r="AT56" s="47">
        <v>0</v>
      </c>
      <c r="AU56" s="181">
        <f t="shared" si="11"/>
        <v>0</v>
      </c>
      <c r="AV56" s="47">
        <v>0</v>
      </c>
      <c r="AW56" s="181">
        <f t="shared" si="12"/>
        <v>0</v>
      </c>
      <c r="AX56" s="47">
        <v>0</v>
      </c>
      <c r="AY56" s="181">
        <f t="shared" si="13"/>
        <v>0</v>
      </c>
      <c r="AZ56" s="47">
        <v>0</v>
      </c>
      <c r="BA56" s="181">
        <f t="shared" si="14"/>
        <v>0</v>
      </c>
      <c r="BB56" s="47">
        <v>0</v>
      </c>
      <c r="BC56" s="181">
        <f t="shared" si="15"/>
        <v>0</v>
      </c>
      <c r="BD56" s="47">
        <v>0</v>
      </c>
      <c r="BE56" s="181">
        <f t="shared" si="16"/>
        <v>0</v>
      </c>
      <c r="BF56" s="47">
        <v>0</v>
      </c>
      <c r="BG56" s="181">
        <f t="shared" si="17"/>
        <v>0</v>
      </c>
      <c r="BH56" s="47">
        <v>1</v>
      </c>
      <c r="BI56" s="181">
        <f>BH56*E56</f>
        <v>1000000</v>
      </c>
      <c r="BJ56" s="47">
        <f t="shared" si="73"/>
        <v>1</v>
      </c>
      <c r="BK56" s="117">
        <f t="shared" si="73"/>
        <v>1000000</v>
      </c>
      <c r="BL56" s="345" t="s">
        <v>469</v>
      </c>
      <c r="BN56" s="113"/>
      <c r="BO56" s="113"/>
      <c r="BP56" s="113">
        <f>G56</f>
        <v>1000000</v>
      </c>
      <c r="BQ56" s="113"/>
      <c r="BR56" s="113">
        <f>BN56+BO56+BP56+BQ56</f>
        <v>1000000</v>
      </c>
      <c r="BS56" s="113"/>
      <c r="BT56" s="113"/>
      <c r="BU56" s="125">
        <f>BS56+BT56</f>
        <v>0</v>
      </c>
      <c r="BV56" s="181">
        <f t="shared" si="0"/>
        <v>1000000</v>
      </c>
    </row>
    <row r="57" spans="1:74" x14ac:dyDescent="0.25">
      <c r="A57" s="989"/>
      <c r="B57" s="38"/>
      <c r="C57" s="38" t="s">
        <v>890</v>
      </c>
      <c r="D57" s="38" t="s">
        <v>44</v>
      </c>
      <c r="E57" s="375">
        <v>1800000</v>
      </c>
      <c r="F57" s="38">
        <v>1</v>
      </c>
      <c r="G57" s="438">
        <f>E57*F57</f>
        <v>1800000</v>
      </c>
      <c r="H57" s="438">
        <f>G57*0.2</f>
        <v>360000</v>
      </c>
      <c r="I57" s="438">
        <f>G57*0.8</f>
        <v>1440000</v>
      </c>
      <c r="J57" s="438"/>
      <c r="K57" s="438"/>
      <c r="L57" s="438"/>
      <c r="M57" s="438"/>
      <c r="N57" s="438"/>
      <c r="O57" s="85"/>
      <c r="P57" s="85"/>
      <c r="Q57" s="85"/>
      <c r="R57" s="47"/>
      <c r="S57" s="47"/>
      <c r="T57" s="47"/>
      <c r="U57" s="47">
        <v>1</v>
      </c>
      <c r="V57" s="181"/>
      <c r="W57" s="181"/>
      <c r="X57" s="181"/>
      <c r="Y57" s="181">
        <f>U57*E57</f>
        <v>1800000</v>
      </c>
      <c r="Z57" s="47"/>
      <c r="AA57" s="181"/>
      <c r="AB57" s="47"/>
      <c r="AC57" s="181"/>
      <c r="AD57" s="47"/>
      <c r="AE57" s="181"/>
      <c r="AF57" s="47"/>
      <c r="AG57" s="181"/>
      <c r="AH57" s="47"/>
      <c r="AI57" s="181"/>
      <c r="AJ57" s="47"/>
      <c r="AK57" s="181"/>
      <c r="AL57" s="47"/>
      <c r="AM57" s="181"/>
      <c r="AN57" s="47"/>
      <c r="AO57" s="181"/>
      <c r="AP57" s="47"/>
      <c r="AQ57" s="181"/>
      <c r="AR57" s="47"/>
      <c r="AS57" s="181"/>
      <c r="AT57" s="47"/>
      <c r="AU57" s="181"/>
      <c r="AV57" s="47"/>
      <c r="AW57" s="181"/>
      <c r="AX57" s="47"/>
      <c r="AY57" s="181"/>
      <c r="AZ57" s="47"/>
      <c r="BA57" s="181"/>
      <c r="BB57" s="47"/>
      <c r="BC57" s="181"/>
      <c r="BD57" s="47"/>
      <c r="BE57" s="181"/>
      <c r="BF57" s="47"/>
      <c r="BG57" s="181"/>
      <c r="BH57" s="47">
        <v>1</v>
      </c>
      <c r="BI57" s="181">
        <f>BH57*E57</f>
        <v>1800000</v>
      </c>
      <c r="BJ57" s="47">
        <f t="shared" si="73"/>
        <v>1</v>
      </c>
      <c r="BK57" s="117">
        <f t="shared" si="73"/>
        <v>1800000</v>
      </c>
      <c r="BL57" s="345" t="s">
        <v>469</v>
      </c>
      <c r="BN57" s="113"/>
      <c r="BO57" s="113"/>
      <c r="BP57" s="113"/>
      <c r="BQ57" s="113"/>
      <c r="BR57" s="113"/>
      <c r="BS57" s="113"/>
      <c r="BT57" s="113"/>
      <c r="BU57" s="125"/>
      <c r="BV57" s="181"/>
    </row>
    <row r="58" spans="1:74" ht="31.5" x14ac:dyDescent="0.25">
      <c r="A58" s="989"/>
      <c r="B58" s="38"/>
      <c r="C58" s="38" t="s">
        <v>285</v>
      </c>
      <c r="D58" s="38" t="s">
        <v>151</v>
      </c>
      <c r="E58" s="375">
        <f>5*100000</f>
        <v>500000</v>
      </c>
      <c r="F58" s="38">
        <f>BJ58</f>
        <v>0</v>
      </c>
      <c r="G58" s="438">
        <f>E58*F58</f>
        <v>0</v>
      </c>
      <c r="H58" s="438">
        <f>G58*0.2</f>
        <v>0</v>
      </c>
      <c r="I58" s="438">
        <f>G58*0.8</f>
        <v>0</v>
      </c>
      <c r="J58" s="438">
        <f>G58*0</f>
        <v>0</v>
      </c>
      <c r="K58" s="438">
        <f>G58*0</f>
        <v>0</v>
      </c>
      <c r="L58" s="438">
        <f>G58*0</f>
        <v>0</v>
      </c>
      <c r="M58" s="438">
        <f>G58*0</f>
        <v>0</v>
      </c>
      <c r="N58" s="438">
        <f>G58*0</f>
        <v>0</v>
      </c>
      <c r="O58" s="85">
        <f>G58*0</f>
        <v>0</v>
      </c>
      <c r="P58" s="85">
        <f>G58*0</f>
        <v>0</v>
      </c>
      <c r="Q58" s="85">
        <f>G58*0</f>
        <v>0</v>
      </c>
      <c r="R58" s="47"/>
      <c r="S58" s="47"/>
      <c r="T58" s="47"/>
      <c r="U58" s="47"/>
      <c r="V58" s="181">
        <f>R58*E58</f>
        <v>0</v>
      </c>
      <c r="W58" s="181">
        <f>S58*E58</f>
        <v>0</v>
      </c>
      <c r="X58" s="181">
        <f>T58*E58</f>
        <v>0</v>
      </c>
      <c r="Y58" s="181">
        <f>U58*E58</f>
        <v>0</v>
      </c>
      <c r="Z58" s="47">
        <v>0</v>
      </c>
      <c r="AA58" s="181">
        <f>Z58*E58</f>
        <v>0</v>
      </c>
      <c r="AB58" s="47">
        <v>0</v>
      </c>
      <c r="AC58" s="181">
        <f t="shared" si="2"/>
        <v>0</v>
      </c>
      <c r="AD58" s="47">
        <v>0</v>
      </c>
      <c r="AE58" s="181">
        <f t="shared" si="3"/>
        <v>0</v>
      </c>
      <c r="AF58" s="47">
        <v>0</v>
      </c>
      <c r="AG58" s="181">
        <f t="shared" si="4"/>
        <v>0</v>
      </c>
      <c r="AH58" s="47">
        <v>0</v>
      </c>
      <c r="AI58" s="181">
        <f t="shared" si="5"/>
        <v>0</v>
      </c>
      <c r="AJ58" s="47">
        <v>0</v>
      </c>
      <c r="AK58" s="181">
        <f t="shared" si="6"/>
        <v>0</v>
      </c>
      <c r="AL58" s="47">
        <v>0</v>
      </c>
      <c r="AM58" s="181">
        <f t="shared" si="7"/>
        <v>0</v>
      </c>
      <c r="AN58" s="47">
        <v>0</v>
      </c>
      <c r="AO58" s="181">
        <f t="shared" si="8"/>
        <v>0</v>
      </c>
      <c r="AP58" s="47">
        <v>0</v>
      </c>
      <c r="AQ58" s="181">
        <f t="shared" si="9"/>
        <v>0</v>
      </c>
      <c r="AR58" s="47">
        <v>0</v>
      </c>
      <c r="AS58" s="181">
        <f t="shared" si="10"/>
        <v>0</v>
      </c>
      <c r="AT58" s="47">
        <v>0</v>
      </c>
      <c r="AU58" s="181">
        <f t="shared" si="11"/>
        <v>0</v>
      </c>
      <c r="AV58" s="47">
        <v>0</v>
      </c>
      <c r="AW58" s="181">
        <f t="shared" si="12"/>
        <v>0</v>
      </c>
      <c r="AX58" s="47">
        <v>0</v>
      </c>
      <c r="AY58" s="181">
        <f t="shared" si="13"/>
        <v>0</v>
      </c>
      <c r="AZ58" s="47">
        <v>0</v>
      </c>
      <c r="BA58" s="181">
        <f t="shared" si="14"/>
        <v>0</v>
      </c>
      <c r="BB58" s="47">
        <v>0</v>
      </c>
      <c r="BC58" s="181">
        <f t="shared" si="15"/>
        <v>0</v>
      </c>
      <c r="BD58" s="47">
        <v>0</v>
      </c>
      <c r="BE58" s="181">
        <f t="shared" si="16"/>
        <v>0</v>
      </c>
      <c r="BF58" s="47">
        <v>0</v>
      </c>
      <c r="BG58" s="181">
        <f t="shared" si="17"/>
        <v>0</v>
      </c>
      <c r="BH58" s="47">
        <v>0</v>
      </c>
      <c r="BI58" s="181">
        <f>BH58*E58</f>
        <v>0</v>
      </c>
      <c r="BJ58" s="47">
        <f t="shared" si="73"/>
        <v>0</v>
      </c>
      <c r="BK58" s="117">
        <f t="shared" si="73"/>
        <v>0</v>
      </c>
      <c r="BL58" s="345" t="s">
        <v>469</v>
      </c>
      <c r="BN58" s="113"/>
      <c r="BO58" s="113"/>
      <c r="BP58" s="113">
        <f>G58</f>
        <v>0</v>
      </c>
      <c r="BQ58" s="113"/>
      <c r="BR58" s="113">
        <f>BN58+BO58+BP58+BQ58</f>
        <v>0</v>
      </c>
      <c r="BS58" s="113"/>
      <c r="BT58" s="113"/>
      <c r="BU58" s="125">
        <f>BS58+BT58</f>
        <v>0</v>
      </c>
      <c r="BV58" s="181">
        <f t="shared" si="0"/>
        <v>0</v>
      </c>
    </row>
    <row r="59" spans="1:74" x14ac:dyDescent="0.25">
      <c r="A59" s="989"/>
      <c r="B59" s="38"/>
      <c r="C59" s="38" t="s">
        <v>750</v>
      </c>
      <c r="D59" s="38" t="s">
        <v>151</v>
      </c>
      <c r="E59" s="375">
        <v>100000</v>
      </c>
      <c r="F59" s="38">
        <f>BJ59</f>
        <v>1</v>
      </c>
      <c r="G59" s="438">
        <f>E59*F59</f>
        <v>100000</v>
      </c>
      <c r="H59" s="438">
        <f>G59*0.2</f>
        <v>20000</v>
      </c>
      <c r="I59" s="438">
        <f>G59*0.8</f>
        <v>80000</v>
      </c>
      <c r="J59" s="438">
        <f>G59*0</f>
        <v>0</v>
      </c>
      <c r="K59" s="438">
        <f>G59*0</f>
        <v>0</v>
      </c>
      <c r="L59" s="438">
        <f>G59*0</f>
        <v>0</v>
      </c>
      <c r="M59" s="438">
        <f>G59*0</f>
        <v>0</v>
      </c>
      <c r="N59" s="438">
        <f>G59*0</f>
        <v>0</v>
      </c>
      <c r="O59" s="85">
        <f>G59*0</f>
        <v>0</v>
      </c>
      <c r="P59" s="85">
        <f>G59*0</f>
        <v>0</v>
      </c>
      <c r="Q59" s="85">
        <f>G59*0</f>
        <v>0</v>
      </c>
      <c r="R59" s="47">
        <v>1</v>
      </c>
      <c r="S59" s="47"/>
      <c r="T59" s="47"/>
      <c r="U59" s="47"/>
      <c r="V59" s="181">
        <f>R59*E59</f>
        <v>100000</v>
      </c>
      <c r="W59" s="181">
        <f>S59*E59</f>
        <v>0</v>
      </c>
      <c r="X59" s="181">
        <f>T59*E59</f>
        <v>0</v>
      </c>
      <c r="Y59" s="181">
        <f>U59*E59</f>
        <v>0</v>
      </c>
      <c r="Z59" s="47">
        <v>0</v>
      </c>
      <c r="AA59" s="181">
        <f>Z59*E59</f>
        <v>0</v>
      </c>
      <c r="AB59" s="47">
        <v>0</v>
      </c>
      <c r="AC59" s="181">
        <f t="shared" si="2"/>
        <v>0</v>
      </c>
      <c r="AD59" s="47">
        <v>0</v>
      </c>
      <c r="AE59" s="181">
        <f t="shared" si="3"/>
        <v>0</v>
      </c>
      <c r="AF59" s="47">
        <v>0</v>
      </c>
      <c r="AG59" s="181">
        <f t="shared" si="4"/>
        <v>0</v>
      </c>
      <c r="AH59" s="47">
        <v>0</v>
      </c>
      <c r="AI59" s="181">
        <f t="shared" si="5"/>
        <v>0</v>
      </c>
      <c r="AJ59" s="47">
        <v>0</v>
      </c>
      <c r="AK59" s="181">
        <f t="shared" si="6"/>
        <v>0</v>
      </c>
      <c r="AL59" s="47">
        <v>0</v>
      </c>
      <c r="AM59" s="181">
        <f t="shared" si="7"/>
        <v>0</v>
      </c>
      <c r="AN59" s="47">
        <v>0</v>
      </c>
      <c r="AO59" s="181">
        <f t="shared" si="8"/>
        <v>0</v>
      </c>
      <c r="AP59" s="47">
        <v>0</v>
      </c>
      <c r="AQ59" s="181">
        <f t="shared" si="9"/>
        <v>0</v>
      </c>
      <c r="AR59" s="47">
        <v>0</v>
      </c>
      <c r="AS59" s="181">
        <f t="shared" si="10"/>
        <v>0</v>
      </c>
      <c r="AT59" s="47">
        <v>0</v>
      </c>
      <c r="AU59" s="181">
        <f t="shared" si="11"/>
        <v>0</v>
      </c>
      <c r="AV59" s="47">
        <v>0</v>
      </c>
      <c r="AW59" s="181">
        <f t="shared" si="12"/>
        <v>0</v>
      </c>
      <c r="AX59" s="47">
        <v>0</v>
      </c>
      <c r="AY59" s="181">
        <f t="shared" si="13"/>
        <v>0</v>
      </c>
      <c r="AZ59" s="47">
        <v>0</v>
      </c>
      <c r="BA59" s="181">
        <f t="shared" si="14"/>
        <v>0</v>
      </c>
      <c r="BB59" s="47">
        <v>0</v>
      </c>
      <c r="BC59" s="181">
        <f t="shared" si="15"/>
        <v>0</v>
      </c>
      <c r="BD59" s="47">
        <v>0</v>
      </c>
      <c r="BE59" s="181">
        <f t="shared" si="16"/>
        <v>0</v>
      </c>
      <c r="BF59" s="47">
        <v>0</v>
      </c>
      <c r="BG59" s="181">
        <f t="shared" si="17"/>
        <v>0</v>
      </c>
      <c r="BH59" s="47">
        <v>1</v>
      </c>
      <c r="BI59" s="181">
        <f>BH59*E59</f>
        <v>100000</v>
      </c>
      <c r="BJ59" s="47">
        <f t="shared" si="73"/>
        <v>1</v>
      </c>
      <c r="BK59" s="117">
        <f t="shared" si="73"/>
        <v>100000</v>
      </c>
      <c r="BL59" s="345" t="s">
        <v>469</v>
      </c>
      <c r="BN59" s="113"/>
      <c r="BO59" s="113"/>
      <c r="BP59" s="113">
        <f>G59</f>
        <v>100000</v>
      </c>
      <c r="BQ59" s="113"/>
      <c r="BR59" s="113">
        <f>BN59+BO59+BP59+BQ59</f>
        <v>100000</v>
      </c>
      <c r="BS59" s="113"/>
      <c r="BT59" s="113"/>
      <c r="BU59" s="125">
        <f>BS59+BT59</f>
        <v>0</v>
      </c>
      <c r="BV59" s="181">
        <f t="shared" si="0"/>
        <v>100000</v>
      </c>
    </row>
    <row r="60" spans="1:74" x14ac:dyDescent="0.25">
      <c r="A60" s="989"/>
      <c r="B60" s="439"/>
      <c r="C60" s="439" t="s">
        <v>286</v>
      </c>
      <c r="D60" s="439" t="s">
        <v>282</v>
      </c>
      <c r="E60" s="439" t="s">
        <v>282</v>
      </c>
      <c r="F60" s="439">
        <f>SUM(F55:F59)</f>
        <v>21</v>
      </c>
      <c r="G60" s="440">
        <f>SUM(G55:G59)</f>
        <v>5024000</v>
      </c>
      <c r="H60" s="440">
        <f t="shared" ref="H60:Q60" si="74">SUM(H55:H59)</f>
        <v>1004800</v>
      </c>
      <c r="I60" s="440">
        <f t="shared" si="74"/>
        <v>4019200</v>
      </c>
      <c r="J60" s="440">
        <f t="shared" si="74"/>
        <v>0</v>
      </c>
      <c r="K60" s="440">
        <f t="shared" si="74"/>
        <v>0</v>
      </c>
      <c r="L60" s="440">
        <f t="shared" si="74"/>
        <v>0</v>
      </c>
      <c r="M60" s="440">
        <f t="shared" si="74"/>
        <v>0</v>
      </c>
      <c r="N60" s="440">
        <f t="shared" si="74"/>
        <v>0</v>
      </c>
      <c r="O60" s="440">
        <f t="shared" si="74"/>
        <v>0</v>
      </c>
      <c r="P60" s="440">
        <f t="shared" si="74"/>
        <v>0</v>
      </c>
      <c r="Q60" s="440">
        <f t="shared" si="74"/>
        <v>0</v>
      </c>
      <c r="R60" s="439">
        <f t="shared" ref="R60:BK60" si="75">SUM(R55:R59)</f>
        <v>1</v>
      </c>
      <c r="S60" s="439">
        <f t="shared" si="75"/>
        <v>19</v>
      </c>
      <c r="T60" s="439">
        <f t="shared" si="75"/>
        <v>0</v>
      </c>
      <c r="U60" s="439">
        <f t="shared" si="75"/>
        <v>1</v>
      </c>
      <c r="V60" s="440">
        <f t="shared" si="75"/>
        <v>100000</v>
      </c>
      <c r="W60" s="440">
        <f t="shared" si="75"/>
        <v>3124000</v>
      </c>
      <c r="X60" s="440">
        <f t="shared" si="75"/>
        <v>0</v>
      </c>
      <c r="Y60" s="440">
        <f t="shared" si="75"/>
        <v>1800000</v>
      </c>
      <c r="Z60" s="439">
        <f t="shared" si="75"/>
        <v>0</v>
      </c>
      <c r="AA60" s="440">
        <f t="shared" si="75"/>
        <v>0</v>
      </c>
      <c r="AB60" s="439">
        <f t="shared" si="75"/>
        <v>0</v>
      </c>
      <c r="AC60" s="440">
        <f t="shared" si="75"/>
        <v>0</v>
      </c>
      <c r="AD60" s="439">
        <f t="shared" si="75"/>
        <v>0</v>
      </c>
      <c r="AE60" s="440">
        <f t="shared" si="75"/>
        <v>0</v>
      </c>
      <c r="AF60" s="439">
        <f t="shared" si="75"/>
        <v>0</v>
      </c>
      <c r="AG60" s="440">
        <f t="shared" si="75"/>
        <v>0</v>
      </c>
      <c r="AH60" s="439">
        <f t="shared" si="75"/>
        <v>0</v>
      </c>
      <c r="AI60" s="440">
        <f t="shared" si="75"/>
        <v>0</v>
      </c>
      <c r="AJ60" s="439">
        <f t="shared" si="75"/>
        <v>0</v>
      </c>
      <c r="AK60" s="440">
        <f t="shared" si="75"/>
        <v>0</v>
      </c>
      <c r="AL60" s="439">
        <f t="shared" si="75"/>
        <v>0</v>
      </c>
      <c r="AM60" s="440">
        <f t="shared" si="75"/>
        <v>0</v>
      </c>
      <c r="AN60" s="439">
        <f t="shared" si="75"/>
        <v>0</v>
      </c>
      <c r="AO60" s="440">
        <f t="shared" si="75"/>
        <v>0</v>
      </c>
      <c r="AP60" s="439">
        <f t="shared" si="75"/>
        <v>0</v>
      </c>
      <c r="AQ60" s="440">
        <f t="shared" si="75"/>
        <v>0</v>
      </c>
      <c r="AR60" s="439">
        <f t="shared" si="75"/>
        <v>0</v>
      </c>
      <c r="AS60" s="440">
        <f t="shared" si="75"/>
        <v>0</v>
      </c>
      <c r="AT60" s="439">
        <f t="shared" si="75"/>
        <v>0</v>
      </c>
      <c r="AU60" s="440">
        <f t="shared" si="75"/>
        <v>0</v>
      </c>
      <c r="AV60" s="439">
        <f t="shared" si="75"/>
        <v>0</v>
      </c>
      <c r="AW60" s="440">
        <f t="shared" si="75"/>
        <v>0</v>
      </c>
      <c r="AX60" s="439">
        <f t="shared" si="75"/>
        <v>0</v>
      </c>
      <c r="AY60" s="440">
        <f t="shared" si="75"/>
        <v>0</v>
      </c>
      <c r="AZ60" s="439">
        <f t="shared" si="75"/>
        <v>0</v>
      </c>
      <c r="BA60" s="440">
        <f t="shared" si="75"/>
        <v>0</v>
      </c>
      <c r="BB60" s="439">
        <f t="shared" si="75"/>
        <v>0</v>
      </c>
      <c r="BC60" s="440">
        <f t="shared" si="75"/>
        <v>0</v>
      </c>
      <c r="BD60" s="439">
        <f t="shared" si="75"/>
        <v>0</v>
      </c>
      <c r="BE60" s="440">
        <f t="shared" si="75"/>
        <v>0</v>
      </c>
      <c r="BF60" s="439">
        <f t="shared" si="75"/>
        <v>0</v>
      </c>
      <c r="BG60" s="440">
        <f t="shared" si="75"/>
        <v>0</v>
      </c>
      <c r="BH60" s="439">
        <f t="shared" si="75"/>
        <v>21</v>
      </c>
      <c r="BI60" s="440">
        <f t="shared" si="75"/>
        <v>5024000</v>
      </c>
      <c r="BJ60" s="439">
        <f t="shared" si="75"/>
        <v>21</v>
      </c>
      <c r="BK60" s="441">
        <f t="shared" si="75"/>
        <v>5024000</v>
      </c>
      <c r="BL60" s="47"/>
      <c r="BN60" s="441">
        <f t="shared" ref="BN60:BU60" si="76">SUM(BN55:BN59)</f>
        <v>0</v>
      </c>
      <c r="BO60" s="441">
        <f t="shared" si="76"/>
        <v>0</v>
      </c>
      <c r="BP60" s="441">
        <f t="shared" si="76"/>
        <v>3224000</v>
      </c>
      <c r="BQ60" s="441">
        <f t="shared" si="76"/>
        <v>0</v>
      </c>
      <c r="BR60" s="441">
        <f t="shared" si="76"/>
        <v>3224000</v>
      </c>
      <c r="BS60" s="441">
        <f t="shared" si="76"/>
        <v>0</v>
      </c>
      <c r="BT60" s="441">
        <f t="shared" si="76"/>
        <v>0</v>
      </c>
      <c r="BU60" s="441">
        <f t="shared" si="76"/>
        <v>0</v>
      </c>
      <c r="BV60" s="390">
        <f t="shared" si="0"/>
        <v>3224000</v>
      </c>
    </row>
    <row r="61" spans="1:74" x14ac:dyDescent="0.25">
      <c r="A61" s="989"/>
      <c r="B61" s="38">
        <v>41330</v>
      </c>
      <c r="C61" s="706" t="s">
        <v>287</v>
      </c>
      <c r="D61" s="38"/>
      <c r="E61" s="375"/>
      <c r="F61" s="38"/>
      <c r="G61" s="124"/>
      <c r="H61" s="124"/>
      <c r="I61" s="124"/>
      <c r="J61" s="124"/>
      <c r="K61" s="124"/>
      <c r="L61" s="124"/>
      <c r="M61" s="124"/>
      <c r="N61" s="124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181">
        <f t="shared" si="2"/>
        <v>0</v>
      </c>
      <c r="AD61" s="47"/>
      <c r="AE61" s="181">
        <f t="shared" si="3"/>
        <v>0</v>
      </c>
      <c r="AF61" s="47"/>
      <c r="AG61" s="181">
        <f t="shared" si="4"/>
        <v>0</v>
      </c>
      <c r="AH61" s="47"/>
      <c r="AI61" s="181">
        <f t="shared" si="5"/>
        <v>0</v>
      </c>
      <c r="AJ61" s="47"/>
      <c r="AK61" s="181">
        <f t="shared" si="6"/>
        <v>0</v>
      </c>
      <c r="AL61" s="47"/>
      <c r="AM61" s="181">
        <f t="shared" si="7"/>
        <v>0</v>
      </c>
      <c r="AN61" s="47"/>
      <c r="AO61" s="181">
        <f t="shared" si="8"/>
        <v>0</v>
      </c>
      <c r="AP61" s="47"/>
      <c r="AQ61" s="181">
        <f t="shared" si="9"/>
        <v>0</v>
      </c>
      <c r="AR61" s="47"/>
      <c r="AS61" s="181">
        <f t="shared" si="10"/>
        <v>0</v>
      </c>
      <c r="AT61" s="47"/>
      <c r="AU61" s="181">
        <f t="shared" si="11"/>
        <v>0</v>
      </c>
      <c r="AV61" s="47"/>
      <c r="AW61" s="181">
        <f t="shared" si="12"/>
        <v>0</v>
      </c>
      <c r="AX61" s="47"/>
      <c r="AY61" s="181">
        <f t="shared" si="13"/>
        <v>0</v>
      </c>
      <c r="AZ61" s="47"/>
      <c r="BA61" s="181">
        <f t="shared" si="14"/>
        <v>0</v>
      </c>
      <c r="BB61" s="47"/>
      <c r="BC61" s="181">
        <f t="shared" si="15"/>
        <v>0</v>
      </c>
      <c r="BD61" s="47"/>
      <c r="BE61" s="181">
        <f t="shared" si="16"/>
        <v>0</v>
      </c>
      <c r="BF61" s="47"/>
      <c r="BG61" s="181">
        <f t="shared" si="17"/>
        <v>0</v>
      </c>
      <c r="BH61" s="47"/>
      <c r="BI61" s="47"/>
      <c r="BJ61" s="47"/>
      <c r="BK61" s="124"/>
      <c r="BL61" s="47"/>
      <c r="BN61" s="113"/>
      <c r="BO61" s="113"/>
      <c r="BP61" s="113"/>
      <c r="BQ61" s="113"/>
      <c r="BR61" s="113"/>
      <c r="BS61" s="113"/>
      <c r="BT61" s="113"/>
      <c r="BU61" s="125"/>
      <c r="BV61" s="181">
        <f t="shared" si="0"/>
        <v>0</v>
      </c>
    </row>
    <row r="62" spans="1:74" ht="36.75" customHeight="1" x14ac:dyDescent="0.25">
      <c r="A62" s="989"/>
      <c r="B62" s="38"/>
      <c r="C62" s="171" t="s">
        <v>889</v>
      </c>
      <c r="D62" s="171" t="s">
        <v>17</v>
      </c>
      <c r="E62" s="180">
        <v>6000000</v>
      </c>
      <c r="F62" s="38">
        <f>BJ62</f>
        <v>1</v>
      </c>
      <c r="G62" s="180">
        <f>E62</f>
        <v>6000000</v>
      </c>
      <c r="H62" s="442">
        <f>G62*0.2</f>
        <v>1200000</v>
      </c>
      <c r="I62" s="442">
        <f>G62*0.8</f>
        <v>4800000</v>
      </c>
      <c r="J62" s="442">
        <f>G62*0</f>
        <v>0</v>
      </c>
      <c r="K62" s="442">
        <f>G62*0</f>
        <v>0</v>
      </c>
      <c r="L62" s="442">
        <f>G62*0</f>
        <v>0</v>
      </c>
      <c r="M62" s="442">
        <f>G62*0</f>
        <v>0</v>
      </c>
      <c r="N62" s="442">
        <f>G62*0</f>
        <v>0</v>
      </c>
      <c r="O62" s="134">
        <f>G62*0</f>
        <v>0</v>
      </c>
      <c r="P62" s="134">
        <f>G62*0</f>
        <v>0</v>
      </c>
      <c r="Q62" s="134">
        <f>G62*0</f>
        <v>0</v>
      </c>
      <c r="R62" s="136">
        <v>1</v>
      </c>
      <c r="S62" s="136"/>
      <c r="T62" s="136"/>
      <c r="U62" s="136"/>
      <c r="V62" s="181">
        <f>R62*E62</f>
        <v>6000000</v>
      </c>
      <c r="W62" s="181">
        <f>S62*E62</f>
        <v>0</v>
      </c>
      <c r="X62" s="181">
        <f>T62*E62</f>
        <v>0</v>
      </c>
      <c r="Y62" s="181">
        <f>U62*E62</f>
        <v>0</v>
      </c>
      <c r="Z62" s="136">
        <v>0</v>
      </c>
      <c r="AA62" s="181">
        <f>Z62*E62</f>
        <v>0</v>
      </c>
      <c r="AB62" s="136">
        <v>0</v>
      </c>
      <c r="AC62" s="181">
        <f t="shared" si="2"/>
        <v>0</v>
      </c>
      <c r="AD62" s="136">
        <v>0</v>
      </c>
      <c r="AE62" s="181">
        <f t="shared" si="3"/>
        <v>0</v>
      </c>
      <c r="AF62" s="136">
        <v>0</v>
      </c>
      <c r="AG62" s="181">
        <f t="shared" si="4"/>
        <v>0</v>
      </c>
      <c r="AH62" s="136">
        <v>0</v>
      </c>
      <c r="AI62" s="181">
        <f t="shared" si="5"/>
        <v>0</v>
      </c>
      <c r="AJ62" s="136">
        <v>0</v>
      </c>
      <c r="AK62" s="181">
        <f t="shared" si="6"/>
        <v>0</v>
      </c>
      <c r="AL62" s="136">
        <v>0</v>
      </c>
      <c r="AM62" s="181">
        <f t="shared" si="7"/>
        <v>0</v>
      </c>
      <c r="AN62" s="136">
        <v>0</v>
      </c>
      <c r="AO62" s="181">
        <f t="shared" si="8"/>
        <v>0</v>
      </c>
      <c r="AP62" s="136">
        <v>0</v>
      </c>
      <c r="AQ62" s="181">
        <f t="shared" si="9"/>
        <v>0</v>
      </c>
      <c r="AR62" s="136">
        <v>0</v>
      </c>
      <c r="AS62" s="181">
        <f t="shared" si="10"/>
        <v>0</v>
      </c>
      <c r="AT62" s="136">
        <v>0</v>
      </c>
      <c r="AU62" s="181">
        <f t="shared" si="11"/>
        <v>0</v>
      </c>
      <c r="AV62" s="136">
        <v>0</v>
      </c>
      <c r="AW62" s="181">
        <f t="shared" si="12"/>
        <v>0</v>
      </c>
      <c r="AX62" s="136">
        <v>0</v>
      </c>
      <c r="AY62" s="181">
        <f t="shared" si="13"/>
        <v>0</v>
      </c>
      <c r="AZ62" s="136">
        <v>0</v>
      </c>
      <c r="BA62" s="181">
        <f t="shared" si="14"/>
        <v>0</v>
      </c>
      <c r="BB62" s="136">
        <v>0</v>
      </c>
      <c r="BC62" s="181">
        <f t="shared" si="15"/>
        <v>0</v>
      </c>
      <c r="BD62" s="136">
        <v>0</v>
      </c>
      <c r="BE62" s="181">
        <f t="shared" si="16"/>
        <v>0</v>
      </c>
      <c r="BF62" s="136">
        <v>0</v>
      </c>
      <c r="BG62" s="181">
        <f t="shared" si="17"/>
        <v>0</v>
      </c>
      <c r="BH62" s="180">
        <v>1</v>
      </c>
      <c r="BI62" s="181">
        <f>BH62*E62</f>
        <v>6000000</v>
      </c>
      <c r="BJ62" s="47">
        <f>Z62+AB62+AD62+AF62+AH62+AJ62+AL62+AN62+AP62+AR62+AT62+AV62+AX62+AZ62+BB62+BD62+BF62+BH62</f>
        <v>1</v>
      </c>
      <c r="BK62" s="117">
        <f t="shared" ref="BJ62:BK64" si="77">AA62+AC62+AE62+AG62+AI62+AK62+AM62+AO62+AQ62+AS62+AU62+AW62+AY62+BA62+BC62+BE62+BG62+BI62</f>
        <v>6000000</v>
      </c>
      <c r="BL62" s="345" t="s">
        <v>469</v>
      </c>
      <c r="BN62" s="113"/>
      <c r="BO62" s="113"/>
      <c r="BP62" s="113">
        <f>G62</f>
        <v>6000000</v>
      </c>
      <c r="BQ62" s="113"/>
      <c r="BR62" s="113">
        <f>BN62+BO62+BP62+BQ62</f>
        <v>6000000</v>
      </c>
      <c r="BS62" s="113"/>
      <c r="BT62" s="113"/>
      <c r="BU62" s="125">
        <f>BS62+BT62</f>
        <v>0</v>
      </c>
      <c r="BV62" s="181">
        <f t="shared" si="0"/>
        <v>6000000</v>
      </c>
    </row>
    <row r="63" spans="1:74" x14ac:dyDescent="0.25">
      <c r="A63" s="989"/>
      <c r="B63" s="38"/>
      <c r="C63" s="38" t="s">
        <v>288</v>
      </c>
      <c r="D63" s="38" t="s">
        <v>17</v>
      </c>
      <c r="E63" s="375">
        <v>300000</v>
      </c>
      <c r="F63" s="38">
        <f>BJ63</f>
        <v>1</v>
      </c>
      <c r="G63" s="438">
        <f>E63*F63</f>
        <v>300000</v>
      </c>
      <c r="H63" s="438">
        <f>G63*0.2</f>
        <v>60000</v>
      </c>
      <c r="I63" s="438">
        <f>G63*0.8</f>
        <v>240000</v>
      </c>
      <c r="J63" s="438">
        <f>G63*0</f>
        <v>0</v>
      </c>
      <c r="K63" s="438">
        <f>G63*0</f>
        <v>0</v>
      </c>
      <c r="L63" s="438">
        <f>G63*0</f>
        <v>0</v>
      </c>
      <c r="M63" s="438">
        <f>G63*0</f>
        <v>0</v>
      </c>
      <c r="N63" s="438">
        <f>G63*0</f>
        <v>0</v>
      </c>
      <c r="O63" s="85">
        <f>G63*0</f>
        <v>0</v>
      </c>
      <c r="P63" s="85">
        <f>G63*0</f>
        <v>0</v>
      </c>
      <c r="Q63" s="85">
        <f>G63*0</f>
        <v>0</v>
      </c>
      <c r="R63" s="47"/>
      <c r="S63" s="47">
        <v>1</v>
      </c>
      <c r="T63" s="47"/>
      <c r="U63" s="47"/>
      <c r="V63" s="181">
        <f>R63*E63</f>
        <v>0</v>
      </c>
      <c r="W63" s="181">
        <f>S63*E63</f>
        <v>300000</v>
      </c>
      <c r="X63" s="181">
        <f>T63*E63</f>
        <v>0</v>
      </c>
      <c r="Y63" s="181">
        <f>U63*E63</f>
        <v>0</v>
      </c>
      <c r="Z63" s="47">
        <v>0</v>
      </c>
      <c r="AA63" s="181">
        <f>Z63*E63</f>
        <v>0</v>
      </c>
      <c r="AB63" s="47">
        <v>0</v>
      </c>
      <c r="AC63" s="181">
        <f t="shared" si="2"/>
        <v>0</v>
      </c>
      <c r="AD63" s="47">
        <v>0</v>
      </c>
      <c r="AE63" s="181">
        <f t="shared" si="3"/>
        <v>0</v>
      </c>
      <c r="AF63" s="47">
        <v>0</v>
      </c>
      <c r="AG63" s="181">
        <f t="shared" si="4"/>
        <v>0</v>
      </c>
      <c r="AH63" s="47">
        <v>0</v>
      </c>
      <c r="AI63" s="181">
        <f t="shared" si="5"/>
        <v>0</v>
      </c>
      <c r="AJ63" s="47">
        <v>0</v>
      </c>
      <c r="AK63" s="181">
        <f t="shared" si="6"/>
        <v>0</v>
      </c>
      <c r="AL63" s="47">
        <v>0</v>
      </c>
      <c r="AM63" s="181">
        <f t="shared" si="7"/>
        <v>0</v>
      </c>
      <c r="AN63" s="47">
        <v>0</v>
      </c>
      <c r="AO63" s="181">
        <f t="shared" si="8"/>
        <v>0</v>
      </c>
      <c r="AP63" s="47">
        <v>0</v>
      </c>
      <c r="AQ63" s="181">
        <f t="shared" si="9"/>
        <v>0</v>
      </c>
      <c r="AR63" s="47">
        <v>0</v>
      </c>
      <c r="AS63" s="181">
        <f t="shared" si="10"/>
        <v>0</v>
      </c>
      <c r="AT63" s="47">
        <v>0</v>
      </c>
      <c r="AU63" s="181">
        <f t="shared" si="11"/>
        <v>0</v>
      </c>
      <c r="AV63" s="47">
        <v>0</v>
      </c>
      <c r="AW63" s="181">
        <f t="shared" si="12"/>
        <v>0</v>
      </c>
      <c r="AX63" s="47">
        <v>0</v>
      </c>
      <c r="AY63" s="181">
        <f t="shared" si="13"/>
        <v>0</v>
      </c>
      <c r="AZ63" s="47">
        <v>0</v>
      </c>
      <c r="BA63" s="181">
        <f t="shared" si="14"/>
        <v>0</v>
      </c>
      <c r="BB63" s="47">
        <v>0</v>
      </c>
      <c r="BC63" s="181">
        <f t="shared" si="15"/>
        <v>0</v>
      </c>
      <c r="BD63" s="47">
        <v>0</v>
      </c>
      <c r="BE63" s="181">
        <f t="shared" si="16"/>
        <v>0</v>
      </c>
      <c r="BF63" s="47">
        <v>0</v>
      </c>
      <c r="BG63" s="181">
        <f t="shared" si="17"/>
        <v>0</v>
      </c>
      <c r="BH63" s="47">
        <v>1</v>
      </c>
      <c r="BI63" s="181">
        <f>BH63*E63</f>
        <v>300000</v>
      </c>
      <c r="BJ63" s="47">
        <f t="shared" si="77"/>
        <v>1</v>
      </c>
      <c r="BK63" s="117">
        <f t="shared" si="77"/>
        <v>300000</v>
      </c>
      <c r="BL63" s="345" t="s">
        <v>469</v>
      </c>
      <c r="BN63" s="113"/>
      <c r="BO63" s="113"/>
      <c r="BP63" s="113">
        <f>G63</f>
        <v>300000</v>
      </c>
      <c r="BQ63" s="113"/>
      <c r="BR63" s="113">
        <f>BN63+BO63+BP63+BQ63</f>
        <v>300000</v>
      </c>
      <c r="BS63" s="113"/>
      <c r="BT63" s="113"/>
      <c r="BU63" s="125">
        <f>BS63+BT63</f>
        <v>0</v>
      </c>
      <c r="BV63" s="181">
        <f t="shared" si="0"/>
        <v>300000</v>
      </c>
    </row>
    <row r="64" spans="1:74" ht="41.25" customHeight="1" x14ac:dyDescent="0.25">
      <c r="A64" s="989"/>
      <c r="B64" s="38"/>
      <c r="C64" s="38" t="s">
        <v>289</v>
      </c>
      <c r="D64" s="38" t="s">
        <v>17</v>
      </c>
      <c r="E64" s="375">
        <f>5*100000</f>
        <v>500000</v>
      </c>
      <c r="F64" s="38">
        <f>BJ64</f>
        <v>0</v>
      </c>
      <c r="G64" s="438">
        <f>E64*F64</f>
        <v>0</v>
      </c>
      <c r="H64" s="438">
        <f>G64*0.2</f>
        <v>0</v>
      </c>
      <c r="I64" s="438">
        <f>G64*0.8</f>
        <v>0</v>
      </c>
      <c r="J64" s="438">
        <f>G64*0</f>
        <v>0</v>
      </c>
      <c r="K64" s="438">
        <f>G64*0</f>
        <v>0</v>
      </c>
      <c r="L64" s="438">
        <f>G64*0</f>
        <v>0</v>
      </c>
      <c r="M64" s="438">
        <f>G64*0</f>
        <v>0</v>
      </c>
      <c r="N64" s="438">
        <f>G64*0</f>
        <v>0</v>
      </c>
      <c r="O64" s="85">
        <f>G64*0</f>
        <v>0</v>
      </c>
      <c r="P64" s="85">
        <f>G64*0</f>
        <v>0</v>
      </c>
      <c r="Q64" s="85">
        <f>G64*0</f>
        <v>0</v>
      </c>
      <c r="R64" s="47"/>
      <c r="S64" s="47"/>
      <c r="T64" s="47"/>
      <c r="U64" s="47"/>
      <c r="V64" s="181">
        <f>R64*E64</f>
        <v>0</v>
      </c>
      <c r="W64" s="181">
        <f>S64*E64</f>
        <v>0</v>
      </c>
      <c r="X64" s="181">
        <f>T64*E64</f>
        <v>0</v>
      </c>
      <c r="Y64" s="181">
        <f>U64*E64</f>
        <v>0</v>
      </c>
      <c r="Z64" s="47">
        <v>0</v>
      </c>
      <c r="AA64" s="181">
        <f>Z64*E64</f>
        <v>0</v>
      </c>
      <c r="AB64" s="47">
        <v>0</v>
      </c>
      <c r="AC64" s="181">
        <f t="shared" si="2"/>
        <v>0</v>
      </c>
      <c r="AD64" s="47">
        <v>0</v>
      </c>
      <c r="AE64" s="181">
        <f t="shared" si="3"/>
        <v>0</v>
      </c>
      <c r="AF64" s="47">
        <v>0</v>
      </c>
      <c r="AG64" s="181">
        <f t="shared" si="4"/>
        <v>0</v>
      </c>
      <c r="AH64" s="47">
        <v>0</v>
      </c>
      <c r="AI64" s="181">
        <f t="shared" si="5"/>
        <v>0</v>
      </c>
      <c r="AJ64" s="47">
        <v>0</v>
      </c>
      <c r="AK64" s="181">
        <f t="shared" si="6"/>
        <v>0</v>
      </c>
      <c r="AL64" s="47">
        <v>0</v>
      </c>
      <c r="AM64" s="181">
        <f t="shared" si="7"/>
        <v>0</v>
      </c>
      <c r="AN64" s="47">
        <v>0</v>
      </c>
      <c r="AO64" s="181">
        <f t="shared" si="8"/>
        <v>0</v>
      </c>
      <c r="AP64" s="47">
        <v>0</v>
      </c>
      <c r="AQ64" s="181">
        <f t="shared" si="9"/>
        <v>0</v>
      </c>
      <c r="AR64" s="47">
        <v>0</v>
      </c>
      <c r="AS64" s="181">
        <f t="shared" si="10"/>
        <v>0</v>
      </c>
      <c r="AT64" s="47">
        <v>0</v>
      </c>
      <c r="AU64" s="181">
        <f t="shared" si="11"/>
        <v>0</v>
      </c>
      <c r="AV64" s="47">
        <v>0</v>
      </c>
      <c r="AW64" s="181">
        <f t="shared" si="12"/>
        <v>0</v>
      </c>
      <c r="AX64" s="47">
        <v>0</v>
      </c>
      <c r="AY64" s="181">
        <f t="shared" si="13"/>
        <v>0</v>
      </c>
      <c r="AZ64" s="47">
        <v>0</v>
      </c>
      <c r="BA64" s="181">
        <f t="shared" si="14"/>
        <v>0</v>
      </c>
      <c r="BB64" s="47">
        <v>0</v>
      </c>
      <c r="BC64" s="181">
        <f t="shared" si="15"/>
        <v>0</v>
      </c>
      <c r="BD64" s="47">
        <v>0</v>
      </c>
      <c r="BE64" s="181">
        <f t="shared" si="16"/>
        <v>0</v>
      </c>
      <c r="BF64" s="47">
        <v>0</v>
      </c>
      <c r="BG64" s="181">
        <f t="shared" si="17"/>
        <v>0</v>
      </c>
      <c r="BH64" s="47">
        <v>0</v>
      </c>
      <c r="BI64" s="181">
        <f>BH64*E64</f>
        <v>0</v>
      </c>
      <c r="BJ64" s="47">
        <f t="shared" si="77"/>
        <v>0</v>
      </c>
      <c r="BK64" s="117">
        <f t="shared" si="77"/>
        <v>0</v>
      </c>
      <c r="BL64" s="345" t="s">
        <v>469</v>
      </c>
      <c r="BN64" s="113"/>
      <c r="BO64" s="113"/>
      <c r="BP64" s="113">
        <f>G64</f>
        <v>0</v>
      </c>
      <c r="BQ64" s="113"/>
      <c r="BR64" s="113">
        <f>BN64+BO64+BP64+BQ64</f>
        <v>0</v>
      </c>
      <c r="BS64" s="113"/>
      <c r="BT64" s="113"/>
      <c r="BU64" s="125">
        <f>BS64+BT64</f>
        <v>0</v>
      </c>
      <c r="BV64" s="181">
        <f t="shared" si="0"/>
        <v>0</v>
      </c>
    </row>
    <row r="65" spans="1:74" ht="31.5" x14ac:dyDescent="0.25">
      <c r="A65" s="989"/>
      <c r="B65" s="439"/>
      <c r="C65" s="439" t="s">
        <v>290</v>
      </c>
      <c r="D65" s="439" t="s">
        <v>282</v>
      </c>
      <c r="E65" s="439" t="s">
        <v>282</v>
      </c>
      <c r="F65" s="439">
        <f>SUM(F62:F64)</f>
        <v>2</v>
      </c>
      <c r="G65" s="440">
        <f>SUM(G62:G64)</f>
        <v>6300000</v>
      </c>
      <c r="H65" s="440">
        <f t="shared" ref="H65:Q65" si="78">SUM(H62:H64)</f>
        <v>1260000</v>
      </c>
      <c r="I65" s="440">
        <f t="shared" si="78"/>
        <v>5040000</v>
      </c>
      <c r="J65" s="440">
        <f t="shared" si="78"/>
        <v>0</v>
      </c>
      <c r="K65" s="440">
        <f t="shared" si="78"/>
        <v>0</v>
      </c>
      <c r="L65" s="440">
        <f t="shared" si="78"/>
        <v>0</v>
      </c>
      <c r="M65" s="440">
        <f t="shared" si="78"/>
        <v>0</v>
      </c>
      <c r="N65" s="440">
        <f t="shared" si="78"/>
        <v>0</v>
      </c>
      <c r="O65" s="440">
        <f t="shared" si="78"/>
        <v>0</v>
      </c>
      <c r="P65" s="440">
        <f t="shared" si="78"/>
        <v>0</v>
      </c>
      <c r="Q65" s="440">
        <f t="shared" si="78"/>
        <v>0</v>
      </c>
      <c r="R65" s="439">
        <f t="shared" ref="R65:BK65" si="79">SUM(R62:R64)</f>
        <v>1</v>
      </c>
      <c r="S65" s="439">
        <f t="shared" si="79"/>
        <v>1</v>
      </c>
      <c r="T65" s="439">
        <f t="shared" si="79"/>
        <v>0</v>
      </c>
      <c r="U65" s="439">
        <f t="shared" si="79"/>
        <v>0</v>
      </c>
      <c r="V65" s="440">
        <f t="shared" si="79"/>
        <v>6000000</v>
      </c>
      <c r="W65" s="440">
        <f t="shared" si="79"/>
        <v>300000</v>
      </c>
      <c r="X65" s="440">
        <f t="shared" si="79"/>
        <v>0</v>
      </c>
      <c r="Y65" s="440">
        <f t="shared" si="79"/>
        <v>0</v>
      </c>
      <c r="Z65" s="439">
        <f t="shared" si="79"/>
        <v>0</v>
      </c>
      <c r="AA65" s="440">
        <f t="shared" si="79"/>
        <v>0</v>
      </c>
      <c r="AB65" s="439">
        <f t="shared" si="79"/>
        <v>0</v>
      </c>
      <c r="AC65" s="440">
        <f t="shared" si="79"/>
        <v>0</v>
      </c>
      <c r="AD65" s="439">
        <f t="shared" si="79"/>
        <v>0</v>
      </c>
      <c r="AE65" s="440">
        <f t="shared" si="79"/>
        <v>0</v>
      </c>
      <c r="AF65" s="439">
        <f t="shared" si="79"/>
        <v>0</v>
      </c>
      <c r="AG65" s="440">
        <f t="shared" si="79"/>
        <v>0</v>
      </c>
      <c r="AH65" s="439">
        <f t="shared" si="79"/>
        <v>0</v>
      </c>
      <c r="AI65" s="440">
        <f t="shared" si="79"/>
        <v>0</v>
      </c>
      <c r="AJ65" s="439">
        <f t="shared" si="79"/>
        <v>0</v>
      </c>
      <c r="AK65" s="440">
        <f t="shared" si="79"/>
        <v>0</v>
      </c>
      <c r="AL65" s="439">
        <f t="shared" si="79"/>
        <v>0</v>
      </c>
      <c r="AM65" s="440">
        <f t="shared" si="79"/>
        <v>0</v>
      </c>
      <c r="AN65" s="439">
        <f t="shared" si="79"/>
        <v>0</v>
      </c>
      <c r="AO65" s="440">
        <f t="shared" si="79"/>
        <v>0</v>
      </c>
      <c r="AP65" s="439">
        <f t="shared" si="79"/>
        <v>0</v>
      </c>
      <c r="AQ65" s="440">
        <f t="shared" si="79"/>
        <v>0</v>
      </c>
      <c r="AR65" s="439">
        <f t="shared" si="79"/>
        <v>0</v>
      </c>
      <c r="AS65" s="440">
        <f t="shared" si="79"/>
        <v>0</v>
      </c>
      <c r="AT65" s="439">
        <f t="shared" si="79"/>
        <v>0</v>
      </c>
      <c r="AU65" s="440">
        <f t="shared" si="79"/>
        <v>0</v>
      </c>
      <c r="AV65" s="439">
        <f t="shared" si="79"/>
        <v>0</v>
      </c>
      <c r="AW65" s="440">
        <f t="shared" si="79"/>
        <v>0</v>
      </c>
      <c r="AX65" s="439">
        <f t="shared" si="79"/>
        <v>0</v>
      </c>
      <c r="AY65" s="440">
        <f t="shared" si="79"/>
        <v>0</v>
      </c>
      <c r="AZ65" s="439">
        <f t="shared" si="79"/>
        <v>0</v>
      </c>
      <c r="BA65" s="440">
        <f t="shared" si="79"/>
        <v>0</v>
      </c>
      <c r="BB65" s="439">
        <f t="shared" si="79"/>
        <v>0</v>
      </c>
      <c r="BC65" s="440">
        <f t="shared" si="79"/>
        <v>0</v>
      </c>
      <c r="BD65" s="439">
        <f t="shared" si="79"/>
        <v>0</v>
      </c>
      <c r="BE65" s="440">
        <f t="shared" si="79"/>
        <v>0</v>
      </c>
      <c r="BF65" s="439">
        <f t="shared" si="79"/>
        <v>0</v>
      </c>
      <c r="BG65" s="440">
        <f t="shared" si="79"/>
        <v>0</v>
      </c>
      <c r="BH65" s="439">
        <f t="shared" si="79"/>
        <v>2</v>
      </c>
      <c r="BI65" s="440">
        <f>SUM(BI62:BI64)</f>
        <v>6300000</v>
      </c>
      <c r="BJ65" s="439">
        <f>SUM(BJ62:BJ64)</f>
        <v>2</v>
      </c>
      <c r="BK65" s="441">
        <f t="shared" si="79"/>
        <v>6300000</v>
      </c>
      <c r="BL65" s="47"/>
      <c r="BN65" s="441">
        <f t="shared" ref="BN65:BU65" si="80">SUM(BN62:BN64)</f>
        <v>0</v>
      </c>
      <c r="BO65" s="441">
        <f t="shared" si="80"/>
        <v>0</v>
      </c>
      <c r="BP65" s="441">
        <f t="shared" si="80"/>
        <v>6300000</v>
      </c>
      <c r="BQ65" s="441">
        <f t="shared" si="80"/>
        <v>0</v>
      </c>
      <c r="BR65" s="441">
        <f t="shared" si="80"/>
        <v>6300000</v>
      </c>
      <c r="BS65" s="441">
        <f t="shared" si="80"/>
        <v>0</v>
      </c>
      <c r="BT65" s="441">
        <f t="shared" si="80"/>
        <v>0</v>
      </c>
      <c r="BU65" s="441">
        <f t="shared" si="80"/>
        <v>0</v>
      </c>
      <c r="BV65" s="390">
        <f t="shared" si="0"/>
        <v>6300000</v>
      </c>
    </row>
    <row r="66" spans="1:74" x14ac:dyDescent="0.25">
      <c r="A66" s="989"/>
      <c r="B66" s="38"/>
      <c r="C66" s="443" t="s">
        <v>291</v>
      </c>
      <c r="D66" s="443"/>
      <c r="E66" s="443"/>
      <c r="F66" s="444">
        <f>F65+F60+F53</f>
        <v>26</v>
      </c>
      <c r="G66" s="129">
        <f>G65+G60+G53</f>
        <v>14824000</v>
      </c>
      <c r="H66" s="129">
        <f t="shared" ref="H66:Q66" si="81">H65+H60+H53</f>
        <v>2964800</v>
      </c>
      <c r="I66" s="129">
        <f t="shared" si="81"/>
        <v>11859200</v>
      </c>
      <c r="J66" s="129">
        <f t="shared" si="81"/>
        <v>0</v>
      </c>
      <c r="K66" s="129">
        <f t="shared" si="81"/>
        <v>0</v>
      </c>
      <c r="L66" s="129">
        <f t="shared" si="81"/>
        <v>0</v>
      </c>
      <c r="M66" s="129">
        <f t="shared" si="81"/>
        <v>0</v>
      </c>
      <c r="N66" s="129">
        <f t="shared" si="81"/>
        <v>0</v>
      </c>
      <c r="O66" s="129">
        <f t="shared" si="81"/>
        <v>0</v>
      </c>
      <c r="P66" s="129">
        <f t="shared" si="81"/>
        <v>0</v>
      </c>
      <c r="Q66" s="129">
        <f t="shared" si="81"/>
        <v>0</v>
      </c>
      <c r="R66" s="444">
        <f t="shared" ref="R66:BK66" si="82">R65+R60+R53</f>
        <v>2</v>
      </c>
      <c r="S66" s="444">
        <f t="shared" si="82"/>
        <v>21</v>
      </c>
      <c r="T66" s="444">
        <f t="shared" si="82"/>
        <v>1</v>
      </c>
      <c r="U66" s="444">
        <f t="shared" si="82"/>
        <v>2</v>
      </c>
      <c r="V66" s="129">
        <f t="shared" si="82"/>
        <v>6100000</v>
      </c>
      <c r="W66" s="129">
        <f t="shared" si="82"/>
        <v>5924000</v>
      </c>
      <c r="X66" s="129">
        <f t="shared" si="82"/>
        <v>500000</v>
      </c>
      <c r="Y66" s="129">
        <f t="shared" si="82"/>
        <v>2300000</v>
      </c>
      <c r="Z66" s="444">
        <f t="shared" si="82"/>
        <v>0</v>
      </c>
      <c r="AA66" s="129">
        <f t="shared" si="82"/>
        <v>0</v>
      </c>
      <c r="AB66" s="444">
        <f t="shared" si="82"/>
        <v>0</v>
      </c>
      <c r="AC66" s="129">
        <f t="shared" si="82"/>
        <v>0</v>
      </c>
      <c r="AD66" s="444">
        <f t="shared" si="82"/>
        <v>0</v>
      </c>
      <c r="AE66" s="129">
        <f t="shared" si="82"/>
        <v>0</v>
      </c>
      <c r="AF66" s="444">
        <f t="shared" si="82"/>
        <v>0</v>
      </c>
      <c r="AG66" s="129">
        <f t="shared" si="82"/>
        <v>0</v>
      </c>
      <c r="AH66" s="444">
        <f t="shared" si="82"/>
        <v>0</v>
      </c>
      <c r="AI66" s="129">
        <f t="shared" si="82"/>
        <v>0</v>
      </c>
      <c r="AJ66" s="444">
        <f t="shared" si="82"/>
        <v>0</v>
      </c>
      <c r="AK66" s="129">
        <f t="shared" si="82"/>
        <v>0</v>
      </c>
      <c r="AL66" s="444">
        <f t="shared" si="82"/>
        <v>0</v>
      </c>
      <c r="AM66" s="129">
        <f t="shared" si="82"/>
        <v>0</v>
      </c>
      <c r="AN66" s="444">
        <f t="shared" si="82"/>
        <v>0</v>
      </c>
      <c r="AO66" s="129">
        <f t="shared" si="82"/>
        <v>0</v>
      </c>
      <c r="AP66" s="444">
        <f t="shared" si="82"/>
        <v>0</v>
      </c>
      <c r="AQ66" s="129">
        <f t="shared" si="82"/>
        <v>0</v>
      </c>
      <c r="AR66" s="444">
        <f t="shared" si="82"/>
        <v>0</v>
      </c>
      <c r="AS66" s="129">
        <f t="shared" si="82"/>
        <v>0</v>
      </c>
      <c r="AT66" s="444">
        <f t="shared" si="82"/>
        <v>0</v>
      </c>
      <c r="AU66" s="129">
        <f t="shared" si="82"/>
        <v>0</v>
      </c>
      <c r="AV66" s="444">
        <f t="shared" si="82"/>
        <v>0</v>
      </c>
      <c r="AW66" s="129">
        <f t="shared" si="82"/>
        <v>0</v>
      </c>
      <c r="AX66" s="444">
        <f t="shared" si="82"/>
        <v>0</v>
      </c>
      <c r="AY66" s="129">
        <f t="shared" si="82"/>
        <v>0</v>
      </c>
      <c r="AZ66" s="444">
        <f t="shared" si="82"/>
        <v>0</v>
      </c>
      <c r="BA66" s="129">
        <f t="shared" si="82"/>
        <v>0</v>
      </c>
      <c r="BB66" s="444">
        <f t="shared" si="82"/>
        <v>0</v>
      </c>
      <c r="BC66" s="129">
        <f t="shared" si="82"/>
        <v>0</v>
      </c>
      <c r="BD66" s="444">
        <f t="shared" si="82"/>
        <v>0</v>
      </c>
      <c r="BE66" s="129">
        <f t="shared" si="82"/>
        <v>0</v>
      </c>
      <c r="BF66" s="444">
        <f t="shared" si="82"/>
        <v>0</v>
      </c>
      <c r="BG66" s="129">
        <f t="shared" si="82"/>
        <v>0</v>
      </c>
      <c r="BH66" s="444">
        <f t="shared" si="82"/>
        <v>26</v>
      </c>
      <c r="BI66" s="129">
        <f t="shared" si="82"/>
        <v>14824000</v>
      </c>
      <c r="BJ66" s="444">
        <f t="shared" si="82"/>
        <v>26</v>
      </c>
      <c r="BK66" s="445">
        <f t="shared" si="82"/>
        <v>14824000</v>
      </c>
      <c r="BL66" s="47"/>
      <c r="BN66" s="445">
        <f t="shared" ref="BN66:BU66" si="83">BN65+BN60+BN53</f>
        <v>0</v>
      </c>
      <c r="BO66" s="445">
        <f t="shared" si="83"/>
        <v>0</v>
      </c>
      <c r="BP66" s="445">
        <f t="shared" si="83"/>
        <v>13024000</v>
      </c>
      <c r="BQ66" s="445">
        <f t="shared" si="83"/>
        <v>0</v>
      </c>
      <c r="BR66" s="445">
        <f t="shared" si="83"/>
        <v>13024000</v>
      </c>
      <c r="BS66" s="445">
        <f t="shared" si="83"/>
        <v>0</v>
      </c>
      <c r="BT66" s="445">
        <f t="shared" si="83"/>
        <v>0</v>
      </c>
      <c r="BU66" s="445">
        <f t="shared" si="83"/>
        <v>0</v>
      </c>
      <c r="BV66" s="446">
        <f t="shared" si="0"/>
        <v>13024000</v>
      </c>
    </row>
    <row r="67" spans="1:74" ht="31.5" x14ac:dyDescent="0.25">
      <c r="A67" s="989"/>
      <c r="B67" s="216">
        <v>41400</v>
      </c>
      <c r="C67" s="216" t="s">
        <v>292</v>
      </c>
      <c r="D67" s="38"/>
      <c r="E67" s="375"/>
      <c r="F67" s="38"/>
      <c r="G67" s="124"/>
      <c r="H67" s="124"/>
      <c r="I67" s="124"/>
      <c r="J67" s="124"/>
      <c r="K67" s="124"/>
      <c r="L67" s="124"/>
      <c r="M67" s="124"/>
      <c r="N67" s="124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181">
        <f t="shared" si="2"/>
        <v>0</v>
      </c>
      <c r="AD67" s="47"/>
      <c r="AE67" s="181">
        <f t="shared" si="3"/>
        <v>0</v>
      </c>
      <c r="AF67" s="47"/>
      <c r="AG67" s="181">
        <f t="shared" si="4"/>
        <v>0</v>
      </c>
      <c r="AH67" s="47"/>
      <c r="AI67" s="181">
        <f t="shared" si="5"/>
        <v>0</v>
      </c>
      <c r="AJ67" s="47"/>
      <c r="AK67" s="181">
        <f t="shared" si="6"/>
        <v>0</v>
      </c>
      <c r="AL67" s="47"/>
      <c r="AM67" s="181">
        <f t="shared" si="7"/>
        <v>0</v>
      </c>
      <c r="AN67" s="47"/>
      <c r="AO67" s="181">
        <f t="shared" si="8"/>
        <v>0</v>
      </c>
      <c r="AP67" s="47"/>
      <c r="AQ67" s="181">
        <f t="shared" si="9"/>
        <v>0</v>
      </c>
      <c r="AR67" s="47"/>
      <c r="AS67" s="181">
        <f t="shared" si="10"/>
        <v>0</v>
      </c>
      <c r="AT67" s="47"/>
      <c r="AU67" s="181">
        <f t="shared" si="11"/>
        <v>0</v>
      </c>
      <c r="AV67" s="47"/>
      <c r="AW67" s="181">
        <f t="shared" si="12"/>
        <v>0</v>
      </c>
      <c r="AX67" s="47"/>
      <c r="AY67" s="181">
        <f t="shared" si="13"/>
        <v>0</v>
      </c>
      <c r="AZ67" s="47"/>
      <c r="BA67" s="181">
        <f t="shared" si="14"/>
        <v>0</v>
      </c>
      <c r="BB67" s="47"/>
      <c r="BC67" s="181">
        <f t="shared" si="15"/>
        <v>0</v>
      </c>
      <c r="BD67" s="47"/>
      <c r="BE67" s="181">
        <f t="shared" si="16"/>
        <v>0</v>
      </c>
      <c r="BF67" s="47"/>
      <c r="BG67" s="181">
        <f t="shared" si="17"/>
        <v>0</v>
      </c>
      <c r="BH67" s="47"/>
      <c r="BI67" s="47"/>
      <c r="BJ67" s="47"/>
      <c r="BK67" s="124"/>
      <c r="BL67" s="47"/>
      <c r="BN67" s="113"/>
      <c r="BO67" s="113"/>
      <c r="BP67" s="113"/>
      <c r="BQ67" s="113"/>
      <c r="BR67" s="113"/>
      <c r="BS67" s="113"/>
      <c r="BT67" s="113"/>
      <c r="BU67" s="125"/>
      <c r="BV67" s="181">
        <f t="shared" si="0"/>
        <v>0</v>
      </c>
    </row>
    <row r="68" spans="1:74" x14ac:dyDescent="0.25">
      <c r="A68" s="989"/>
      <c r="B68" s="38">
        <v>41410</v>
      </c>
      <c r="C68" s="391" t="s">
        <v>293</v>
      </c>
      <c r="D68" s="38"/>
      <c r="E68" s="375"/>
      <c r="F68" s="38"/>
      <c r="G68" s="124"/>
      <c r="H68" s="124"/>
      <c r="I68" s="124"/>
      <c r="J68" s="124"/>
      <c r="K68" s="124"/>
      <c r="L68" s="124"/>
      <c r="M68" s="124"/>
      <c r="N68" s="124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81">
        <f t="shared" si="2"/>
        <v>0</v>
      </c>
      <c r="AD68" s="47"/>
      <c r="AE68" s="181">
        <f t="shared" si="3"/>
        <v>0</v>
      </c>
      <c r="AF68" s="47"/>
      <c r="AG68" s="181">
        <f t="shared" si="4"/>
        <v>0</v>
      </c>
      <c r="AH68" s="47"/>
      <c r="AI68" s="181">
        <f t="shared" si="5"/>
        <v>0</v>
      </c>
      <c r="AJ68" s="47"/>
      <c r="AK68" s="181">
        <f t="shared" si="6"/>
        <v>0</v>
      </c>
      <c r="AL68" s="47"/>
      <c r="AM68" s="181">
        <f t="shared" si="7"/>
        <v>0</v>
      </c>
      <c r="AN68" s="47"/>
      <c r="AO68" s="181">
        <f t="shared" si="8"/>
        <v>0</v>
      </c>
      <c r="AP68" s="47"/>
      <c r="AQ68" s="181">
        <f t="shared" si="9"/>
        <v>0</v>
      </c>
      <c r="AR68" s="47"/>
      <c r="AS68" s="181">
        <f t="shared" si="10"/>
        <v>0</v>
      </c>
      <c r="AT68" s="47"/>
      <c r="AU68" s="181">
        <f t="shared" si="11"/>
        <v>0</v>
      </c>
      <c r="AV68" s="47"/>
      <c r="AW68" s="181">
        <f t="shared" si="12"/>
        <v>0</v>
      </c>
      <c r="AX68" s="47"/>
      <c r="AY68" s="181">
        <f t="shared" si="13"/>
        <v>0</v>
      </c>
      <c r="AZ68" s="47"/>
      <c r="BA68" s="181">
        <f t="shared" si="14"/>
        <v>0</v>
      </c>
      <c r="BB68" s="47"/>
      <c r="BC68" s="181">
        <f t="shared" si="15"/>
        <v>0</v>
      </c>
      <c r="BD68" s="47"/>
      <c r="BE68" s="181">
        <f t="shared" si="16"/>
        <v>0</v>
      </c>
      <c r="BF68" s="47"/>
      <c r="BG68" s="181">
        <f t="shared" si="17"/>
        <v>0</v>
      </c>
      <c r="BH68" s="47"/>
      <c r="BI68" s="47"/>
      <c r="BJ68" s="47"/>
      <c r="BK68" s="124"/>
      <c r="BL68" s="47"/>
      <c r="BN68" s="113"/>
      <c r="BO68" s="113"/>
      <c r="BP68" s="113"/>
      <c r="BQ68" s="113"/>
      <c r="BR68" s="113"/>
      <c r="BS68" s="113"/>
      <c r="BT68" s="113"/>
      <c r="BU68" s="125"/>
      <c r="BV68" s="181">
        <f t="shared" si="0"/>
        <v>0</v>
      </c>
    </row>
    <row r="69" spans="1:74" x14ac:dyDescent="0.25">
      <c r="A69" s="989"/>
      <c r="B69" s="38"/>
      <c r="C69" s="38" t="s">
        <v>294</v>
      </c>
      <c r="D69" s="38" t="s">
        <v>73</v>
      </c>
      <c r="E69" s="375">
        <v>100000</v>
      </c>
      <c r="F69" s="38">
        <f>BH69</f>
        <v>12</v>
      </c>
      <c r="G69" s="438">
        <f t="shared" ref="G69:G86" si="84">E69*F69</f>
        <v>1200000</v>
      </c>
      <c r="H69" s="438">
        <f>G69*0.5</f>
        <v>600000</v>
      </c>
      <c r="I69" s="438">
        <f>G69*0.5</f>
        <v>600000</v>
      </c>
      <c r="J69" s="438">
        <f t="shared" ref="J69:J86" si="85">G69*0</f>
        <v>0</v>
      </c>
      <c r="K69" s="438">
        <f t="shared" ref="K69:K86" si="86">G69*0</f>
        <v>0</v>
      </c>
      <c r="L69" s="438">
        <f t="shared" ref="L69:L86" si="87">G69*0</f>
        <v>0</v>
      </c>
      <c r="M69" s="438">
        <f t="shared" ref="M69:M86" si="88">G69*0</f>
        <v>0</v>
      </c>
      <c r="N69" s="438">
        <f t="shared" ref="N69:N86" si="89">G69*0</f>
        <v>0</v>
      </c>
      <c r="O69" s="85">
        <f t="shared" ref="O69:O86" si="90">G69*0</f>
        <v>0</v>
      </c>
      <c r="P69" s="85">
        <f t="shared" ref="P69:P86" si="91">G69*0</f>
        <v>0</v>
      </c>
      <c r="Q69" s="85">
        <f t="shared" ref="Q69:Q86" si="92">G69*0</f>
        <v>0</v>
      </c>
      <c r="R69" s="47">
        <v>3</v>
      </c>
      <c r="S69" s="47">
        <v>3</v>
      </c>
      <c r="T69" s="47">
        <v>3</v>
      </c>
      <c r="U69" s="47">
        <v>3</v>
      </c>
      <c r="V69" s="181">
        <f>R69*E69</f>
        <v>300000</v>
      </c>
      <c r="W69" s="181">
        <f>S69*E69</f>
        <v>300000</v>
      </c>
      <c r="X69" s="181">
        <f>T69*E69</f>
        <v>300000</v>
      </c>
      <c r="Y69" s="181">
        <f>U69*E69</f>
        <v>300000</v>
      </c>
      <c r="Z69" s="47">
        <v>0</v>
      </c>
      <c r="AA69" s="181">
        <f t="shared" ref="AA69:AA86" si="93">Z69*E69</f>
        <v>0</v>
      </c>
      <c r="AB69" s="47">
        <v>0</v>
      </c>
      <c r="AC69" s="181">
        <f t="shared" si="2"/>
        <v>0</v>
      </c>
      <c r="AD69" s="47">
        <v>0</v>
      </c>
      <c r="AE69" s="181">
        <f t="shared" si="3"/>
        <v>0</v>
      </c>
      <c r="AF69" s="47">
        <v>0</v>
      </c>
      <c r="AG69" s="181">
        <f t="shared" si="4"/>
        <v>0</v>
      </c>
      <c r="AH69" s="47">
        <v>0</v>
      </c>
      <c r="AI69" s="181">
        <f t="shared" si="5"/>
        <v>0</v>
      </c>
      <c r="AJ69" s="47">
        <v>0</v>
      </c>
      <c r="AK69" s="181">
        <f t="shared" si="6"/>
        <v>0</v>
      </c>
      <c r="AL69" s="47">
        <v>0</v>
      </c>
      <c r="AM69" s="181">
        <f t="shared" si="7"/>
        <v>0</v>
      </c>
      <c r="AN69" s="47">
        <v>0</v>
      </c>
      <c r="AO69" s="181">
        <f t="shared" si="8"/>
        <v>0</v>
      </c>
      <c r="AP69" s="47">
        <v>0</v>
      </c>
      <c r="AQ69" s="181">
        <f t="shared" si="9"/>
        <v>0</v>
      </c>
      <c r="AR69" s="47">
        <v>0</v>
      </c>
      <c r="AS69" s="181">
        <f t="shared" si="10"/>
        <v>0</v>
      </c>
      <c r="AT69" s="47">
        <v>0</v>
      </c>
      <c r="AU69" s="181">
        <f t="shared" si="11"/>
        <v>0</v>
      </c>
      <c r="AV69" s="47">
        <v>0</v>
      </c>
      <c r="AW69" s="181">
        <f t="shared" si="12"/>
        <v>0</v>
      </c>
      <c r="AX69" s="47">
        <v>0</v>
      </c>
      <c r="AY69" s="181">
        <f t="shared" si="13"/>
        <v>0</v>
      </c>
      <c r="AZ69" s="47">
        <v>0</v>
      </c>
      <c r="BA69" s="181">
        <f t="shared" si="14"/>
        <v>0</v>
      </c>
      <c r="BB69" s="47">
        <v>0</v>
      </c>
      <c r="BC69" s="181">
        <f t="shared" si="15"/>
        <v>0</v>
      </c>
      <c r="BD69" s="47">
        <v>0</v>
      </c>
      <c r="BE69" s="181">
        <f t="shared" si="16"/>
        <v>0</v>
      </c>
      <c r="BF69" s="47">
        <v>0</v>
      </c>
      <c r="BG69" s="181">
        <f t="shared" si="17"/>
        <v>0</v>
      </c>
      <c r="BH69" s="47">
        <v>12</v>
      </c>
      <c r="BI69" s="181">
        <f t="shared" ref="BI69:BI86" si="94">BH69*E69</f>
        <v>1200000</v>
      </c>
      <c r="BJ69" s="47">
        <f t="shared" ref="BJ69:BK86" si="95">Z69+AB69+AD69+AF69+AH69+AJ69+AL69+AN69+AP69+AR69+AT69+AV69+AX69+AZ69+BB69+BD69+BF69+BH69</f>
        <v>12</v>
      </c>
      <c r="BK69" s="117">
        <f t="shared" si="95"/>
        <v>1200000</v>
      </c>
      <c r="BL69" s="345" t="s">
        <v>472</v>
      </c>
      <c r="BN69" s="113"/>
      <c r="BO69" s="113"/>
      <c r="BP69" s="113"/>
      <c r="BQ69" s="113"/>
      <c r="BR69" s="113">
        <f>BN69+BO69+BP69+BQ69</f>
        <v>0</v>
      </c>
      <c r="BS69" s="113">
        <f>G69</f>
        <v>1200000</v>
      </c>
      <c r="BT69" s="113"/>
      <c r="BU69" s="125">
        <f>BS69+BT69</f>
        <v>1200000</v>
      </c>
      <c r="BV69" s="181">
        <f t="shared" si="0"/>
        <v>1200000</v>
      </c>
    </row>
    <row r="70" spans="1:74" x14ac:dyDescent="0.25">
      <c r="A70" s="989"/>
      <c r="B70" s="38"/>
      <c r="C70" s="38" t="s">
        <v>295</v>
      </c>
      <c r="D70" s="38" t="s">
        <v>73</v>
      </c>
      <c r="E70" s="375">
        <v>80000</v>
      </c>
      <c r="F70" s="38">
        <f t="shared" ref="F70:F86" si="96">BJ70</f>
        <v>12</v>
      </c>
      <c r="G70" s="438">
        <f t="shared" si="84"/>
        <v>960000</v>
      </c>
      <c r="H70" s="438">
        <f t="shared" ref="H70:H86" si="97">G70*0.5</f>
        <v>480000</v>
      </c>
      <c r="I70" s="438">
        <f t="shared" ref="I70:I86" si="98">G70*0.5</f>
        <v>480000</v>
      </c>
      <c r="J70" s="438">
        <f t="shared" si="85"/>
        <v>0</v>
      </c>
      <c r="K70" s="438">
        <f t="shared" si="86"/>
        <v>0</v>
      </c>
      <c r="L70" s="438">
        <f t="shared" si="87"/>
        <v>0</v>
      </c>
      <c r="M70" s="438">
        <f t="shared" si="88"/>
        <v>0</v>
      </c>
      <c r="N70" s="438">
        <f t="shared" si="89"/>
        <v>0</v>
      </c>
      <c r="O70" s="85">
        <f t="shared" si="90"/>
        <v>0</v>
      </c>
      <c r="P70" s="85">
        <f t="shared" si="91"/>
        <v>0</v>
      </c>
      <c r="Q70" s="85">
        <f t="shared" si="92"/>
        <v>0</v>
      </c>
      <c r="R70" s="47">
        <v>3</v>
      </c>
      <c r="S70" s="47">
        <v>3</v>
      </c>
      <c r="T70" s="47">
        <v>3</v>
      </c>
      <c r="U70" s="47">
        <v>3</v>
      </c>
      <c r="V70" s="181">
        <f t="shared" ref="V70:V86" si="99">R70*E70</f>
        <v>240000</v>
      </c>
      <c r="W70" s="181">
        <f t="shared" ref="W70:W86" si="100">S70*E70</f>
        <v>240000</v>
      </c>
      <c r="X70" s="181">
        <f t="shared" ref="X70:X86" si="101">T70*E70</f>
        <v>240000</v>
      </c>
      <c r="Y70" s="181">
        <f t="shared" ref="Y70:Y86" si="102">U70*E70</f>
        <v>240000</v>
      </c>
      <c r="Z70" s="47">
        <v>0</v>
      </c>
      <c r="AA70" s="181">
        <f t="shared" si="93"/>
        <v>0</v>
      </c>
      <c r="AB70" s="47">
        <v>0</v>
      </c>
      <c r="AC70" s="181">
        <f t="shared" si="2"/>
        <v>0</v>
      </c>
      <c r="AD70" s="47">
        <v>0</v>
      </c>
      <c r="AE70" s="181">
        <f t="shared" si="3"/>
        <v>0</v>
      </c>
      <c r="AF70" s="47">
        <v>0</v>
      </c>
      <c r="AG70" s="181">
        <f t="shared" si="4"/>
        <v>0</v>
      </c>
      <c r="AH70" s="47">
        <v>0</v>
      </c>
      <c r="AI70" s="181">
        <f t="shared" si="5"/>
        <v>0</v>
      </c>
      <c r="AJ70" s="47">
        <v>0</v>
      </c>
      <c r="AK70" s="181">
        <f t="shared" si="6"/>
        <v>0</v>
      </c>
      <c r="AL70" s="47">
        <v>0</v>
      </c>
      <c r="AM70" s="181">
        <f t="shared" si="7"/>
        <v>0</v>
      </c>
      <c r="AN70" s="47">
        <v>0</v>
      </c>
      <c r="AO70" s="181">
        <f t="shared" si="8"/>
        <v>0</v>
      </c>
      <c r="AP70" s="47">
        <v>0</v>
      </c>
      <c r="AQ70" s="181">
        <f t="shared" si="9"/>
        <v>0</v>
      </c>
      <c r="AR70" s="47">
        <v>0</v>
      </c>
      <c r="AS70" s="181">
        <f t="shared" si="10"/>
        <v>0</v>
      </c>
      <c r="AT70" s="47">
        <v>0</v>
      </c>
      <c r="AU70" s="181">
        <f t="shared" si="11"/>
        <v>0</v>
      </c>
      <c r="AV70" s="47">
        <v>0</v>
      </c>
      <c r="AW70" s="181">
        <f t="shared" si="12"/>
        <v>0</v>
      </c>
      <c r="AX70" s="47">
        <v>0</v>
      </c>
      <c r="AY70" s="181">
        <f t="shared" si="13"/>
        <v>0</v>
      </c>
      <c r="AZ70" s="47">
        <v>0</v>
      </c>
      <c r="BA70" s="181">
        <f t="shared" si="14"/>
        <v>0</v>
      </c>
      <c r="BB70" s="47">
        <v>0</v>
      </c>
      <c r="BC70" s="181">
        <f t="shared" si="15"/>
        <v>0</v>
      </c>
      <c r="BD70" s="47">
        <v>0</v>
      </c>
      <c r="BE70" s="181">
        <f t="shared" si="16"/>
        <v>0</v>
      </c>
      <c r="BF70" s="47">
        <v>0</v>
      </c>
      <c r="BG70" s="181">
        <f t="shared" si="17"/>
        <v>0</v>
      </c>
      <c r="BH70" s="47">
        <v>12</v>
      </c>
      <c r="BI70" s="181">
        <f t="shared" si="94"/>
        <v>960000</v>
      </c>
      <c r="BJ70" s="47">
        <f t="shared" si="95"/>
        <v>12</v>
      </c>
      <c r="BK70" s="117">
        <f t="shared" si="95"/>
        <v>960000</v>
      </c>
      <c r="BL70" s="345" t="s">
        <v>472</v>
      </c>
      <c r="BN70" s="113"/>
      <c r="BO70" s="113"/>
      <c r="BP70" s="113"/>
      <c r="BQ70" s="113"/>
      <c r="BR70" s="113">
        <f t="shared" ref="BR70:BR86" si="103">BN70+BO70+BP70+BQ70</f>
        <v>0</v>
      </c>
      <c r="BS70" s="113">
        <f t="shared" ref="BS70:BS86" si="104">G70</f>
        <v>960000</v>
      </c>
      <c r="BT70" s="113"/>
      <c r="BU70" s="125">
        <f t="shared" ref="BU70:BU86" si="105">BS70+BT70</f>
        <v>960000</v>
      </c>
      <c r="BV70" s="181">
        <f t="shared" si="0"/>
        <v>960000</v>
      </c>
    </row>
    <row r="71" spans="1:74" ht="31.5" x14ac:dyDescent="0.25">
      <c r="A71" s="989"/>
      <c r="B71" s="38"/>
      <c r="C71" s="38" t="s">
        <v>296</v>
      </c>
      <c r="D71" s="38" t="s">
        <v>73</v>
      </c>
      <c r="E71" s="375">
        <f>0.5*100000</f>
        <v>50000</v>
      </c>
      <c r="F71" s="38">
        <f t="shared" si="96"/>
        <v>0</v>
      </c>
      <c r="G71" s="438">
        <f t="shared" si="84"/>
        <v>0</v>
      </c>
      <c r="H71" s="438">
        <f t="shared" si="97"/>
        <v>0</v>
      </c>
      <c r="I71" s="438">
        <f t="shared" si="98"/>
        <v>0</v>
      </c>
      <c r="J71" s="438">
        <f t="shared" si="85"/>
        <v>0</v>
      </c>
      <c r="K71" s="438">
        <f t="shared" si="86"/>
        <v>0</v>
      </c>
      <c r="L71" s="438">
        <f t="shared" si="87"/>
        <v>0</v>
      </c>
      <c r="M71" s="438">
        <f t="shared" si="88"/>
        <v>0</v>
      </c>
      <c r="N71" s="438">
        <f t="shared" si="89"/>
        <v>0</v>
      </c>
      <c r="O71" s="85">
        <f t="shared" si="90"/>
        <v>0</v>
      </c>
      <c r="P71" s="85">
        <f t="shared" si="91"/>
        <v>0</v>
      </c>
      <c r="Q71" s="85">
        <f t="shared" si="92"/>
        <v>0</v>
      </c>
      <c r="R71" s="47"/>
      <c r="S71" s="47"/>
      <c r="T71" s="47"/>
      <c r="U71" s="47"/>
      <c r="V71" s="181">
        <f t="shared" si="99"/>
        <v>0</v>
      </c>
      <c r="W71" s="181">
        <f t="shared" si="100"/>
        <v>0</v>
      </c>
      <c r="X71" s="181">
        <f t="shared" si="101"/>
        <v>0</v>
      </c>
      <c r="Y71" s="181">
        <f t="shared" si="102"/>
        <v>0</v>
      </c>
      <c r="Z71" s="47">
        <v>0</v>
      </c>
      <c r="AA71" s="181">
        <f t="shared" si="93"/>
        <v>0</v>
      </c>
      <c r="AB71" s="47">
        <v>0</v>
      </c>
      <c r="AC71" s="181">
        <f t="shared" si="2"/>
        <v>0</v>
      </c>
      <c r="AD71" s="47">
        <v>0</v>
      </c>
      <c r="AE71" s="181">
        <f t="shared" si="3"/>
        <v>0</v>
      </c>
      <c r="AF71" s="47">
        <v>0</v>
      </c>
      <c r="AG71" s="181">
        <f t="shared" si="4"/>
        <v>0</v>
      </c>
      <c r="AH71" s="47">
        <v>0</v>
      </c>
      <c r="AI71" s="181">
        <f t="shared" si="5"/>
        <v>0</v>
      </c>
      <c r="AJ71" s="47">
        <v>0</v>
      </c>
      <c r="AK71" s="181">
        <f t="shared" si="6"/>
        <v>0</v>
      </c>
      <c r="AL71" s="47">
        <v>0</v>
      </c>
      <c r="AM71" s="181">
        <f t="shared" si="7"/>
        <v>0</v>
      </c>
      <c r="AN71" s="47">
        <v>0</v>
      </c>
      <c r="AO71" s="181">
        <f t="shared" si="8"/>
        <v>0</v>
      </c>
      <c r="AP71" s="47">
        <v>0</v>
      </c>
      <c r="AQ71" s="181">
        <f t="shared" si="9"/>
        <v>0</v>
      </c>
      <c r="AR71" s="47">
        <v>0</v>
      </c>
      <c r="AS71" s="181">
        <f t="shared" si="10"/>
        <v>0</v>
      </c>
      <c r="AT71" s="47">
        <v>0</v>
      </c>
      <c r="AU71" s="181">
        <f t="shared" si="11"/>
        <v>0</v>
      </c>
      <c r="AV71" s="47">
        <v>0</v>
      </c>
      <c r="AW71" s="181">
        <f t="shared" si="12"/>
        <v>0</v>
      </c>
      <c r="AX71" s="47">
        <v>0</v>
      </c>
      <c r="AY71" s="181">
        <f t="shared" si="13"/>
        <v>0</v>
      </c>
      <c r="AZ71" s="47">
        <v>0</v>
      </c>
      <c r="BA71" s="181">
        <f t="shared" si="14"/>
        <v>0</v>
      </c>
      <c r="BB71" s="47">
        <v>0</v>
      </c>
      <c r="BC71" s="181">
        <f t="shared" si="15"/>
        <v>0</v>
      </c>
      <c r="BD71" s="47">
        <v>0</v>
      </c>
      <c r="BE71" s="181">
        <f t="shared" si="16"/>
        <v>0</v>
      </c>
      <c r="BF71" s="47">
        <v>0</v>
      </c>
      <c r="BG71" s="181">
        <f t="shared" si="17"/>
        <v>0</v>
      </c>
      <c r="BH71" s="47">
        <v>0</v>
      </c>
      <c r="BI71" s="181">
        <f t="shared" si="94"/>
        <v>0</v>
      </c>
      <c r="BJ71" s="47">
        <f t="shared" si="95"/>
        <v>0</v>
      </c>
      <c r="BK71" s="117">
        <f t="shared" si="95"/>
        <v>0</v>
      </c>
      <c r="BL71" s="345" t="s">
        <v>472</v>
      </c>
      <c r="BN71" s="113"/>
      <c r="BO71" s="113"/>
      <c r="BP71" s="113"/>
      <c r="BQ71" s="113"/>
      <c r="BR71" s="113">
        <f t="shared" si="103"/>
        <v>0</v>
      </c>
      <c r="BS71" s="113">
        <f t="shared" si="104"/>
        <v>0</v>
      </c>
      <c r="BT71" s="113"/>
      <c r="BU71" s="125">
        <f t="shared" si="105"/>
        <v>0</v>
      </c>
      <c r="BV71" s="181">
        <f t="shared" si="0"/>
        <v>0</v>
      </c>
    </row>
    <row r="72" spans="1:74" x14ac:dyDescent="0.25">
      <c r="A72" s="989"/>
      <c r="B72" s="38"/>
      <c r="C72" s="38" t="s">
        <v>297</v>
      </c>
      <c r="D72" s="38" t="s">
        <v>73</v>
      </c>
      <c r="E72" s="375">
        <v>57500</v>
      </c>
      <c r="F72" s="38">
        <f t="shared" si="96"/>
        <v>12</v>
      </c>
      <c r="G72" s="438">
        <f t="shared" si="84"/>
        <v>690000</v>
      </c>
      <c r="H72" s="438">
        <f t="shared" si="97"/>
        <v>345000</v>
      </c>
      <c r="I72" s="438">
        <f t="shared" si="98"/>
        <v>345000</v>
      </c>
      <c r="J72" s="438">
        <f t="shared" si="85"/>
        <v>0</v>
      </c>
      <c r="K72" s="438">
        <f t="shared" si="86"/>
        <v>0</v>
      </c>
      <c r="L72" s="438">
        <f t="shared" si="87"/>
        <v>0</v>
      </c>
      <c r="M72" s="438">
        <f t="shared" si="88"/>
        <v>0</v>
      </c>
      <c r="N72" s="438">
        <f t="shared" si="89"/>
        <v>0</v>
      </c>
      <c r="O72" s="85">
        <f t="shared" si="90"/>
        <v>0</v>
      </c>
      <c r="P72" s="85">
        <f t="shared" si="91"/>
        <v>0</v>
      </c>
      <c r="Q72" s="85">
        <f t="shared" si="92"/>
        <v>0</v>
      </c>
      <c r="R72" s="47">
        <v>3</v>
      </c>
      <c r="S72" s="47">
        <v>3</v>
      </c>
      <c r="T72" s="47">
        <v>3</v>
      </c>
      <c r="U72" s="47">
        <v>3</v>
      </c>
      <c r="V72" s="181">
        <f t="shared" si="99"/>
        <v>172500</v>
      </c>
      <c r="W72" s="181">
        <f t="shared" si="100"/>
        <v>172500</v>
      </c>
      <c r="X72" s="181">
        <f t="shared" si="101"/>
        <v>172500</v>
      </c>
      <c r="Y72" s="181">
        <f t="shared" si="102"/>
        <v>172500</v>
      </c>
      <c r="Z72" s="47">
        <v>0</v>
      </c>
      <c r="AA72" s="181">
        <f t="shared" si="93"/>
        <v>0</v>
      </c>
      <c r="AB72" s="47">
        <v>0</v>
      </c>
      <c r="AC72" s="181">
        <f t="shared" si="2"/>
        <v>0</v>
      </c>
      <c r="AD72" s="47">
        <v>0</v>
      </c>
      <c r="AE72" s="181">
        <f t="shared" si="3"/>
        <v>0</v>
      </c>
      <c r="AF72" s="47">
        <v>0</v>
      </c>
      <c r="AG72" s="181">
        <f t="shared" si="4"/>
        <v>0</v>
      </c>
      <c r="AH72" s="47">
        <v>0</v>
      </c>
      <c r="AI72" s="181">
        <f t="shared" si="5"/>
        <v>0</v>
      </c>
      <c r="AJ72" s="47">
        <v>0</v>
      </c>
      <c r="AK72" s="181">
        <f t="shared" si="6"/>
        <v>0</v>
      </c>
      <c r="AL72" s="47">
        <v>0</v>
      </c>
      <c r="AM72" s="181">
        <f t="shared" si="7"/>
        <v>0</v>
      </c>
      <c r="AN72" s="47">
        <v>0</v>
      </c>
      <c r="AO72" s="181">
        <f t="shared" si="8"/>
        <v>0</v>
      </c>
      <c r="AP72" s="47">
        <v>0</v>
      </c>
      <c r="AQ72" s="181">
        <f t="shared" si="9"/>
        <v>0</v>
      </c>
      <c r="AR72" s="47">
        <v>0</v>
      </c>
      <c r="AS72" s="181">
        <f t="shared" si="10"/>
        <v>0</v>
      </c>
      <c r="AT72" s="47">
        <v>0</v>
      </c>
      <c r="AU72" s="181">
        <f t="shared" si="11"/>
        <v>0</v>
      </c>
      <c r="AV72" s="47">
        <v>0</v>
      </c>
      <c r="AW72" s="181">
        <f t="shared" si="12"/>
        <v>0</v>
      </c>
      <c r="AX72" s="47">
        <v>0</v>
      </c>
      <c r="AY72" s="181">
        <f t="shared" si="13"/>
        <v>0</v>
      </c>
      <c r="AZ72" s="47">
        <v>0</v>
      </c>
      <c r="BA72" s="181">
        <f t="shared" si="14"/>
        <v>0</v>
      </c>
      <c r="BB72" s="47">
        <v>0</v>
      </c>
      <c r="BC72" s="181">
        <f t="shared" si="15"/>
        <v>0</v>
      </c>
      <c r="BD72" s="47">
        <v>0</v>
      </c>
      <c r="BE72" s="181">
        <f t="shared" si="16"/>
        <v>0</v>
      </c>
      <c r="BF72" s="47">
        <v>0</v>
      </c>
      <c r="BG72" s="181">
        <f t="shared" si="17"/>
        <v>0</v>
      </c>
      <c r="BH72" s="47">
        <v>12</v>
      </c>
      <c r="BI72" s="181">
        <f t="shared" si="94"/>
        <v>690000</v>
      </c>
      <c r="BJ72" s="47">
        <f t="shared" si="95"/>
        <v>12</v>
      </c>
      <c r="BK72" s="117">
        <f t="shared" si="95"/>
        <v>690000</v>
      </c>
      <c r="BL72" s="345" t="s">
        <v>472</v>
      </c>
      <c r="BN72" s="113"/>
      <c r="BO72" s="113"/>
      <c r="BP72" s="113"/>
      <c r="BQ72" s="113"/>
      <c r="BR72" s="113">
        <f t="shared" si="103"/>
        <v>0</v>
      </c>
      <c r="BS72" s="113">
        <f t="shared" si="104"/>
        <v>690000</v>
      </c>
      <c r="BT72" s="113"/>
      <c r="BU72" s="125">
        <f t="shared" si="105"/>
        <v>690000</v>
      </c>
      <c r="BV72" s="181">
        <f t="shared" si="0"/>
        <v>690000</v>
      </c>
    </row>
    <row r="73" spans="1:74" x14ac:dyDescent="0.25">
      <c r="A73" s="989"/>
      <c r="B73" s="38"/>
      <c r="C73" s="38" t="s">
        <v>298</v>
      </c>
      <c r="D73" s="38" t="s">
        <v>73</v>
      </c>
      <c r="E73" s="375">
        <v>57500</v>
      </c>
      <c r="F73" s="38">
        <f t="shared" si="96"/>
        <v>12</v>
      </c>
      <c r="G73" s="438">
        <f t="shared" si="84"/>
        <v>690000</v>
      </c>
      <c r="H73" s="438">
        <f t="shared" si="97"/>
        <v>345000</v>
      </c>
      <c r="I73" s="438">
        <f t="shared" si="98"/>
        <v>345000</v>
      </c>
      <c r="J73" s="438">
        <f t="shared" si="85"/>
        <v>0</v>
      </c>
      <c r="K73" s="438">
        <f t="shared" si="86"/>
        <v>0</v>
      </c>
      <c r="L73" s="438">
        <f t="shared" si="87"/>
        <v>0</v>
      </c>
      <c r="M73" s="438">
        <f t="shared" si="88"/>
        <v>0</v>
      </c>
      <c r="N73" s="438">
        <f t="shared" si="89"/>
        <v>0</v>
      </c>
      <c r="O73" s="85">
        <f t="shared" si="90"/>
        <v>0</v>
      </c>
      <c r="P73" s="85">
        <f t="shared" si="91"/>
        <v>0</v>
      </c>
      <c r="Q73" s="85">
        <f t="shared" si="92"/>
        <v>0</v>
      </c>
      <c r="R73" s="47">
        <v>3</v>
      </c>
      <c r="S73" s="47">
        <v>3</v>
      </c>
      <c r="T73" s="47">
        <v>3</v>
      </c>
      <c r="U73" s="47">
        <v>3</v>
      </c>
      <c r="V73" s="181">
        <f t="shared" si="99"/>
        <v>172500</v>
      </c>
      <c r="W73" s="181">
        <f t="shared" si="100"/>
        <v>172500</v>
      </c>
      <c r="X73" s="181">
        <f t="shared" si="101"/>
        <v>172500</v>
      </c>
      <c r="Y73" s="181">
        <f t="shared" si="102"/>
        <v>172500</v>
      </c>
      <c r="Z73" s="47">
        <v>0</v>
      </c>
      <c r="AA73" s="181">
        <f t="shared" si="93"/>
        <v>0</v>
      </c>
      <c r="AB73" s="47">
        <v>0</v>
      </c>
      <c r="AC73" s="181">
        <f t="shared" si="2"/>
        <v>0</v>
      </c>
      <c r="AD73" s="47">
        <v>0</v>
      </c>
      <c r="AE73" s="181">
        <f t="shared" si="3"/>
        <v>0</v>
      </c>
      <c r="AF73" s="47">
        <v>0</v>
      </c>
      <c r="AG73" s="181">
        <f t="shared" si="4"/>
        <v>0</v>
      </c>
      <c r="AH73" s="47">
        <v>0</v>
      </c>
      <c r="AI73" s="181">
        <f t="shared" si="5"/>
        <v>0</v>
      </c>
      <c r="AJ73" s="47">
        <v>0</v>
      </c>
      <c r="AK73" s="181">
        <f t="shared" si="6"/>
        <v>0</v>
      </c>
      <c r="AL73" s="47">
        <v>0</v>
      </c>
      <c r="AM73" s="181">
        <f t="shared" si="7"/>
        <v>0</v>
      </c>
      <c r="AN73" s="47">
        <v>0</v>
      </c>
      <c r="AO73" s="181">
        <f t="shared" si="8"/>
        <v>0</v>
      </c>
      <c r="AP73" s="47">
        <v>0</v>
      </c>
      <c r="AQ73" s="181">
        <f t="shared" si="9"/>
        <v>0</v>
      </c>
      <c r="AR73" s="47">
        <v>0</v>
      </c>
      <c r="AS73" s="181">
        <f t="shared" si="10"/>
        <v>0</v>
      </c>
      <c r="AT73" s="47">
        <v>0</v>
      </c>
      <c r="AU73" s="181">
        <f t="shared" si="11"/>
        <v>0</v>
      </c>
      <c r="AV73" s="47">
        <v>0</v>
      </c>
      <c r="AW73" s="181">
        <f t="shared" si="12"/>
        <v>0</v>
      </c>
      <c r="AX73" s="47">
        <v>0</v>
      </c>
      <c r="AY73" s="181">
        <f t="shared" si="13"/>
        <v>0</v>
      </c>
      <c r="AZ73" s="47">
        <v>0</v>
      </c>
      <c r="BA73" s="181">
        <f t="shared" si="14"/>
        <v>0</v>
      </c>
      <c r="BB73" s="47">
        <v>0</v>
      </c>
      <c r="BC73" s="181">
        <f t="shared" si="15"/>
        <v>0</v>
      </c>
      <c r="BD73" s="47">
        <v>0</v>
      </c>
      <c r="BE73" s="181">
        <f t="shared" si="16"/>
        <v>0</v>
      </c>
      <c r="BF73" s="47">
        <v>0</v>
      </c>
      <c r="BG73" s="181">
        <f t="shared" si="17"/>
        <v>0</v>
      </c>
      <c r="BH73" s="47">
        <v>12</v>
      </c>
      <c r="BI73" s="181">
        <f t="shared" si="94"/>
        <v>690000</v>
      </c>
      <c r="BJ73" s="47">
        <f t="shared" si="95"/>
        <v>12</v>
      </c>
      <c r="BK73" s="117">
        <f t="shared" si="95"/>
        <v>690000</v>
      </c>
      <c r="BL73" s="345" t="s">
        <v>472</v>
      </c>
      <c r="BN73" s="113"/>
      <c r="BO73" s="113"/>
      <c r="BP73" s="113"/>
      <c r="BQ73" s="113"/>
      <c r="BR73" s="113">
        <f t="shared" si="103"/>
        <v>0</v>
      </c>
      <c r="BS73" s="113">
        <f t="shared" si="104"/>
        <v>690000</v>
      </c>
      <c r="BT73" s="113"/>
      <c r="BU73" s="125">
        <f t="shared" si="105"/>
        <v>690000</v>
      </c>
      <c r="BV73" s="181">
        <f t="shared" si="0"/>
        <v>690000</v>
      </c>
    </row>
    <row r="74" spans="1:74" x14ac:dyDescent="0.25">
      <c r="A74" s="989"/>
      <c r="B74" s="38"/>
      <c r="C74" s="38" t="s">
        <v>299</v>
      </c>
      <c r="D74" s="38" t="s">
        <v>73</v>
      </c>
      <c r="E74" s="375">
        <v>67000</v>
      </c>
      <c r="F74" s="38">
        <f t="shared" si="96"/>
        <v>12</v>
      </c>
      <c r="G74" s="438">
        <f t="shared" si="84"/>
        <v>804000</v>
      </c>
      <c r="H74" s="438">
        <f t="shared" si="97"/>
        <v>402000</v>
      </c>
      <c r="I74" s="438">
        <f t="shared" si="98"/>
        <v>402000</v>
      </c>
      <c r="J74" s="438">
        <f t="shared" si="85"/>
        <v>0</v>
      </c>
      <c r="K74" s="438">
        <f t="shared" si="86"/>
        <v>0</v>
      </c>
      <c r="L74" s="438">
        <f t="shared" si="87"/>
        <v>0</v>
      </c>
      <c r="M74" s="438">
        <f t="shared" si="88"/>
        <v>0</v>
      </c>
      <c r="N74" s="438">
        <f t="shared" si="89"/>
        <v>0</v>
      </c>
      <c r="O74" s="85">
        <f t="shared" si="90"/>
        <v>0</v>
      </c>
      <c r="P74" s="85">
        <f t="shared" si="91"/>
        <v>0</v>
      </c>
      <c r="Q74" s="85">
        <f t="shared" si="92"/>
        <v>0</v>
      </c>
      <c r="R74" s="47">
        <v>3</v>
      </c>
      <c r="S74" s="47">
        <v>3</v>
      </c>
      <c r="T74" s="47">
        <v>3</v>
      </c>
      <c r="U74" s="47">
        <v>3</v>
      </c>
      <c r="V74" s="181">
        <f t="shared" si="99"/>
        <v>201000</v>
      </c>
      <c r="W74" s="181">
        <f t="shared" si="100"/>
        <v>201000</v>
      </c>
      <c r="X74" s="181">
        <f t="shared" si="101"/>
        <v>201000</v>
      </c>
      <c r="Y74" s="181">
        <f t="shared" si="102"/>
        <v>201000</v>
      </c>
      <c r="Z74" s="47">
        <v>0</v>
      </c>
      <c r="AA74" s="181">
        <f t="shared" si="93"/>
        <v>0</v>
      </c>
      <c r="AB74" s="47">
        <v>0</v>
      </c>
      <c r="AC74" s="181">
        <f t="shared" si="2"/>
        <v>0</v>
      </c>
      <c r="AD74" s="47">
        <v>0</v>
      </c>
      <c r="AE74" s="181">
        <f t="shared" si="3"/>
        <v>0</v>
      </c>
      <c r="AF74" s="47">
        <v>0</v>
      </c>
      <c r="AG74" s="181">
        <f t="shared" si="4"/>
        <v>0</v>
      </c>
      <c r="AH74" s="47">
        <v>0</v>
      </c>
      <c r="AI74" s="181">
        <f t="shared" si="5"/>
        <v>0</v>
      </c>
      <c r="AJ74" s="47">
        <v>0</v>
      </c>
      <c r="AK74" s="181">
        <f t="shared" si="6"/>
        <v>0</v>
      </c>
      <c r="AL74" s="47">
        <v>0</v>
      </c>
      <c r="AM74" s="181">
        <f t="shared" si="7"/>
        <v>0</v>
      </c>
      <c r="AN74" s="47">
        <v>0</v>
      </c>
      <c r="AO74" s="181">
        <f t="shared" si="8"/>
        <v>0</v>
      </c>
      <c r="AP74" s="47">
        <v>0</v>
      </c>
      <c r="AQ74" s="181">
        <f t="shared" si="9"/>
        <v>0</v>
      </c>
      <c r="AR74" s="47">
        <v>0</v>
      </c>
      <c r="AS74" s="181">
        <f t="shared" si="10"/>
        <v>0</v>
      </c>
      <c r="AT74" s="47">
        <v>0</v>
      </c>
      <c r="AU74" s="181">
        <f t="shared" si="11"/>
        <v>0</v>
      </c>
      <c r="AV74" s="47">
        <v>0</v>
      </c>
      <c r="AW74" s="181">
        <f t="shared" si="12"/>
        <v>0</v>
      </c>
      <c r="AX74" s="47">
        <v>0</v>
      </c>
      <c r="AY74" s="181">
        <f t="shared" si="13"/>
        <v>0</v>
      </c>
      <c r="AZ74" s="47">
        <v>0</v>
      </c>
      <c r="BA74" s="181">
        <f t="shared" si="14"/>
        <v>0</v>
      </c>
      <c r="BB74" s="47">
        <v>0</v>
      </c>
      <c r="BC74" s="181">
        <f t="shared" si="15"/>
        <v>0</v>
      </c>
      <c r="BD74" s="47">
        <v>0</v>
      </c>
      <c r="BE74" s="181">
        <f t="shared" si="16"/>
        <v>0</v>
      </c>
      <c r="BF74" s="47">
        <v>0</v>
      </c>
      <c r="BG74" s="181">
        <f t="shared" si="17"/>
        <v>0</v>
      </c>
      <c r="BH74" s="47">
        <v>12</v>
      </c>
      <c r="BI74" s="181">
        <f t="shared" si="94"/>
        <v>804000</v>
      </c>
      <c r="BJ74" s="47">
        <f t="shared" si="95"/>
        <v>12</v>
      </c>
      <c r="BK74" s="117">
        <f t="shared" si="95"/>
        <v>804000</v>
      </c>
      <c r="BL74" s="345" t="s">
        <v>472</v>
      </c>
      <c r="BN74" s="113"/>
      <c r="BO74" s="113"/>
      <c r="BP74" s="113"/>
      <c r="BQ74" s="113"/>
      <c r="BR74" s="113">
        <f t="shared" si="103"/>
        <v>0</v>
      </c>
      <c r="BS74" s="113">
        <f t="shared" si="104"/>
        <v>804000</v>
      </c>
      <c r="BT74" s="113"/>
      <c r="BU74" s="125">
        <f t="shared" si="105"/>
        <v>804000</v>
      </c>
      <c r="BV74" s="181">
        <f t="shared" si="0"/>
        <v>804000</v>
      </c>
    </row>
    <row r="75" spans="1:74" x14ac:dyDescent="0.25">
      <c r="A75" s="989"/>
      <c r="B75" s="38"/>
      <c r="C75" s="38" t="s">
        <v>300</v>
      </c>
      <c r="D75" s="38" t="s">
        <v>73</v>
      </c>
      <c r="E75" s="375">
        <v>57500</v>
      </c>
      <c r="F75" s="38">
        <f t="shared" si="96"/>
        <v>12</v>
      </c>
      <c r="G75" s="438">
        <f t="shared" si="84"/>
        <v>690000</v>
      </c>
      <c r="H75" s="438">
        <f t="shared" si="97"/>
        <v>345000</v>
      </c>
      <c r="I75" s="438">
        <f t="shared" si="98"/>
        <v>345000</v>
      </c>
      <c r="J75" s="438">
        <f t="shared" si="85"/>
        <v>0</v>
      </c>
      <c r="K75" s="438">
        <f t="shared" si="86"/>
        <v>0</v>
      </c>
      <c r="L75" s="438">
        <f t="shared" si="87"/>
        <v>0</v>
      </c>
      <c r="M75" s="438">
        <f t="shared" si="88"/>
        <v>0</v>
      </c>
      <c r="N75" s="438">
        <f t="shared" si="89"/>
        <v>0</v>
      </c>
      <c r="O75" s="85">
        <f t="shared" si="90"/>
        <v>0</v>
      </c>
      <c r="P75" s="85">
        <f t="shared" si="91"/>
        <v>0</v>
      </c>
      <c r="Q75" s="85">
        <f t="shared" si="92"/>
        <v>0</v>
      </c>
      <c r="R75" s="47">
        <v>3</v>
      </c>
      <c r="S75" s="47">
        <v>3</v>
      </c>
      <c r="T75" s="47">
        <v>3</v>
      </c>
      <c r="U75" s="47">
        <v>3</v>
      </c>
      <c r="V75" s="181">
        <f t="shared" si="99"/>
        <v>172500</v>
      </c>
      <c r="W75" s="181">
        <f t="shared" si="100"/>
        <v>172500</v>
      </c>
      <c r="X75" s="181">
        <f t="shared" si="101"/>
        <v>172500</v>
      </c>
      <c r="Y75" s="181">
        <f t="shared" si="102"/>
        <v>172500</v>
      </c>
      <c r="Z75" s="47">
        <v>0</v>
      </c>
      <c r="AA75" s="181">
        <f t="shared" si="93"/>
        <v>0</v>
      </c>
      <c r="AB75" s="47">
        <v>0</v>
      </c>
      <c r="AC75" s="181">
        <f t="shared" si="2"/>
        <v>0</v>
      </c>
      <c r="AD75" s="47">
        <v>0</v>
      </c>
      <c r="AE75" s="181">
        <f t="shared" si="3"/>
        <v>0</v>
      </c>
      <c r="AF75" s="47">
        <v>0</v>
      </c>
      <c r="AG75" s="181">
        <f t="shared" si="4"/>
        <v>0</v>
      </c>
      <c r="AH75" s="47">
        <v>0</v>
      </c>
      <c r="AI75" s="181">
        <f t="shared" si="5"/>
        <v>0</v>
      </c>
      <c r="AJ75" s="47">
        <v>0</v>
      </c>
      <c r="AK75" s="181">
        <f t="shared" si="6"/>
        <v>0</v>
      </c>
      <c r="AL75" s="47">
        <v>0</v>
      </c>
      <c r="AM75" s="181">
        <f t="shared" si="7"/>
        <v>0</v>
      </c>
      <c r="AN75" s="47">
        <v>0</v>
      </c>
      <c r="AO75" s="181">
        <f t="shared" si="8"/>
        <v>0</v>
      </c>
      <c r="AP75" s="47">
        <v>0</v>
      </c>
      <c r="AQ75" s="181">
        <f t="shared" si="9"/>
        <v>0</v>
      </c>
      <c r="AR75" s="47">
        <v>0</v>
      </c>
      <c r="AS75" s="181">
        <f t="shared" si="10"/>
        <v>0</v>
      </c>
      <c r="AT75" s="47">
        <v>0</v>
      </c>
      <c r="AU75" s="181">
        <f t="shared" si="11"/>
        <v>0</v>
      </c>
      <c r="AV75" s="47">
        <v>0</v>
      </c>
      <c r="AW75" s="181">
        <f t="shared" si="12"/>
        <v>0</v>
      </c>
      <c r="AX75" s="47">
        <v>0</v>
      </c>
      <c r="AY75" s="181">
        <f t="shared" si="13"/>
        <v>0</v>
      </c>
      <c r="AZ75" s="47">
        <v>0</v>
      </c>
      <c r="BA75" s="181">
        <f t="shared" si="14"/>
        <v>0</v>
      </c>
      <c r="BB75" s="47">
        <v>0</v>
      </c>
      <c r="BC75" s="181">
        <f t="shared" si="15"/>
        <v>0</v>
      </c>
      <c r="BD75" s="47">
        <v>0</v>
      </c>
      <c r="BE75" s="181">
        <f t="shared" si="16"/>
        <v>0</v>
      </c>
      <c r="BF75" s="47">
        <v>0</v>
      </c>
      <c r="BG75" s="181">
        <f t="shared" si="17"/>
        <v>0</v>
      </c>
      <c r="BH75" s="47">
        <v>12</v>
      </c>
      <c r="BI75" s="181">
        <f t="shared" si="94"/>
        <v>690000</v>
      </c>
      <c r="BJ75" s="47">
        <f t="shared" si="95"/>
        <v>12</v>
      </c>
      <c r="BK75" s="117">
        <f t="shared" si="95"/>
        <v>690000</v>
      </c>
      <c r="BL75" s="345" t="s">
        <v>472</v>
      </c>
      <c r="BN75" s="113"/>
      <c r="BO75" s="113"/>
      <c r="BP75" s="113"/>
      <c r="BQ75" s="113"/>
      <c r="BR75" s="113">
        <f t="shared" si="103"/>
        <v>0</v>
      </c>
      <c r="BS75" s="113">
        <f t="shared" si="104"/>
        <v>690000</v>
      </c>
      <c r="BT75" s="113"/>
      <c r="BU75" s="125">
        <f t="shared" si="105"/>
        <v>690000</v>
      </c>
      <c r="BV75" s="181">
        <f t="shared" si="0"/>
        <v>690000</v>
      </c>
    </row>
    <row r="76" spans="1:74" x14ac:dyDescent="0.25">
      <c r="A76" s="989"/>
      <c r="B76" s="38"/>
      <c r="C76" s="38" t="s">
        <v>301</v>
      </c>
      <c r="D76" s="38" t="s">
        <v>73</v>
      </c>
      <c r="E76" s="375">
        <v>67000</v>
      </c>
      <c r="F76" s="38">
        <f t="shared" si="96"/>
        <v>12</v>
      </c>
      <c r="G76" s="438">
        <f t="shared" si="84"/>
        <v>804000</v>
      </c>
      <c r="H76" s="438">
        <f t="shared" si="97"/>
        <v>402000</v>
      </c>
      <c r="I76" s="438">
        <f t="shared" si="98"/>
        <v>402000</v>
      </c>
      <c r="J76" s="438">
        <f t="shared" si="85"/>
        <v>0</v>
      </c>
      <c r="K76" s="438">
        <f t="shared" si="86"/>
        <v>0</v>
      </c>
      <c r="L76" s="438">
        <f t="shared" si="87"/>
        <v>0</v>
      </c>
      <c r="M76" s="438">
        <f t="shared" si="88"/>
        <v>0</v>
      </c>
      <c r="N76" s="438">
        <f t="shared" si="89"/>
        <v>0</v>
      </c>
      <c r="O76" s="85">
        <f t="shared" si="90"/>
        <v>0</v>
      </c>
      <c r="P76" s="85">
        <f t="shared" si="91"/>
        <v>0</v>
      </c>
      <c r="Q76" s="85">
        <f t="shared" si="92"/>
        <v>0</v>
      </c>
      <c r="R76" s="47">
        <v>3</v>
      </c>
      <c r="S76" s="47">
        <v>3</v>
      </c>
      <c r="T76" s="47">
        <v>3</v>
      </c>
      <c r="U76" s="47">
        <v>3</v>
      </c>
      <c r="V76" s="181">
        <f t="shared" si="99"/>
        <v>201000</v>
      </c>
      <c r="W76" s="181">
        <f t="shared" si="100"/>
        <v>201000</v>
      </c>
      <c r="X76" s="181">
        <f t="shared" si="101"/>
        <v>201000</v>
      </c>
      <c r="Y76" s="181">
        <f t="shared" si="102"/>
        <v>201000</v>
      </c>
      <c r="Z76" s="47">
        <v>0</v>
      </c>
      <c r="AA76" s="181">
        <f t="shared" si="93"/>
        <v>0</v>
      </c>
      <c r="AB76" s="47">
        <v>0</v>
      </c>
      <c r="AC76" s="181">
        <f t="shared" si="2"/>
        <v>0</v>
      </c>
      <c r="AD76" s="47">
        <v>0</v>
      </c>
      <c r="AE76" s="181">
        <f t="shared" si="3"/>
        <v>0</v>
      </c>
      <c r="AF76" s="47">
        <v>0</v>
      </c>
      <c r="AG76" s="181">
        <f t="shared" si="4"/>
        <v>0</v>
      </c>
      <c r="AH76" s="47">
        <v>0</v>
      </c>
      <c r="AI76" s="181">
        <f t="shared" si="5"/>
        <v>0</v>
      </c>
      <c r="AJ76" s="47">
        <v>0</v>
      </c>
      <c r="AK76" s="181">
        <f t="shared" si="6"/>
        <v>0</v>
      </c>
      <c r="AL76" s="47">
        <v>0</v>
      </c>
      <c r="AM76" s="181">
        <f t="shared" si="7"/>
        <v>0</v>
      </c>
      <c r="AN76" s="47">
        <v>0</v>
      </c>
      <c r="AO76" s="181">
        <f t="shared" si="8"/>
        <v>0</v>
      </c>
      <c r="AP76" s="47">
        <v>0</v>
      </c>
      <c r="AQ76" s="181">
        <f t="shared" si="9"/>
        <v>0</v>
      </c>
      <c r="AR76" s="47">
        <v>0</v>
      </c>
      <c r="AS76" s="181">
        <f t="shared" si="10"/>
        <v>0</v>
      </c>
      <c r="AT76" s="47">
        <v>0</v>
      </c>
      <c r="AU76" s="181">
        <f t="shared" si="11"/>
        <v>0</v>
      </c>
      <c r="AV76" s="47">
        <v>0</v>
      </c>
      <c r="AW76" s="181">
        <f t="shared" si="12"/>
        <v>0</v>
      </c>
      <c r="AX76" s="47">
        <v>0</v>
      </c>
      <c r="AY76" s="181">
        <f t="shared" si="13"/>
        <v>0</v>
      </c>
      <c r="AZ76" s="47">
        <v>0</v>
      </c>
      <c r="BA76" s="181">
        <f t="shared" si="14"/>
        <v>0</v>
      </c>
      <c r="BB76" s="47">
        <v>0</v>
      </c>
      <c r="BC76" s="181">
        <f t="shared" si="15"/>
        <v>0</v>
      </c>
      <c r="BD76" s="47">
        <v>0</v>
      </c>
      <c r="BE76" s="181">
        <f t="shared" si="16"/>
        <v>0</v>
      </c>
      <c r="BF76" s="47">
        <v>0</v>
      </c>
      <c r="BG76" s="181">
        <f t="shared" si="17"/>
        <v>0</v>
      </c>
      <c r="BH76" s="47">
        <v>12</v>
      </c>
      <c r="BI76" s="181">
        <f t="shared" si="94"/>
        <v>804000</v>
      </c>
      <c r="BJ76" s="47">
        <f t="shared" si="95"/>
        <v>12</v>
      </c>
      <c r="BK76" s="117">
        <f t="shared" si="95"/>
        <v>804000</v>
      </c>
      <c r="BL76" s="345" t="s">
        <v>472</v>
      </c>
      <c r="BN76" s="113"/>
      <c r="BO76" s="113"/>
      <c r="BP76" s="113"/>
      <c r="BQ76" s="113"/>
      <c r="BR76" s="113">
        <f t="shared" si="103"/>
        <v>0</v>
      </c>
      <c r="BS76" s="113">
        <f t="shared" si="104"/>
        <v>804000</v>
      </c>
      <c r="BT76" s="113"/>
      <c r="BU76" s="125">
        <f t="shared" si="105"/>
        <v>804000</v>
      </c>
      <c r="BV76" s="181">
        <f t="shared" si="0"/>
        <v>804000</v>
      </c>
    </row>
    <row r="77" spans="1:74" s="165" customFormat="1" x14ac:dyDescent="0.25">
      <c r="A77" s="989"/>
      <c r="B77" s="171"/>
      <c r="C77" s="171" t="s">
        <v>302</v>
      </c>
      <c r="D77" s="171" t="s">
        <v>73</v>
      </c>
      <c r="E77" s="375">
        <v>57500</v>
      </c>
      <c r="F77" s="38">
        <f t="shared" si="96"/>
        <v>12</v>
      </c>
      <c r="G77" s="442">
        <f t="shared" si="84"/>
        <v>690000</v>
      </c>
      <c r="H77" s="442">
        <f t="shared" si="97"/>
        <v>345000</v>
      </c>
      <c r="I77" s="442">
        <f t="shared" si="98"/>
        <v>345000</v>
      </c>
      <c r="J77" s="442">
        <f t="shared" si="85"/>
        <v>0</v>
      </c>
      <c r="K77" s="442">
        <f t="shared" si="86"/>
        <v>0</v>
      </c>
      <c r="L77" s="442">
        <f t="shared" si="87"/>
        <v>0</v>
      </c>
      <c r="M77" s="442">
        <f t="shared" si="88"/>
        <v>0</v>
      </c>
      <c r="N77" s="442">
        <f t="shared" si="89"/>
        <v>0</v>
      </c>
      <c r="O77" s="134">
        <f t="shared" si="90"/>
        <v>0</v>
      </c>
      <c r="P77" s="134">
        <f t="shared" si="91"/>
        <v>0</v>
      </c>
      <c r="Q77" s="134">
        <f t="shared" si="92"/>
        <v>0</v>
      </c>
      <c r="R77" s="47">
        <v>3</v>
      </c>
      <c r="S77" s="47">
        <v>3</v>
      </c>
      <c r="T77" s="47">
        <v>3</v>
      </c>
      <c r="U77" s="47">
        <v>3</v>
      </c>
      <c r="V77" s="181">
        <f t="shared" si="99"/>
        <v>172500</v>
      </c>
      <c r="W77" s="181">
        <f t="shared" si="100"/>
        <v>172500</v>
      </c>
      <c r="X77" s="181">
        <f t="shared" si="101"/>
        <v>172500</v>
      </c>
      <c r="Y77" s="181">
        <f t="shared" si="102"/>
        <v>172500</v>
      </c>
      <c r="Z77" s="136">
        <v>0</v>
      </c>
      <c r="AA77" s="181">
        <f t="shared" si="93"/>
        <v>0</v>
      </c>
      <c r="AB77" s="136">
        <v>0</v>
      </c>
      <c r="AC77" s="181">
        <f t="shared" si="2"/>
        <v>0</v>
      </c>
      <c r="AD77" s="136">
        <v>0</v>
      </c>
      <c r="AE77" s="181">
        <f t="shared" si="3"/>
        <v>0</v>
      </c>
      <c r="AF77" s="136">
        <v>0</v>
      </c>
      <c r="AG77" s="181">
        <f t="shared" si="4"/>
        <v>0</v>
      </c>
      <c r="AH77" s="136">
        <v>0</v>
      </c>
      <c r="AI77" s="181">
        <f t="shared" si="5"/>
        <v>0</v>
      </c>
      <c r="AJ77" s="136">
        <v>0</v>
      </c>
      <c r="AK77" s="181">
        <f t="shared" si="6"/>
        <v>0</v>
      </c>
      <c r="AL77" s="136">
        <v>0</v>
      </c>
      <c r="AM77" s="181">
        <f t="shared" si="7"/>
        <v>0</v>
      </c>
      <c r="AN77" s="136">
        <v>0</v>
      </c>
      <c r="AO77" s="181">
        <f t="shared" si="8"/>
        <v>0</v>
      </c>
      <c r="AP77" s="136">
        <v>0</v>
      </c>
      <c r="AQ77" s="181">
        <f t="shared" si="9"/>
        <v>0</v>
      </c>
      <c r="AR77" s="136">
        <v>0</v>
      </c>
      <c r="AS77" s="181">
        <f t="shared" si="10"/>
        <v>0</v>
      </c>
      <c r="AT77" s="136">
        <v>0</v>
      </c>
      <c r="AU77" s="181">
        <f t="shared" si="11"/>
        <v>0</v>
      </c>
      <c r="AV77" s="136">
        <v>0</v>
      </c>
      <c r="AW77" s="181">
        <f t="shared" si="12"/>
        <v>0</v>
      </c>
      <c r="AX77" s="136">
        <v>0</v>
      </c>
      <c r="AY77" s="181">
        <f t="shared" si="13"/>
        <v>0</v>
      </c>
      <c r="AZ77" s="136">
        <v>0</v>
      </c>
      <c r="BA77" s="181">
        <f t="shared" si="14"/>
        <v>0</v>
      </c>
      <c r="BB77" s="136">
        <v>0</v>
      </c>
      <c r="BC77" s="181">
        <f t="shared" si="15"/>
        <v>0</v>
      </c>
      <c r="BD77" s="136">
        <v>0</v>
      </c>
      <c r="BE77" s="181">
        <f t="shared" si="16"/>
        <v>0</v>
      </c>
      <c r="BF77" s="136">
        <v>0</v>
      </c>
      <c r="BG77" s="181">
        <f t="shared" si="17"/>
        <v>0</v>
      </c>
      <c r="BH77" s="136">
        <v>12</v>
      </c>
      <c r="BI77" s="181">
        <f t="shared" si="94"/>
        <v>690000</v>
      </c>
      <c r="BJ77" s="136">
        <f t="shared" si="95"/>
        <v>12</v>
      </c>
      <c r="BK77" s="331">
        <f t="shared" si="95"/>
        <v>690000</v>
      </c>
      <c r="BL77" s="346" t="s">
        <v>472</v>
      </c>
      <c r="BN77" s="178"/>
      <c r="BO77" s="178"/>
      <c r="BP77" s="178"/>
      <c r="BQ77" s="178"/>
      <c r="BR77" s="178">
        <f t="shared" si="103"/>
        <v>0</v>
      </c>
      <c r="BS77" s="178">
        <f t="shared" si="104"/>
        <v>690000</v>
      </c>
      <c r="BT77" s="178"/>
      <c r="BU77" s="166">
        <f t="shared" si="105"/>
        <v>690000</v>
      </c>
      <c r="BV77" s="191">
        <f t="shared" ref="BV77:BV117" si="106">BR77+BU77</f>
        <v>690000</v>
      </c>
    </row>
    <row r="78" spans="1:74" x14ac:dyDescent="0.25">
      <c r="A78" s="989"/>
      <c r="B78" s="38"/>
      <c r="C78" s="38" t="s">
        <v>303</v>
      </c>
      <c r="D78" s="38" t="s">
        <v>73</v>
      </c>
      <c r="E78" s="375">
        <v>57500</v>
      </c>
      <c r="F78" s="38">
        <f t="shared" si="96"/>
        <v>12</v>
      </c>
      <c r="G78" s="438">
        <f t="shared" si="84"/>
        <v>690000</v>
      </c>
      <c r="H78" s="438">
        <f t="shared" si="97"/>
        <v>345000</v>
      </c>
      <c r="I78" s="438">
        <f t="shared" si="98"/>
        <v>345000</v>
      </c>
      <c r="J78" s="438">
        <f t="shared" si="85"/>
        <v>0</v>
      </c>
      <c r="K78" s="438">
        <f t="shared" si="86"/>
        <v>0</v>
      </c>
      <c r="L78" s="438">
        <f t="shared" si="87"/>
        <v>0</v>
      </c>
      <c r="M78" s="438">
        <f t="shared" si="88"/>
        <v>0</v>
      </c>
      <c r="N78" s="438">
        <f t="shared" si="89"/>
        <v>0</v>
      </c>
      <c r="O78" s="85">
        <f t="shared" si="90"/>
        <v>0</v>
      </c>
      <c r="P78" s="85">
        <f t="shared" si="91"/>
        <v>0</v>
      </c>
      <c r="Q78" s="85">
        <f t="shared" si="92"/>
        <v>0</v>
      </c>
      <c r="R78" s="47">
        <v>3</v>
      </c>
      <c r="S78" s="47">
        <v>3</v>
      </c>
      <c r="T78" s="47">
        <v>3</v>
      </c>
      <c r="U78" s="47">
        <v>3</v>
      </c>
      <c r="V78" s="181">
        <f t="shared" si="99"/>
        <v>172500</v>
      </c>
      <c r="W78" s="181">
        <f t="shared" si="100"/>
        <v>172500</v>
      </c>
      <c r="X78" s="181">
        <f t="shared" si="101"/>
        <v>172500</v>
      </c>
      <c r="Y78" s="181">
        <f t="shared" si="102"/>
        <v>172500</v>
      </c>
      <c r="Z78" s="47">
        <v>0</v>
      </c>
      <c r="AA78" s="181">
        <f t="shared" si="93"/>
        <v>0</v>
      </c>
      <c r="AB78" s="47">
        <v>0</v>
      </c>
      <c r="AC78" s="181">
        <f t="shared" ref="AC78:AC115" si="107">AB78*E78</f>
        <v>0</v>
      </c>
      <c r="AD78" s="47">
        <v>0</v>
      </c>
      <c r="AE78" s="181">
        <f t="shared" ref="AE78:AE115" si="108">AD78*E78</f>
        <v>0</v>
      </c>
      <c r="AF78" s="47">
        <v>0</v>
      </c>
      <c r="AG78" s="181">
        <f t="shared" ref="AG78:AG115" si="109">AF78*E78</f>
        <v>0</v>
      </c>
      <c r="AH78" s="47">
        <v>0</v>
      </c>
      <c r="AI78" s="181">
        <f t="shared" ref="AI78:AI115" si="110">AH78*E78</f>
        <v>0</v>
      </c>
      <c r="AJ78" s="47">
        <v>0</v>
      </c>
      <c r="AK78" s="181">
        <f t="shared" ref="AK78:AK115" si="111">AJ78*E78</f>
        <v>0</v>
      </c>
      <c r="AL78" s="47">
        <v>0</v>
      </c>
      <c r="AM78" s="181">
        <f t="shared" ref="AM78:AM115" si="112">AL78*E78</f>
        <v>0</v>
      </c>
      <c r="AN78" s="47">
        <v>0</v>
      </c>
      <c r="AO78" s="181">
        <f t="shared" ref="AO78:AO115" si="113">AN78*E78</f>
        <v>0</v>
      </c>
      <c r="AP78" s="47">
        <v>0</v>
      </c>
      <c r="AQ78" s="181">
        <f t="shared" ref="AQ78:AQ115" si="114">AP78*E78</f>
        <v>0</v>
      </c>
      <c r="AR78" s="47">
        <v>0</v>
      </c>
      <c r="AS78" s="181">
        <f t="shared" ref="AS78:AS115" si="115">AR78*E78</f>
        <v>0</v>
      </c>
      <c r="AT78" s="47">
        <v>0</v>
      </c>
      <c r="AU78" s="181">
        <f t="shared" ref="AU78:AU115" si="116">AT78*E78</f>
        <v>0</v>
      </c>
      <c r="AV78" s="47">
        <v>0</v>
      </c>
      <c r="AW78" s="181">
        <f t="shared" ref="AW78:AW115" si="117">AV78*E78</f>
        <v>0</v>
      </c>
      <c r="AX78" s="47">
        <v>0</v>
      </c>
      <c r="AY78" s="181">
        <f t="shared" ref="AY78:AY115" si="118">AX78*E78</f>
        <v>0</v>
      </c>
      <c r="AZ78" s="47">
        <v>0</v>
      </c>
      <c r="BA78" s="181">
        <f t="shared" ref="BA78:BA115" si="119">AZ78*E78</f>
        <v>0</v>
      </c>
      <c r="BB78" s="47">
        <v>0</v>
      </c>
      <c r="BC78" s="181">
        <f t="shared" ref="BC78:BC115" si="120">BB78*E78</f>
        <v>0</v>
      </c>
      <c r="BD78" s="47">
        <v>0</v>
      </c>
      <c r="BE78" s="181">
        <f t="shared" ref="BE78:BE115" si="121">BD78*E78</f>
        <v>0</v>
      </c>
      <c r="BF78" s="47">
        <v>0</v>
      </c>
      <c r="BG78" s="181">
        <f t="shared" ref="BG78:BG115" si="122">BF78*E78</f>
        <v>0</v>
      </c>
      <c r="BH78" s="47">
        <v>12</v>
      </c>
      <c r="BI78" s="181">
        <f t="shared" si="94"/>
        <v>690000</v>
      </c>
      <c r="BJ78" s="47">
        <f t="shared" si="95"/>
        <v>12</v>
      </c>
      <c r="BK78" s="117">
        <f t="shared" si="95"/>
        <v>690000</v>
      </c>
      <c r="BL78" s="345" t="s">
        <v>472</v>
      </c>
      <c r="BN78" s="113"/>
      <c r="BO78" s="113"/>
      <c r="BP78" s="113"/>
      <c r="BQ78" s="113"/>
      <c r="BR78" s="113">
        <f t="shared" si="103"/>
        <v>0</v>
      </c>
      <c r="BS78" s="113">
        <f t="shared" si="104"/>
        <v>690000</v>
      </c>
      <c r="BT78" s="113"/>
      <c r="BU78" s="125">
        <f t="shared" si="105"/>
        <v>690000</v>
      </c>
      <c r="BV78" s="181">
        <f t="shared" si="106"/>
        <v>690000</v>
      </c>
    </row>
    <row r="79" spans="1:74" x14ac:dyDescent="0.25">
      <c r="A79" s="989"/>
      <c r="B79" s="38"/>
      <c r="C79" s="38" t="s">
        <v>304</v>
      </c>
      <c r="D79" s="38" t="s">
        <v>73</v>
      </c>
      <c r="E79" s="375">
        <v>57500</v>
      </c>
      <c r="F79" s="38">
        <f t="shared" si="96"/>
        <v>12</v>
      </c>
      <c r="G79" s="438">
        <f t="shared" si="84"/>
        <v>690000</v>
      </c>
      <c r="H79" s="438">
        <f t="shared" si="97"/>
        <v>345000</v>
      </c>
      <c r="I79" s="438">
        <f t="shared" si="98"/>
        <v>345000</v>
      </c>
      <c r="J79" s="438">
        <f t="shared" si="85"/>
        <v>0</v>
      </c>
      <c r="K79" s="438">
        <f t="shared" si="86"/>
        <v>0</v>
      </c>
      <c r="L79" s="438">
        <f t="shared" si="87"/>
        <v>0</v>
      </c>
      <c r="M79" s="438">
        <f t="shared" si="88"/>
        <v>0</v>
      </c>
      <c r="N79" s="438">
        <f t="shared" si="89"/>
        <v>0</v>
      </c>
      <c r="O79" s="85">
        <f t="shared" si="90"/>
        <v>0</v>
      </c>
      <c r="P79" s="85">
        <f t="shared" si="91"/>
        <v>0</v>
      </c>
      <c r="Q79" s="85">
        <f t="shared" si="92"/>
        <v>0</v>
      </c>
      <c r="R79" s="47">
        <v>3</v>
      </c>
      <c r="S79" s="47">
        <v>3</v>
      </c>
      <c r="T79" s="47">
        <v>3</v>
      </c>
      <c r="U79" s="47">
        <v>3</v>
      </c>
      <c r="V79" s="181">
        <f t="shared" si="99"/>
        <v>172500</v>
      </c>
      <c r="W79" s="181">
        <f t="shared" si="100"/>
        <v>172500</v>
      </c>
      <c r="X79" s="181">
        <f t="shared" si="101"/>
        <v>172500</v>
      </c>
      <c r="Y79" s="181">
        <f t="shared" si="102"/>
        <v>172500</v>
      </c>
      <c r="Z79" s="47">
        <v>0</v>
      </c>
      <c r="AA79" s="181">
        <f t="shared" si="93"/>
        <v>0</v>
      </c>
      <c r="AB79" s="47">
        <v>0</v>
      </c>
      <c r="AC79" s="181">
        <f t="shared" si="107"/>
        <v>0</v>
      </c>
      <c r="AD79" s="47">
        <v>0</v>
      </c>
      <c r="AE79" s="181">
        <f t="shared" si="108"/>
        <v>0</v>
      </c>
      <c r="AF79" s="47">
        <v>0</v>
      </c>
      <c r="AG79" s="181">
        <f t="shared" si="109"/>
        <v>0</v>
      </c>
      <c r="AH79" s="47">
        <v>0</v>
      </c>
      <c r="AI79" s="181">
        <f t="shared" si="110"/>
        <v>0</v>
      </c>
      <c r="AJ79" s="47">
        <v>0</v>
      </c>
      <c r="AK79" s="181">
        <f t="shared" si="111"/>
        <v>0</v>
      </c>
      <c r="AL79" s="47">
        <v>0</v>
      </c>
      <c r="AM79" s="181">
        <f t="shared" si="112"/>
        <v>0</v>
      </c>
      <c r="AN79" s="47">
        <v>0</v>
      </c>
      <c r="AO79" s="181">
        <f t="shared" si="113"/>
        <v>0</v>
      </c>
      <c r="AP79" s="47">
        <v>0</v>
      </c>
      <c r="AQ79" s="181">
        <f t="shared" si="114"/>
        <v>0</v>
      </c>
      <c r="AR79" s="47">
        <v>0</v>
      </c>
      <c r="AS79" s="181">
        <f t="shared" si="115"/>
        <v>0</v>
      </c>
      <c r="AT79" s="47">
        <v>0</v>
      </c>
      <c r="AU79" s="181">
        <f t="shared" si="116"/>
        <v>0</v>
      </c>
      <c r="AV79" s="47">
        <v>0</v>
      </c>
      <c r="AW79" s="181">
        <f t="shared" si="117"/>
        <v>0</v>
      </c>
      <c r="AX79" s="47">
        <v>0</v>
      </c>
      <c r="AY79" s="181">
        <f t="shared" si="118"/>
        <v>0</v>
      </c>
      <c r="AZ79" s="47">
        <v>0</v>
      </c>
      <c r="BA79" s="181">
        <f t="shared" si="119"/>
        <v>0</v>
      </c>
      <c r="BB79" s="47">
        <v>0</v>
      </c>
      <c r="BC79" s="181">
        <f t="shared" si="120"/>
        <v>0</v>
      </c>
      <c r="BD79" s="47">
        <v>0</v>
      </c>
      <c r="BE79" s="181">
        <f t="shared" si="121"/>
        <v>0</v>
      </c>
      <c r="BF79" s="47">
        <v>0</v>
      </c>
      <c r="BG79" s="181">
        <f t="shared" si="122"/>
        <v>0</v>
      </c>
      <c r="BH79" s="47">
        <v>12</v>
      </c>
      <c r="BI79" s="181">
        <f t="shared" si="94"/>
        <v>690000</v>
      </c>
      <c r="BJ79" s="47">
        <f t="shared" si="95"/>
        <v>12</v>
      </c>
      <c r="BK79" s="117">
        <f t="shared" si="95"/>
        <v>690000</v>
      </c>
      <c r="BL79" s="345" t="s">
        <v>472</v>
      </c>
      <c r="BN79" s="113"/>
      <c r="BO79" s="113"/>
      <c r="BP79" s="113"/>
      <c r="BQ79" s="113"/>
      <c r="BR79" s="113">
        <f t="shared" si="103"/>
        <v>0</v>
      </c>
      <c r="BS79" s="113">
        <f t="shared" si="104"/>
        <v>690000</v>
      </c>
      <c r="BT79" s="113"/>
      <c r="BU79" s="125">
        <f t="shared" si="105"/>
        <v>690000</v>
      </c>
      <c r="BV79" s="181">
        <f t="shared" si="106"/>
        <v>690000</v>
      </c>
    </row>
    <row r="80" spans="1:74" x14ac:dyDescent="0.25">
      <c r="A80" s="989"/>
      <c r="B80" s="38"/>
      <c r="C80" s="38" t="s">
        <v>305</v>
      </c>
      <c r="D80" s="38" t="s">
        <v>73</v>
      </c>
      <c r="E80" s="375">
        <v>33000</v>
      </c>
      <c r="F80" s="38">
        <f t="shared" si="96"/>
        <v>12</v>
      </c>
      <c r="G80" s="438">
        <f t="shared" si="84"/>
        <v>396000</v>
      </c>
      <c r="H80" s="438">
        <f t="shared" si="97"/>
        <v>198000</v>
      </c>
      <c r="I80" s="438">
        <f t="shared" si="98"/>
        <v>198000</v>
      </c>
      <c r="J80" s="438">
        <f t="shared" si="85"/>
        <v>0</v>
      </c>
      <c r="K80" s="438">
        <f t="shared" si="86"/>
        <v>0</v>
      </c>
      <c r="L80" s="438">
        <f t="shared" si="87"/>
        <v>0</v>
      </c>
      <c r="M80" s="438">
        <f t="shared" si="88"/>
        <v>0</v>
      </c>
      <c r="N80" s="438">
        <f t="shared" si="89"/>
        <v>0</v>
      </c>
      <c r="O80" s="85">
        <f t="shared" si="90"/>
        <v>0</v>
      </c>
      <c r="P80" s="85">
        <f t="shared" si="91"/>
        <v>0</v>
      </c>
      <c r="Q80" s="85">
        <f t="shared" si="92"/>
        <v>0</v>
      </c>
      <c r="R80" s="47">
        <v>3</v>
      </c>
      <c r="S80" s="47">
        <v>3</v>
      </c>
      <c r="T80" s="47">
        <v>3</v>
      </c>
      <c r="U80" s="47">
        <v>3</v>
      </c>
      <c r="V80" s="181">
        <f t="shared" si="99"/>
        <v>99000</v>
      </c>
      <c r="W80" s="181">
        <f t="shared" si="100"/>
        <v>99000</v>
      </c>
      <c r="X80" s="181">
        <f t="shared" si="101"/>
        <v>99000</v>
      </c>
      <c r="Y80" s="181">
        <f t="shared" si="102"/>
        <v>99000</v>
      </c>
      <c r="Z80" s="47">
        <v>0</v>
      </c>
      <c r="AA80" s="181">
        <f t="shared" si="93"/>
        <v>0</v>
      </c>
      <c r="AB80" s="47">
        <v>0</v>
      </c>
      <c r="AC80" s="181">
        <f t="shared" si="107"/>
        <v>0</v>
      </c>
      <c r="AD80" s="47">
        <v>0</v>
      </c>
      <c r="AE80" s="181">
        <f t="shared" si="108"/>
        <v>0</v>
      </c>
      <c r="AF80" s="47">
        <v>0</v>
      </c>
      <c r="AG80" s="181">
        <f t="shared" si="109"/>
        <v>0</v>
      </c>
      <c r="AH80" s="47">
        <v>0</v>
      </c>
      <c r="AI80" s="181">
        <f t="shared" si="110"/>
        <v>0</v>
      </c>
      <c r="AJ80" s="47">
        <v>0</v>
      </c>
      <c r="AK80" s="181">
        <f t="shared" si="111"/>
        <v>0</v>
      </c>
      <c r="AL80" s="47">
        <v>0</v>
      </c>
      <c r="AM80" s="181">
        <f t="shared" si="112"/>
        <v>0</v>
      </c>
      <c r="AN80" s="47">
        <v>0</v>
      </c>
      <c r="AO80" s="181">
        <f t="shared" si="113"/>
        <v>0</v>
      </c>
      <c r="AP80" s="47">
        <v>0</v>
      </c>
      <c r="AQ80" s="181">
        <f t="shared" si="114"/>
        <v>0</v>
      </c>
      <c r="AR80" s="47">
        <v>0</v>
      </c>
      <c r="AS80" s="181">
        <f t="shared" si="115"/>
        <v>0</v>
      </c>
      <c r="AT80" s="47">
        <v>0</v>
      </c>
      <c r="AU80" s="181">
        <f t="shared" si="116"/>
        <v>0</v>
      </c>
      <c r="AV80" s="47">
        <v>0</v>
      </c>
      <c r="AW80" s="181">
        <f t="shared" si="117"/>
        <v>0</v>
      </c>
      <c r="AX80" s="47">
        <v>0</v>
      </c>
      <c r="AY80" s="181">
        <f t="shared" si="118"/>
        <v>0</v>
      </c>
      <c r="AZ80" s="47">
        <v>0</v>
      </c>
      <c r="BA80" s="181">
        <f t="shared" si="119"/>
        <v>0</v>
      </c>
      <c r="BB80" s="47">
        <v>0</v>
      </c>
      <c r="BC80" s="181">
        <f t="shared" si="120"/>
        <v>0</v>
      </c>
      <c r="BD80" s="47">
        <v>0</v>
      </c>
      <c r="BE80" s="181">
        <f t="shared" si="121"/>
        <v>0</v>
      </c>
      <c r="BF80" s="47">
        <v>0</v>
      </c>
      <c r="BG80" s="181">
        <f t="shared" si="122"/>
        <v>0</v>
      </c>
      <c r="BH80" s="47">
        <v>12</v>
      </c>
      <c r="BI80" s="181">
        <f t="shared" si="94"/>
        <v>396000</v>
      </c>
      <c r="BJ80" s="47">
        <f t="shared" si="95"/>
        <v>12</v>
      </c>
      <c r="BK80" s="117">
        <f t="shared" si="95"/>
        <v>396000</v>
      </c>
      <c r="BL80" s="345" t="s">
        <v>472</v>
      </c>
      <c r="BN80" s="113"/>
      <c r="BO80" s="113"/>
      <c r="BP80" s="113"/>
      <c r="BQ80" s="113"/>
      <c r="BR80" s="113">
        <f t="shared" si="103"/>
        <v>0</v>
      </c>
      <c r="BS80" s="113">
        <f t="shared" si="104"/>
        <v>396000</v>
      </c>
      <c r="BT80" s="113"/>
      <c r="BU80" s="125">
        <f t="shared" si="105"/>
        <v>396000</v>
      </c>
      <c r="BV80" s="181">
        <f t="shared" si="106"/>
        <v>396000</v>
      </c>
    </row>
    <row r="81" spans="1:74" ht="35.25" customHeight="1" x14ac:dyDescent="0.25">
      <c r="A81" s="989"/>
      <c r="B81" s="38"/>
      <c r="C81" s="38" t="s">
        <v>306</v>
      </c>
      <c r="D81" s="38" t="s">
        <v>73</v>
      </c>
      <c r="E81" s="375">
        <v>50000</v>
      </c>
      <c r="F81" s="38">
        <f t="shared" si="96"/>
        <v>0</v>
      </c>
      <c r="G81" s="438">
        <f t="shared" si="84"/>
        <v>0</v>
      </c>
      <c r="H81" s="438">
        <f t="shared" si="97"/>
        <v>0</v>
      </c>
      <c r="I81" s="438">
        <f t="shared" si="98"/>
        <v>0</v>
      </c>
      <c r="J81" s="438">
        <f t="shared" si="85"/>
        <v>0</v>
      </c>
      <c r="K81" s="438">
        <f t="shared" si="86"/>
        <v>0</v>
      </c>
      <c r="L81" s="438">
        <f t="shared" si="87"/>
        <v>0</v>
      </c>
      <c r="M81" s="438">
        <f t="shared" si="88"/>
        <v>0</v>
      </c>
      <c r="N81" s="438">
        <f t="shared" si="89"/>
        <v>0</v>
      </c>
      <c r="O81" s="85">
        <f t="shared" si="90"/>
        <v>0</v>
      </c>
      <c r="P81" s="85">
        <f t="shared" si="91"/>
        <v>0</v>
      </c>
      <c r="Q81" s="85">
        <f t="shared" si="92"/>
        <v>0</v>
      </c>
      <c r="R81" s="47"/>
      <c r="S81" s="47"/>
      <c r="T81" s="47"/>
      <c r="U81" s="47"/>
      <c r="V81" s="181">
        <f t="shared" si="99"/>
        <v>0</v>
      </c>
      <c r="W81" s="181">
        <f t="shared" si="100"/>
        <v>0</v>
      </c>
      <c r="X81" s="181">
        <f t="shared" si="101"/>
        <v>0</v>
      </c>
      <c r="Y81" s="181">
        <f t="shared" si="102"/>
        <v>0</v>
      </c>
      <c r="Z81" s="47">
        <v>0</v>
      </c>
      <c r="AA81" s="181">
        <f t="shared" si="93"/>
        <v>0</v>
      </c>
      <c r="AB81" s="47">
        <v>0</v>
      </c>
      <c r="AC81" s="181">
        <f t="shared" si="107"/>
        <v>0</v>
      </c>
      <c r="AD81" s="47">
        <v>0</v>
      </c>
      <c r="AE81" s="181">
        <f t="shared" si="108"/>
        <v>0</v>
      </c>
      <c r="AF81" s="47">
        <v>0</v>
      </c>
      <c r="AG81" s="181">
        <f t="shared" si="109"/>
        <v>0</v>
      </c>
      <c r="AH81" s="47">
        <v>0</v>
      </c>
      <c r="AI81" s="181">
        <f t="shared" si="110"/>
        <v>0</v>
      </c>
      <c r="AJ81" s="47">
        <v>0</v>
      </c>
      <c r="AK81" s="181">
        <f t="shared" si="111"/>
        <v>0</v>
      </c>
      <c r="AL81" s="47">
        <v>0</v>
      </c>
      <c r="AM81" s="181">
        <f t="shared" si="112"/>
        <v>0</v>
      </c>
      <c r="AN81" s="47">
        <v>0</v>
      </c>
      <c r="AO81" s="181">
        <f t="shared" si="113"/>
        <v>0</v>
      </c>
      <c r="AP81" s="47">
        <v>0</v>
      </c>
      <c r="AQ81" s="181">
        <f t="shared" si="114"/>
        <v>0</v>
      </c>
      <c r="AR81" s="47">
        <v>0</v>
      </c>
      <c r="AS81" s="181">
        <f t="shared" si="115"/>
        <v>0</v>
      </c>
      <c r="AT81" s="47">
        <v>0</v>
      </c>
      <c r="AU81" s="181">
        <f t="shared" si="116"/>
        <v>0</v>
      </c>
      <c r="AV81" s="47">
        <v>0</v>
      </c>
      <c r="AW81" s="181">
        <f t="shared" si="117"/>
        <v>0</v>
      </c>
      <c r="AX81" s="47">
        <v>0</v>
      </c>
      <c r="AY81" s="181">
        <f t="shared" si="118"/>
        <v>0</v>
      </c>
      <c r="AZ81" s="47">
        <v>0</v>
      </c>
      <c r="BA81" s="181">
        <f t="shared" si="119"/>
        <v>0</v>
      </c>
      <c r="BB81" s="47">
        <v>0</v>
      </c>
      <c r="BC81" s="181">
        <f t="shared" si="120"/>
        <v>0</v>
      </c>
      <c r="BD81" s="47">
        <v>0</v>
      </c>
      <c r="BE81" s="181">
        <f t="shared" si="121"/>
        <v>0</v>
      </c>
      <c r="BF81" s="47">
        <v>0</v>
      </c>
      <c r="BG81" s="181">
        <f t="shared" si="122"/>
        <v>0</v>
      </c>
      <c r="BH81" s="47">
        <v>0</v>
      </c>
      <c r="BI81" s="181">
        <f t="shared" si="94"/>
        <v>0</v>
      </c>
      <c r="BJ81" s="47">
        <f t="shared" si="95"/>
        <v>0</v>
      </c>
      <c r="BK81" s="117">
        <f t="shared" si="95"/>
        <v>0</v>
      </c>
      <c r="BL81" s="345" t="s">
        <v>472</v>
      </c>
      <c r="BN81" s="113"/>
      <c r="BO81" s="113"/>
      <c r="BP81" s="113"/>
      <c r="BQ81" s="113"/>
      <c r="BR81" s="113">
        <f t="shared" si="103"/>
        <v>0</v>
      </c>
      <c r="BS81" s="113">
        <f t="shared" si="104"/>
        <v>0</v>
      </c>
      <c r="BT81" s="113"/>
      <c r="BU81" s="125">
        <f t="shared" si="105"/>
        <v>0</v>
      </c>
      <c r="BV81" s="181">
        <f t="shared" si="106"/>
        <v>0</v>
      </c>
    </row>
    <row r="82" spans="1:74" x14ac:dyDescent="0.25">
      <c r="A82" s="989"/>
      <c r="B82" s="38"/>
      <c r="C82" s="38" t="s">
        <v>307</v>
      </c>
      <c r="D82" s="38" t="s">
        <v>73</v>
      </c>
      <c r="E82" s="375">
        <v>29000</v>
      </c>
      <c r="F82" s="38">
        <f t="shared" si="96"/>
        <v>24</v>
      </c>
      <c r="G82" s="438">
        <f t="shared" si="84"/>
        <v>696000</v>
      </c>
      <c r="H82" s="438">
        <f t="shared" si="97"/>
        <v>348000</v>
      </c>
      <c r="I82" s="438">
        <f t="shared" si="98"/>
        <v>348000</v>
      </c>
      <c r="J82" s="438">
        <f t="shared" si="85"/>
        <v>0</v>
      </c>
      <c r="K82" s="438">
        <f t="shared" si="86"/>
        <v>0</v>
      </c>
      <c r="L82" s="438">
        <f t="shared" si="87"/>
        <v>0</v>
      </c>
      <c r="M82" s="438">
        <f t="shared" si="88"/>
        <v>0</v>
      </c>
      <c r="N82" s="438">
        <f t="shared" si="89"/>
        <v>0</v>
      </c>
      <c r="O82" s="85">
        <f t="shared" si="90"/>
        <v>0</v>
      </c>
      <c r="P82" s="85">
        <f t="shared" si="91"/>
        <v>0</v>
      </c>
      <c r="Q82" s="85">
        <f t="shared" si="92"/>
        <v>0</v>
      </c>
      <c r="R82" s="47">
        <v>6</v>
      </c>
      <c r="S82" s="47">
        <v>6</v>
      </c>
      <c r="T82" s="47">
        <v>6</v>
      </c>
      <c r="U82" s="47">
        <v>6</v>
      </c>
      <c r="V82" s="181">
        <f t="shared" si="99"/>
        <v>174000</v>
      </c>
      <c r="W82" s="181">
        <f t="shared" si="100"/>
        <v>174000</v>
      </c>
      <c r="X82" s="181">
        <f t="shared" si="101"/>
        <v>174000</v>
      </c>
      <c r="Y82" s="181">
        <f t="shared" si="102"/>
        <v>174000</v>
      </c>
      <c r="Z82" s="47">
        <v>0</v>
      </c>
      <c r="AA82" s="181">
        <f t="shared" si="93"/>
        <v>0</v>
      </c>
      <c r="AB82" s="47">
        <v>0</v>
      </c>
      <c r="AC82" s="181">
        <f t="shared" si="107"/>
        <v>0</v>
      </c>
      <c r="AD82" s="47">
        <v>0</v>
      </c>
      <c r="AE82" s="181">
        <f t="shared" si="108"/>
        <v>0</v>
      </c>
      <c r="AF82" s="47">
        <v>0</v>
      </c>
      <c r="AG82" s="181">
        <f t="shared" si="109"/>
        <v>0</v>
      </c>
      <c r="AH82" s="47">
        <v>0</v>
      </c>
      <c r="AI82" s="181">
        <f t="shared" si="110"/>
        <v>0</v>
      </c>
      <c r="AJ82" s="47">
        <v>0</v>
      </c>
      <c r="AK82" s="181">
        <f t="shared" si="111"/>
        <v>0</v>
      </c>
      <c r="AL82" s="47">
        <v>0</v>
      </c>
      <c r="AM82" s="181">
        <f t="shared" si="112"/>
        <v>0</v>
      </c>
      <c r="AN82" s="47">
        <v>0</v>
      </c>
      <c r="AO82" s="181">
        <f t="shared" si="113"/>
        <v>0</v>
      </c>
      <c r="AP82" s="47">
        <v>0</v>
      </c>
      <c r="AQ82" s="181">
        <f t="shared" si="114"/>
        <v>0</v>
      </c>
      <c r="AR82" s="47">
        <v>0</v>
      </c>
      <c r="AS82" s="181">
        <f t="shared" si="115"/>
        <v>0</v>
      </c>
      <c r="AT82" s="47">
        <v>0</v>
      </c>
      <c r="AU82" s="181">
        <f t="shared" si="116"/>
        <v>0</v>
      </c>
      <c r="AV82" s="47">
        <v>0</v>
      </c>
      <c r="AW82" s="181">
        <f t="shared" si="117"/>
        <v>0</v>
      </c>
      <c r="AX82" s="47">
        <v>0</v>
      </c>
      <c r="AY82" s="181">
        <f t="shared" si="118"/>
        <v>0</v>
      </c>
      <c r="AZ82" s="47">
        <v>0</v>
      </c>
      <c r="BA82" s="181">
        <f t="shared" si="119"/>
        <v>0</v>
      </c>
      <c r="BB82" s="47">
        <v>0</v>
      </c>
      <c r="BC82" s="181">
        <f t="shared" si="120"/>
        <v>0</v>
      </c>
      <c r="BD82" s="47">
        <v>0</v>
      </c>
      <c r="BE82" s="181">
        <f t="shared" si="121"/>
        <v>0</v>
      </c>
      <c r="BF82" s="47">
        <v>0</v>
      </c>
      <c r="BG82" s="181">
        <f t="shared" si="122"/>
        <v>0</v>
      </c>
      <c r="BH82" s="47">
        <v>24</v>
      </c>
      <c r="BI82" s="181">
        <f t="shared" si="94"/>
        <v>696000</v>
      </c>
      <c r="BJ82" s="47">
        <f t="shared" si="95"/>
        <v>24</v>
      </c>
      <c r="BK82" s="117">
        <f t="shared" si="95"/>
        <v>696000</v>
      </c>
      <c r="BL82" s="345" t="s">
        <v>472</v>
      </c>
      <c r="BN82" s="113"/>
      <c r="BO82" s="113"/>
      <c r="BP82" s="113"/>
      <c r="BQ82" s="113"/>
      <c r="BR82" s="113">
        <f t="shared" si="103"/>
        <v>0</v>
      </c>
      <c r="BS82" s="113">
        <f t="shared" si="104"/>
        <v>696000</v>
      </c>
      <c r="BT82" s="113"/>
      <c r="BU82" s="125">
        <f t="shared" si="105"/>
        <v>696000</v>
      </c>
      <c r="BV82" s="181">
        <f t="shared" si="106"/>
        <v>696000</v>
      </c>
    </row>
    <row r="83" spans="1:74" x14ac:dyDescent="0.25">
      <c r="A83" s="989"/>
      <c r="B83" s="38"/>
      <c r="C83" s="38" t="s">
        <v>308</v>
      </c>
      <c r="D83" s="38" t="s">
        <v>73</v>
      </c>
      <c r="E83" s="375">
        <v>10000</v>
      </c>
      <c r="F83" s="38">
        <f t="shared" si="96"/>
        <v>12</v>
      </c>
      <c r="G83" s="438">
        <f t="shared" si="84"/>
        <v>120000</v>
      </c>
      <c r="H83" s="438">
        <f t="shared" si="97"/>
        <v>60000</v>
      </c>
      <c r="I83" s="438">
        <f t="shared" si="98"/>
        <v>60000</v>
      </c>
      <c r="J83" s="438">
        <f t="shared" si="85"/>
        <v>0</v>
      </c>
      <c r="K83" s="438">
        <f t="shared" si="86"/>
        <v>0</v>
      </c>
      <c r="L83" s="438">
        <f t="shared" si="87"/>
        <v>0</v>
      </c>
      <c r="M83" s="438">
        <f t="shared" si="88"/>
        <v>0</v>
      </c>
      <c r="N83" s="438">
        <f t="shared" si="89"/>
        <v>0</v>
      </c>
      <c r="O83" s="85">
        <f t="shared" si="90"/>
        <v>0</v>
      </c>
      <c r="P83" s="85">
        <f t="shared" si="91"/>
        <v>0</v>
      </c>
      <c r="Q83" s="85">
        <f t="shared" si="92"/>
        <v>0</v>
      </c>
      <c r="R83" s="47">
        <v>3</v>
      </c>
      <c r="S83" s="47">
        <v>3</v>
      </c>
      <c r="T83" s="47">
        <v>3</v>
      </c>
      <c r="U83" s="47">
        <v>3</v>
      </c>
      <c r="V83" s="181">
        <f t="shared" si="99"/>
        <v>30000</v>
      </c>
      <c r="W83" s="181">
        <f t="shared" si="100"/>
        <v>30000</v>
      </c>
      <c r="X83" s="181">
        <f t="shared" si="101"/>
        <v>30000</v>
      </c>
      <c r="Y83" s="181">
        <f t="shared" si="102"/>
        <v>30000</v>
      </c>
      <c r="Z83" s="47">
        <v>0</v>
      </c>
      <c r="AA83" s="181">
        <f t="shared" si="93"/>
        <v>0</v>
      </c>
      <c r="AB83" s="47">
        <v>0</v>
      </c>
      <c r="AC83" s="181">
        <f t="shared" si="107"/>
        <v>0</v>
      </c>
      <c r="AD83" s="47">
        <v>0</v>
      </c>
      <c r="AE83" s="181">
        <f t="shared" si="108"/>
        <v>0</v>
      </c>
      <c r="AF83" s="47">
        <v>0</v>
      </c>
      <c r="AG83" s="181">
        <f t="shared" si="109"/>
        <v>0</v>
      </c>
      <c r="AH83" s="47">
        <v>0</v>
      </c>
      <c r="AI83" s="181">
        <f t="shared" si="110"/>
        <v>0</v>
      </c>
      <c r="AJ83" s="47">
        <v>0</v>
      </c>
      <c r="AK83" s="181">
        <f t="shared" si="111"/>
        <v>0</v>
      </c>
      <c r="AL83" s="47">
        <v>0</v>
      </c>
      <c r="AM83" s="181">
        <f t="shared" si="112"/>
        <v>0</v>
      </c>
      <c r="AN83" s="47">
        <v>0</v>
      </c>
      <c r="AO83" s="181">
        <f t="shared" si="113"/>
        <v>0</v>
      </c>
      <c r="AP83" s="47">
        <v>0</v>
      </c>
      <c r="AQ83" s="181">
        <f t="shared" si="114"/>
        <v>0</v>
      </c>
      <c r="AR83" s="47">
        <v>0</v>
      </c>
      <c r="AS83" s="181">
        <f t="shared" si="115"/>
        <v>0</v>
      </c>
      <c r="AT83" s="47">
        <v>0</v>
      </c>
      <c r="AU83" s="181">
        <f t="shared" si="116"/>
        <v>0</v>
      </c>
      <c r="AV83" s="47">
        <v>0</v>
      </c>
      <c r="AW83" s="181">
        <f t="shared" si="117"/>
        <v>0</v>
      </c>
      <c r="AX83" s="47">
        <v>0</v>
      </c>
      <c r="AY83" s="181">
        <f t="shared" si="118"/>
        <v>0</v>
      </c>
      <c r="AZ83" s="47">
        <v>0</v>
      </c>
      <c r="BA83" s="181">
        <f t="shared" si="119"/>
        <v>0</v>
      </c>
      <c r="BB83" s="47">
        <v>0</v>
      </c>
      <c r="BC83" s="181">
        <f t="shared" si="120"/>
        <v>0</v>
      </c>
      <c r="BD83" s="47">
        <v>0</v>
      </c>
      <c r="BE83" s="181">
        <f t="shared" si="121"/>
        <v>0</v>
      </c>
      <c r="BF83" s="47">
        <v>0</v>
      </c>
      <c r="BG83" s="181">
        <f t="shared" si="122"/>
        <v>0</v>
      </c>
      <c r="BH83" s="47">
        <v>12</v>
      </c>
      <c r="BI83" s="181">
        <f t="shared" si="94"/>
        <v>120000</v>
      </c>
      <c r="BJ83" s="47">
        <f t="shared" si="95"/>
        <v>12</v>
      </c>
      <c r="BK83" s="117">
        <f t="shared" si="95"/>
        <v>120000</v>
      </c>
      <c r="BL83" s="345" t="s">
        <v>472</v>
      </c>
      <c r="BN83" s="113"/>
      <c r="BO83" s="113"/>
      <c r="BP83" s="113"/>
      <c r="BQ83" s="113"/>
      <c r="BR83" s="113">
        <f t="shared" si="103"/>
        <v>0</v>
      </c>
      <c r="BS83" s="113">
        <f t="shared" si="104"/>
        <v>120000</v>
      </c>
      <c r="BT83" s="113"/>
      <c r="BU83" s="125">
        <f t="shared" si="105"/>
        <v>120000</v>
      </c>
      <c r="BV83" s="181">
        <f t="shared" si="106"/>
        <v>120000</v>
      </c>
    </row>
    <row r="84" spans="1:74" x14ac:dyDescent="0.25">
      <c r="A84" s="989"/>
      <c r="B84" s="38"/>
      <c r="C84" s="38" t="s">
        <v>309</v>
      </c>
      <c r="D84" s="38" t="s">
        <v>73</v>
      </c>
      <c r="E84" s="375">
        <v>18000</v>
      </c>
      <c r="F84" s="38">
        <f t="shared" si="96"/>
        <v>12</v>
      </c>
      <c r="G84" s="438">
        <f t="shared" si="84"/>
        <v>216000</v>
      </c>
      <c r="H84" s="438">
        <f t="shared" si="97"/>
        <v>108000</v>
      </c>
      <c r="I84" s="438">
        <f t="shared" si="98"/>
        <v>108000</v>
      </c>
      <c r="J84" s="438">
        <f t="shared" si="85"/>
        <v>0</v>
      </c>
      <c r="K84" s="438">
        <f t="shared" si="86"/>
        <v>0</v>
      </c>
      <c r="L84" s="438">
        <f t="shared" si="87"/>
        <v>0</v>
      </c>
      <c r="M84" s="438">
        <f t="shared" si="88"/>
        <v>0</v>
      </c>
      <c r="N84" s="438">
        <f t="shared" si="89"/>
        <v>0</v>
      </c>
      <c r="O84" s="85">
        <f t="shared" si="90"/>
        <v>0</v>
      </c>
      <c r="P84" s="85">
        <f t="shared" si="91"/>
        <v>0</v>
      </c>
      <c r="Q84" s="85">
        <f t="shared" si="92"/>
        <v>0</v>
      </c>
      <c r="R84" s="47">
        <v>3</v>
      </c>
      <c r="S84" s="47">
        <v>3</v>
      </c>
      <c r="T84" s="47">
        <v>3</v>
      </c>
      <c r="U84" s="47">
        <v>3</v>
      </c>
      <c r="V84" s="181">
        <f t="shared" si="99"/>
        <v>54000</v>
      </c>
      <c r="W84" s="181">
        <f t="shared" si="100"/>
        <v>54000</v>
      </c>
      <c r="X84" s="181">
        <f t="shared" si="101"/>
        <v>54000</v>
      </c>
      <c r="Y84" s="181">
        <f t="shared" si="102"/>
        <v>54000</v>
      </c>
      <c r="Z84" s="47">
        <v>0</v>
      </c>
      <c r="AA84" s="181">
        <f t="shared" si="93"/>
        <v>0</v>
      </c>
      <c r="AB84" s="47">
        <v>0</v>
      </c>
      <c r="AC84" s="181">
        <f t="shared" si="107"/>
        <v>0</v>
      </c>
      <c r="AD84" s="47">
        <v>0</v>
      </c>
      <c r="AE84" s="181">
        <f t="shared" si="108"/>
        <v>0</v>
      </c>
      <c r="AF84" s="47">
        <v>0</v>
      </c>
      <c r="AG84" s="181">
        <f t="shared" si="109"/>
        <v>0</v>
      </c>
      <c r="AH84" s="47">
        <v>0</v>
      </c>
      <c r="AI84" s="181">
        <f t="shared" si="110"/>
        <v>0</v>
      </c>
      <c r="AJ84" s="47">
        <v>0</v>
      </c>
      <c r="AK84" s="181">
        <f t="shared" si="111"/>
        <v>0</v>
      </c>
      <c r="AL84" s="47">
        <v>0</v>
      </c>
      <c r="AM84" s="181">
        <f t="shared" si="112"/>
        <v>0</v>
      </c>
      <c r="AN84" s="47">
        <v>0</v>
      </c>
      <c r="AO84" s="181">
        <f t="shared" si="113"/>
        <v>0</v>
      </c>
      <c r="AP84" s="47">
        <v>0</v>
      </c>
      <c r="AQ84" s="181">
        <f t="shared" si="114"/>
        <v>0</v>
      </c>
      <c r="AR84" s="47">
        <v>0</v>
      </c>
      <c r="AS84" s="181">
        <f t="shared" si="115"/>
        <v>0</v>
      </c>
      <c r="AT84" s="47">
        <v>0</v>
      </c>
      <c r="AU84" s="181">
        <f t="shared" si="116"/>
        <v>0</v>
      </c>
      <c r="AV84" s="47">
        <v>0</v>
      </c>
      <c r="AW84" s="181">
        <f t="shared" si="117"/>
        <v>0</v>
      </c>
      <c r="AX84" s="47">
        <v>0</v>
      </c>
      <c r="AY84" s="181">
        <f t="shared" si="118"/>
        <v>0</v>
      </c>
      <c r="AZ84" s="47">
        <v>0</v>
      </c>
      <c r="BA84" s="181">
        <f t="shared" si="119"/>
        <v>0</v>
      </c>
      <c r="BB84" s="47">
        <v>0</v>
      </c>
      <c r="BC84" s="181">
        <f t="shared" si="120"/>
        <v>0</v>
      </c>
      <c r="BD84" s="47">
        <v>0</v>
      </c>
      <c r="BE84" s="181">
        <f t="shared" si="121"/>
        <v>0</v>
      </c>
      <c r="BF84" s="47">
        <v>0</v>
      </c>
      <c r="BG84" s="181">
        <f t="shared" si="122"/>
        <v>0</v>
      </c>
      <c r="BH84" s="47">
        <v>12</v>
      </c>
      <c r="BI84" s="181">
        <f t="shared" si="94"/>
        <v>216000</v>
      </c>
      <c r="BJ84" s="47">
        <f t="shared" si="95"/>
        <v>12</v>
      </c>
      <c r="BK84" s="117">
        <f t="shared" si="95"/>
        <v>216000</v>
      </c>
      <c r="BL84" s="345" t="s">
        <v>472</v>
      </c>
      <c r="BN84" s="113"/>
      <c r="BO84" s="113"/>
      <c r="BP84" s="113"/>
      <c r="BQ84" s="113"/>
      <c r="BR84" s="113">
        <f t="shared" si="103"/>
        <v>0</v>
      </c>
      <c r="BS84" s="113">
        <f t="shared" si="104"/>
        <v>216000</v>
      </c>
      <c r="BT84" s="113"/>
      <c r="BU84" s="125">
        <f t="shared" si="105"/>
        <v>216000</v>
      </c>
      <c r="BV84" s="181">
        <f t="shared" si="106"/>
        <v>216000</v>
      </c>
    </row>
    <row r="85" spans="1:74" x14ac:dyDescent="0.25">
      <c r="A85" s="989"/>
      <c r="B85" s="38"/>
      <c r="C85" s="38" t="s">
        <v>310</v>
      </c>
      <c r="D85" s="38" t="s">
        <v>73</v>
      </c>
      <c r="E85" s="375">
        <f>0.1*100000</f>
        <v>10000</v>
      </c>
      <c r="F85" s="38">
        <f t="shared" si="96"/>
        <v>24</v>
      </c>
      <c r="G85" s="438">
        <f t="shared" si="84"/>
        <v>240000</v>
      </c>
      <c r="H85" s="438">
        <f t="shared" si="97"/>
        <v>120000</v>
      </c>
      <c r="I85" s="438">
        <f t="shared" si="98"/>
        <v>120000</v>
      </c>
      <c r="J85" s="438">
        <f t="shared" si="85"/>
        <v>0</v>
      </c>
      <c r="K85" s="438">
        <f t="shared" si="86"/>
        <v>0</v>
      </c>
      <c r="L85" s="438">
        <f t="shared" si="87"/>
        <v>0</v>
      </c>
      <c r="M85" s="438">
        <f t="shared" si="88"/>
        <v>0</v>
      </c>
      <c r="N85" s="438">
        <f t="shared" si="89"/>
        <v>0</v>
      </c>
      <c r="O85" s="85">
        <f t="shared" si="90"/>
        <v>0</v>
      </c>
      <c r="P85" s="85">
        <f t="shared" si="91"/>
        <v>0</v>
      </c>
      <c r="Q85" s="85">
        <f t="shared" si="92"/>
        <v>0</v>
      </c>
      <c r="R85" s="47">
        <v>6</v>
      </c>
      <c r="S85" s="47">
        <v>6</v>
      </c>
      <c r="T85" s="47">
        <v>6</v>
      </c>
      <c r="U85" s="47">
        <v>6</v>
      </c>
      <c r="V85" s="181">
        <f t="shared" si="99"/>
        <v>60000</v>
      </c>
      <c r="W85" s="181">
        <f t="shared" si="100"/>
        <v>60000</v>
      </c>
      <c r="X85" s="181">
        <f t="shared" si="101"/>
        <v>60000</v>
      </c>
      <c r="Y85" s="181">
        <f t="shared" si="102"/>
        <v>60000</v>
      </c>
      <c r="Z85" s="47">
        <v>0</v>
      </c>
      <c r="AA85" s="181">
        <f t="shared" si="93"/>
        <v>0</v>
      </c>
      <c r="AB85" s="47">
        <v>0</v>
      </c>
      <c r="AC85" s="181">
        <f t="shared" si="107"/>
        <v>0</v>
      </c>
      <c r="AD85" s="47">
        <v>0</v>
      </c>
      <c r="AE85" s="181">
        <f t="shared" si="108"/>
        <v>0</v>
      </c>
      <c r="AF85" s="47">
        <v>0</v>
      </c>
      <c r="AG85" s="181">
        <f t="shared" si="109"/>
        <v>0</v>
      </c>
      <c r="AH85" s="47">
        <v>0</v>
      </c>
      <c r="AI85" s="181">
        <f t="shared" si="110"/>
        <v>0</v>
      </c>
      <c r="AJ85" s="47">
        <v>0</v>
      </c>
      <c r="AK85" s="181">
        <f t="shared" si="111"/>
        <v>0</v>
      </c>
      <c r="AL85" s="47">
        <v>0</v>
      </c>
      <c r="AM85" s="181">
        <f t="shared" si="112"/>
        <v>0</v>
      </c>
      <c r="AN85" s="47">
        <v>0</v>
      </c>
      <c r="AO85" s="181">
        <f t="shared" si="113"/>
        <v>0</v>
      </c>
      <c r="AP85" s="47">
        <v>0</v>
      </c>
      <c r="AQ85" s="181">
        <f t="shared" si="114"/>
        <v>0</v>
      </c>
      <c r="AR85" s="47">
        <v>0</v>
      </c>
      <c r="AS85" s="181">
        <f t="shared" si="115"/>
        <v>0</v>
      </c>
      <c r="AT85" s="47">
        <v>0</v>
      </c>
      <c r="AU85" s="181">
        <f t="shared" si="116"/>
        <v>0</v>
      </c>
      <c r="AV85" s="47">
        <v>0</v>
      </c>
      <c r="AW85" s="181">
        <f t="shared" si="117"/>
        <v>0</v>
      </c>
      <c r="AX85" s="47">
        <v>0</v>
      </c>
      <c r="AY85" s="181">
        <f t="shared" si="118"/>
        <v>0</v>
      </c>
      <c r="AZ85" s="47">
        <v>0</v>
      </c>
      <c r="BA85" s="181">
        <f t="shared" si="119"/>
        <v>0</v>
      </c>
      <c r="BB85" s="47">
        <v>0</v>
      </c>
      <c r="BC85" s="181">
        <f t="shared" si="120"/>
        <v>0</v>
      </c>
      <c r="BD85" s="47">
        <v>0</v>
      </c>
      <c r="BE85" s="181">
        <f t="shared" si="121"/>
        <v>0</v>
      </c>
      <c r="BF85" s="47">
        <v>0</v>
      </c>
      <c r="BG85" s="181">
        <f t="shared" si="122"/>
        <v>0</v>
      </c>
      <c r="BH85" s="47">
        <v>24</v>
      </c>
      <c r="BI85" s="181">
        <f t="shared" si="94"/>
        <v>240000</v>
      </c>
      <c r="BJ85" s="47">
        <f t="shared" si="95"/>
        <v>24</v>
      </c>
      <c r="BK85" s="117">
        <f t="shared" si="95"/>
        <v>240000</v>
      </c>
      <c r="BL85" s="345" t="s">
        <v>472</v>
      </c>
      <c r="BN85" s="113"/>
      <c r="BO85" s="113"/>
      <c r="BP85" s="113"/>
      <c r="BQ85" s="113"/>
      <c r="BR85" s="113">
        <f t="shared" si="103"/>
        <v>0</v>
      </c>
      <c r="BS85" s="113">
        <f t="shared" si="104"/>
        <v>240000</v>
      </c>
      <c r="BT85" s="113"/>
      <c r="BU85" s="125">
        <f t="shared" si="105"/>
        <v>240000</v>
      </c>
      <c r="BV85" s="181">
        <f t="shared" si="106"/>
        <v>240000</v>
      </c>
    </row>
    <row r="86" spans="1:74" ht="31.5" x14ac:dyDescent="0.25">
      <c r="A86" s="989"/>
      <c r="B86" s="38"/>
      <c r="C86" s="38" t="s">
        <v>751</v>
      </c>
      <c r="D86" s="38" t="s">
        <v>73</v>
      </c>
      <c r="E86" s="375">
        <f>0.15*100000</f>
        <v>15000</v>
      </c>
      <c r="F86" s="38">
        <f t="shared" si="96"/>
        <v>24</v>
      </c>
      <c r="G86" s="438">
        <f t="shared" si="84"/>
        <v>360000</v>
      </c>
      <c r="H86" s="438">
        <f t="shared" si="97"/>
        <v>180000</v>
      </c>
      <c r="I86" s="438">
        <f t="shared" si="98"/>
        <v>180000</v>
      </c>
      <c r="J86" s="438">
        <f t="shared" si="85"/>
        <v>0</v>
      </c>
      <c r="K86" s="438">
        <f t="shared" si="86"/>
        <v>0</v>
      </c>
      <c r="L86" s="438">
        <f t="shared" si="87"/>
        <v>0</v>
      </c>
      <c r="M86" s="438">
        <f t="shared" si="88"/>
        <v>0</v>
      </c>
      <c r="N86" s="438">
        <f t="shared" si="89"/>
        <v>0</v>
      </c>
      <c r="O86" s="85">
        <f t="shared" si="90"/>
        <v>0</v>
      </c>
      <c r="P86" s="85">
        <f t="shared" si="91"/>
        <v>0</v>
      </c>
      <c r="Q86" s="85">
        <f t="shared" si="92"/>
        <v>0</v>
      </c>
      <c r="R86" s="47">
        <v>6</v>
      </c>
      <c r="S86" s="47">
        <v>6</v>
      </c>
      <c r="T86" s="47">
        <v>6</v>
      </c>
      <c r="U86" s="47">
        <v>6</v>
      </c>
      <c r="V86" s="181">
        <f t="shared" si="99"/>
        <v>90000</v>
      </c>
      <c r="W86" s="181">
        <f t="shared" si="100"/>
        <v>90000</v>
      </c>
      <c r="X86" s="181">
        <f t="shared" si="101"/>
        <v>90000</v>
      </c>
      <c r="Y86" s="181">
        <f t="shared" si="102"/>
        <v>90000</v>
      </c>
      <c r="Z86" s="47">
        <v>0</v>
      </c>
      <c r="AA86" s="181">
        <f t="shared" si="93"/>
        <v>0</v>
      </c>
      <c r="AB86" s="47">
        <v>0</v>
      </c>
      <c r="AC86" s="181">
        <f t="shared" si="107"/>
        <v>0</v>
      </c>
      <c r="AD86" s="47">
        <v>0</v>
      </c>
      <c r="AE86" s="181">
        <f t="shared" si="108"/>
        <v>0</v>
      </c>
      <c r="AF86" s="47">
        <v>0</v>
      </c>
      <c r="AG86" s="181">
        <f t="shared" si="109"/>
        <v>0</v>
      </c>
      <c r="AH86" s="47">
        <v>0</v>
      </c>
      <c r="AI86" s="181">
        <f t="shared" si="110"/>
        <v>0</v>
      </c>
      <c r="AJ86" s="47">
        <v>0</v>
      </c>
      <c r="AK86" s="181">
        <f t="shared" si="111"/>
        <v>0</v>
      </c>
      <c r="AL86" s="47">
        <v>0</v>
      </c>
      <c r="AM86" s="181">
        <f t="shared" si="112"/>
        <v>0</v>
      </c>
      <c r="AN86" s="47">
        <v>0</v>
      </c>
      <c r="AO86" s="181">
        <f t="shared" si="113"/>
        <v>0</v>
      </c>
      <c r="AP86" s="47">
        <v>0</v>
      </c>
      <c r="AQ86" s="181">
        <f t="shared" si="114"/>
        <v>0</v>
      </c>
      <c r="AR86" s="47">
        <v>0</v>
      </c>
      <c r="AS86" s="181">
        <f t="shared" si="115"/>
        <v>0</v>
      </c>
      <c r="AT86" s="47">
        <v>0</v>
      </c>
      <c r="AU86" s="181">
        <f t="shared" si="116"/>
        <v>0</v>
      </c>
      <c r="AV86" s="47">
        <v>0</v>
      </c>
      <c r="AW86" s="181">
        <f t="shared" si="117"/>
        <v>0</v>
      </c>
      <c r="AX86" s="47">
        <v>0</v>
      </c>
      <c r="AY86" s="181">
        <f t="shared" si="118"/>
        <v>0</v>
      </c>
      <c r="AZ86" s="47">
        <v>0</v>
      </c>
      <c r="BA86" s="181">
        <f t="shared" si="119"/>
        <v>0</v>
      </c>
      <c r="BB86" s="47">
        <v>0</v>
      </c>
      <c r="BC86" s="181">
        <f t="shared" si="120"/>
        <v>0</v>
      </c>
      <c r="BD86" s="47">
        <v>0</v>
      </c>
      <c r="BE86" s="181">
        <f t="shared" si="121"/>
        <v>0</v>
      </c>
      <c r="BF86" s="47">
        <v>0</v>
      </c>
      <c r="BG86" s="181">
        <f t="shared" si="122"/>
        <v>0</v>
      </c>
      <c r="BH86" s="47">
        <v>24</v>
      </c>
      <c r="BI86" s="181">
        <f t="shared" si="94"/>
        <v>360000</v>
      </c>
      <c r="BJ86" s="47">
        <f t="shared" si="95"/>
        <v>24</v>
      </c>
      <c r="BK86" s="117">
        <f t="shared" si="95"/>
        <v>360000</v>
      </c>
      <c r="BL86" s="345" t="s">
        <v>472</v>
      </c>
      <c r="BN86" s="113"/>
      <c r="BO86" s="113"/>
      <c r="BP86" s="113"/>
      <c r="BQ86" s="113"/>
      <c r="BR86" s="113">
        <f t="shared" si="103"/>
        <v>0</v>
      </c>
      <c r="BS86" s="113">
        <f t="shared" si="104"/>
        <v>360000</v>
      </c>
      <c r="BT86" s="113"/>
      <c r="BU86" s="125">
        <f t="shared" si="105"/>
        <v>360000</v>
      </c>
      <c r="BV86" s="181">
        <f t="shared" si="106"/>
        <v>360000</v>
      </c>
    </row>
    <row r="87" spans="1:74" x14ac:dyDescent="0.25">
      <c r="A87" s="989"/>
      <c r="B87" s="439"/>
      <c r="C87" s="439" t="s">
        <v>311</v>
      </c>
      <c r="D87" s="439"/>
      <c r="E87" s="439"/>
      <c r="F87" s="439">
        <f>SUM(F69:F86)</f>
        <v>228</v>
      </c>
      <c r="G87" s="440">
        <f>SUM(G69:G86)</f>
        <v>9936000</v>
      </c>
      <c r="H87" s="440">
        <f t="shared" ref="H87:Q87" si="123">SUM(H69:H86)</f>
        <v>4968000</v>
      </c>
      <c r="I87" s="440">
        <f t="shared" si="123"/>
        <v>4968000</v>
      </c>
      <c r="J87" s="440">
        <f t="shared" si="123"/>
        <v>0</v>
      </c>
      <c r="K87" s="440">
        <f t="shared" si="123"/>
        <v>0</v>
      </c>
      <c r="L87" s="440">
        <f t="shared" si="123"/>
        <v>0</v>
      </c>
      <c r="M87" s="440">
        <f t="shared" si="123"/>
        <v>0</v>
      </c>
      <c r="N87" s="440">
        <f t="shared" si="123"/>
        <v>0</v>
      </c>
      <c r="O87" s="440">
        <f t="shared" si="123"/>
        <v>0</v>
      </c>
      <c r="P87" s="440">
        <f t="shared" si="123"/>
        <v>0</v>
      </c>
      <c r="Q87" s="440">
        <f t="shared" si="123"/>
        <v>0</v>
      </c>
      <c r="R87" s="439">
        <f>SUM(R69:R86)</f>
        <v>57</v>
      </c>
      <c r="S87" s="439">
        <f>SUM(S69:S86)</f>
        <v>57</v>
      </c>
      <c r="T87" s="439">
        <f>SUM(T69:T86)</f>
        <v>57</v>
      </c>
      <c r="U87" s="439">
        <f>SUM(U69:U86)</f>
        <v>57</v>
      </c>
      <c r="V87" s="440">
        <f>SUM(V69:V86)</f>
        <v>2484000</v>
      </c>
      <c r="W87" s="440">
        <f t="shared" ref="W87:BK87" si="124">SUM(W69:W86)</f>
        <v>2484000</v>
      </c>
      <c r="X87" s="440">
        <f t="shared" si="124"/>
        <v>2484000</v>
      </c>
      <c r="Y87" s="440">
        <f t="shared" si="124"/>
        <v>2484000</v>
      </c>
      <c r="Z87" s="439">
        <f t="shared" si="124"/>
        <v>0</v>
      </c>
      <c r="AA87" s="440">
        <f t="shared" si="124"/>
        <v>0</v>
      </c>
      <c r="AB87" s="439">
        <f t="shared" si="124"/>
        <v>0</v>
      </c>
      <c r="AC87" s="440">
        <f t="shared" si="124"/>
        <v>0</v>
      </c>
      <c r="AD87" s="439">
        <f t="shared" si="124"/>
        <v>0</v>
      </c>
      <c r="AE87" s="440">
        <f t="shared" si="124"/>
        <v>0</v>
      </c>
      <c r="AF87" s="439">
        <f t="shared" si="124"/>
        <v>0</v>
      </c>
      <c r="AG87" s="440">
        <f t="shared" si="124"/>
        <v>0</v>
      </c>
      <c r="AH87" s="439">
        <f t="shared" si="124"/>
        <v>0</v>
      </c>
      <c r="AI87" s="440">
        <f t="shared" si="124"/>
        <v>0</v>
      </c>
      <c r="AJ87" s="439">
        <f t="shared" si="124"/>
        <v>0</v>
      </c>
      <c r="AK87" s="440">
        <f t="shared" si="124"/>
        <v>0</v>
      </c>
      <c r="AL87" s="439">
        <f t="shared" si="124"/>
        <v>0</v>
      </c>
      <c r="AM87" s="440">
        <f t="shared" si="124"/>
        <v>0</v>
      </c>
      <c r="AN87" s="439">
        <f t="shared" si="124"/>
        <v>0</v>
      </c>
      <c r="AO87" s="440">
        <f t="shared" si="124"/>
        <v>0</v>
      </c>
      <c r="AP87" s="439">
        <f t="shared" si="124"/>
        <v>0</v>
      </c>
      <c r="AQ87" s="440">
        <f t="shared" si="124"/>
        <v>0</v>
      </c>
      <c r="AR87" s="439">
        <f t="shared" si="124"/>
        <v>0</v>
      </c>
      <c r="AS87" s="440">
        <f t="shared" si="124"/>
        <v>0</v>
      </c>
      <c r="AT87" s="439">
        <f t="shared" si="124"/>
        <v>0</v>
      </c>
      <c r="AU87" s="440">
        <f t="shared" si="124"/>
        <v>0</v>
      </c>
      <c r="AV87" s="439">
        <f t="shared" si="124"/>
        <v>0</v>
      </c>
      <c r="AW87" s="440">
        <f t="shared" si="124"/>
        <v>0</v>
      </c>
      <c r="AX87" s="439">
        <f t="shared" si="124"/>
        <v>0</v>
      </c>
      <c r="AY87" s="440">
        <f t="shared" si="124"/>
        <v>0</v>
      </c>
      <c r="AZ87" s="439">
        <f t="shared" si="124"/>
        <v>0</v>
      </c>
      <c r="BA87" s="440">
        <f t="shared" si="124"/>
        <v>0</v>
      </c>
      <c r="BB87" s="439">
        <f t="shared" si="124"/>
        <v>0</v>
      </c>
      <c r="BC87" s="440">
        <f t="shared" si="124"/>
        <v>0</v>
      </c>
      <c r="BD87" s="439">
        <f t="shared" si="124"/>
        <v>0</v>
      </c>
      <c r="BE87" s="440">
        <f t="shared" si="124"/>
        <v>0</v>
      </c>
      <c r="BF87" s="439">
        <f t="shared" si="124"/>
        <v>0</v>
      </c>
      <c r="BG87" s="440">
        <f t="shared" si="124"/>
        <v>0</v>
      </c>
      <c r="BH87" s="439">
        <f t="shared" si="124"/>
        <v>228</v>
      </c>
      <c r="BI87" s="440">
        <f t="shared" si="124"/>
        <v>9936000</v>
      </c>
      <c r="BJ87" s="439">
        <f t="shared" si="124"/>
        <v>228</v>
      </c>
      <c r="BK87" s="441">
        <f t="shared" si="124"/>
        <v>9936000</v>
      </c>
      <c r="BL87" s="345"/>
      <c r="BN87" s="441">
        <f t="shared" ref="BN87:BU87" si="125">SUM(BN69:BN86)</f>
        <v>0</v>
      </c>
      <c r="BO87" s="441">
        <f t="shared" si="125"/>
        <v>0</v>
      </c>
      <c r="BP87" s="441">
        <f t="shared" si="125"/>
        <v>0</v>
      </c>
      <c r="BQ87" s="441">
        <f t="shared" si="125"/>
        <v>0</v>
      </c>
      <c r="BR87" s="441">
        <f t="shared" si="125"/>
        <v>0</v>
      </c>
      <c r="BS87" s="441">
        <f t="shared" si="125"/>
        <v>9936000</v>
      </c>
      <c r="BT87" s="441">
        <f t="shared" si="125"/>
        <v>0</v>
      </c>
      <c r="BU87" s="441">
        <f t="shared" si="125"/>
        <v>9936000</v>
      </c>
      <c r="BV87" s="390">
        <f t="shared" si="106"/>
        <v>9936000</v>
      </c>
    </row>
    <row r="88" spans="1:74" ht="31.5" x14ac:dyDescent="0.25">
      <c r="A88" s="989"/>
      <c r="B88" s="38">
        <v>41420</v>
      </c>
      <c r="C88" s="391" t="s">
        <v>312</v>
      </c>
      <c r="D88" s="38"/>
      <c r="E88" s="375"/>
      <c r="F88" s="38"/>
      <c r="G88" s="124"/>
      <c r="H88" s="124"/>
      <c r="I88" s="124"/>
      <c r="J88" s="124"/>
      <c r="K88" s="124"/>
      <c r="L88" s="124"/>
      <c r="M88" s="124"/>
      <c r="N88" s="124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181">
        <f t="shared" si="107"/>
        <v>0</v>
      </c>
      <c r="AD88" s="47"/>
      <c r="AE88" s="181">
        <f t="shared" si="108"/>
        <v>0</v>
      </c>
      <c r="AF88" s="47"/>
      <c r="AG88" s="181">
        <f t="shared" si="109"/>
        <v>0</v>
      </c>
      <c r="AH88" s="47"/>
      <c r="AI88" s="181">
        <f t="shared" si="110"/>
        <v>0</v>
      </c>
      <c r="AJ88" s="47"/>
      <c r="AK88" s="181">
        <f t="shared" si="111"/>
        <v>0</v>
      </c>
      <c r="AL88" s="47"/>
      <c r="AM88" s="181">
        <f t="shared" si="112"/>
        <v>0</v>
      </c>
      <c r="AN88" s="47"/>
      <c r="AO88" s="181">
        <f t="shared" si="113"/>
        <v>0</v>
      </c>
      <c r="AP88" s="47"/>
      <c r="AQ88" s="181">
        <f t="shared" si="114"/>
        <v>0</v>
      </c>
      <c r="AR88" s="47"/>
      <c r="AS88" s="181">
        <f t="shared" si="115"/>
        <v>0</v>
      </c>
      <c r="AT88" s="47"/>
      <c r="AU88" s="181">
        <f t="shared" si="116"/>
        <v>0</v>
      </c>
      <c r="AV88" s="47"/>
      <c r="AW88" s="181">
        <f t="shared" si="117"/>
        <v>0</v>
      </c>
      <c r="AX88" s="47"/>
      <c r="AY88" s="181">
        <f t="shared" si="118"/>
        <v>0</v>
      </c>
      <c r="AZ88" s="47"/>
      <c r="BA88" s="181">
        <f t="shared" si="119"/>
        <v>0</v>
      </c>
      <c r="BB88" s="47"/>
      <c r="BC88" s="181">
        <f t="shared" si="120"/>
        <v>0</v>
      </c>
      <c r="BD88" s="47"/>
      <c r="BE88" s="181">
        <f t="shared" si="121"/>
        <v>0</v>
      </c>
      <c r="BF88" s="47"/>
      <c r="BG88" s="181">
        <f t="shared" si="122"/>
        <v>0</v>
      </c>
      <c r="BH88" s="47"/>
      <c r="BI88" s="47"/>
      <c r="BJ88" s="47"/>
      <c r="BK88" s="124"/>
      <c r="BL88" s="345"/>
      <c r="BN88" s="113"/>
      <c r="BO88" s="113"/>
      <c r="BP88" s="113"/>
      <c r="BQ88" s="113"/>
      <c r="BR88" s="113"/>
      <c r="BS88" s="113"/>
      <c r="BT88" s="113"/>
      <c r="BU88" s="125"/>
      <c r="BV88" s="181">
        <f t="shared" si="106"/>
        <v>0</v>
      </c>
    </row>
    <row r="89" spans="1:74" ht="31.5" x14ac:dyDescent="0.25">
      <c r="A89" s="989"/>
      <c r="B89" s="210">
        <v>41421</v>
      </c>
      <c r="C89" s="210" t="s">
        <v>747</v>
      </c>
      <c r="D89" s="210" t="s">
        <v>73</v>
      </c>
      <c r="E89" s="388">
        <f>2*100000</f>
        <v>200000</v>
      </c>
      <c r="F89" s="38">
        <f t="shared" ref="F89:F96" si="126">BJ89</f>
        <v>12</v>
      </c>
      <c r="G89" s="438">
        <f t="shared" ref="G89:G96" si="127">E89*F89</f>
        <v>2400000</v>
      </c>
      <c r="H89" s="438">
        <f t="shared" ref="H89:H96" si="128">G89*0.5</f>
        <v>1200000</v>
      </c>
      <c r="I89" s="438">
        <f t="shared" ref="I89:I96" si="129">G89*0.5</f>
        <v>1200000</v>
      </c>
      <c r="J89" s="438">
        <f t="shared" ref="J89:J96" si="130">G89*0</f>
        <v>0</v>
      </c>
      <c r="K89" s="438">
        <f t="shared" ref="K89:K96" si="131">G89*0</f>
        <v>0</v>
      </c>
      <c r="L89" s="438">
        <f t="shared" ref="L89:L96" si="132">G89*0</f>
        <v>0</v>
      </c>
      <c r="M89" s="438">
        <f t="shared" ref="M89:M96" si="133">G89*0</f>
        <v>0</v>
      </c>
      <c r="N89" s="438">
        <f t="shared" ref="N89:N96" si="134">G89*0</f>
        <v>0</v>
      </c>
      <c r="O89" s="85">
        <f t="shared" ref="O89:O96" si="135">G89*0</f>
        <v>0</v>
      </c>
      <c r="P89" s="85">
        <f t="shared" ref="P89:P96" si="136">G89*0</f>
        <v>0</v>
      </c>
      <c r="Q89" s="85">
        <f t="shared" ref="Q89:Q96" si="137">G89*0</f>
        <v>0</v>
      </c>
      <c r="R89" s="47">
        <v>3</v>
      </c>
      <c r="S89" s="47">
        <v>3</v>
      </c>
      <c r="T89" s="47">
        <v>3</v>
      </c>
      <c r="U89" s="47">
        <v>3</v>
      </c>
      <c r="V89" s="181">
        <f>R89*E89</f>
        <v>600000</v>
      </c>
      <c r="W89" s="181">
        <f>S89*E89</f>
        <v>600000</v>
      </c>
      <c r="X89" s="181">
        <f>T89*E89</f>
        <v>600000</v>
      </c>
      <c r="Y89" s="181">
        <f>U89*E89</f>
        <v>600000</v>
      </c>
      <c r="Z89" s="47">
        <v>0</v>
      </c>
      <c r="AA89" s="181">
        <f t="shared" ref="AA89:AA96" si="138">Z89*E89</f>
        <v>0</v>
      </c>
      <c r="AB89" s="47">
        <v>0</v>
      </c>
      <c r="AC89" s="181">
        <f t="shared" si="107"/>
        <v>0</v>
      </c>
      <c r="AD89" s="47">
        <v>0</v>
      </c>
      <c r="AE89" s="181">
        <f t="shared" si="108"/>
        <v>0</v>
      </c>
      <c r="AF89" s="47">
        <v>0</v>
      </c>
      <c r="AG89" s="181">
        <f t="shared" si="109"/>
        <v>0</v>
      </c>
      <c r="AH89" s="47">
        <v>0</v>
      </c>
      <c r="AI89" s="181">
        <f t="shared" si="110"/>
        <v>0</v>
      </c>
      <c r="AJ89" s="47">
        <v>0</v>
      </c>
      <c r="AK89" s="181">
        <f t="shared" si="111"/>
        <v>0</v>
      </c>
      <c r="AL89" s="47">
        <v>0</v>
      </c>
      <c r="AM89" s="181">
        <f t="shared" si="112"/>
        <v>0</v>
      </c>
      <c r="AN89" s="47">
        <v>0</v>
      </c>
      <c r="AO89" s="181">
        <f t="shared" si="113"/>
        <v>0</v>
      </c>
      <c r="AP89" s="47">
        <v>0</v>
      </c>
      <c r="AQ89" s="181">
        <f t="shared" si="114"/>
        <v>0</v>
      </c>
      <c r="AR89" s="47">
        <v>0</v>
      </c>
      <c r="AS89" s="181">
        <f t="shared" si="115"/>
        <v>0</v>
      </c>
      <c r="AT89" s="47">
        <v>0</v>
      </c>
      <c r="AU89" s="181">
        <f t="shared" si="116"/>
        <v>0</v>
      </c>
      <c r="AV89" s="47">
        <v>0</v>
      </c>
      <c r="AW89" s="181">
        <f t="shared" si="117"/>
        <v>0</v>
      </c>
      <c r="AX89" s="47">
        <v>0</v>
      </c>
      <c r="AY89" s="181">
        <f t="shared" si="118"/>
        <v>0</v>
      </c>
      <c r="AZ89" s="47">
        <v>0</v>
      </c>
      <c r="BA89" s="181">
        <f t="shared" si="119"/>
        <v>0</v>
      </c>
      <c r="BB89" s="47">
        <v>0</v>
      </c>
      <c r="BC89" s="181">
        <f t="shared" si="120"/>
        <v>0</v>
      </c>
      <c r="BD89" s="47">
        <v>0</v>
      </c>
      <c r="BE89" s="181">
        <f t="shared" si="121"/>
        <v>0</v>
      </c>
      <c r="BF89" s="47">
        <v>0</v>
      </c>
      <c r="BG89" s="181">
        <f t="shared" si="122"/>
        <v>0</v>
      </c>
      <c r="BH89" s="47">
        <v>12</v>
      </c>
      <c r="BI89" s="181">
        <f t="shared" ref="BI89:BI96" si="139">BH89*E89</f>
        <v>2400000</v>
      </c>
      <c r="BJ89" s="47">
        <f t="shared" ref="BJ89:BK96" si="140">Z89+AB89+AD89+AF89+AH89+AJ89+AL89+AN89+AP89+AR89+AT89+AV89+AX89+AZ89+BB89+BD89+BF89+BH89</f>
        <v>12</v>
      </c>
      <c r="BK89" s="117">
        <f t="shared" si="140"/>
        <v>2400000</v>
      </c>
      <c r="BL89" s="345" t="s">
        <v>472</v>
      </c>
      <c r="BN89" s="113"/>
      <c r="BO89" s="113"/>
      <c r="BP89" s="113"/>
      <c r="BQ89" s="113"/>
      <c r="BR89" s="113">
        <f>BN89+BO89+BP89+BQ89</f>
        <v>0</v>
      </c>
      <c r="BS89" s="113">
        <f t="shared" ref="BS89:BS96" si="141">G89</f>
        <v>2400000</v>
      </c>
      <c r="BT89" s="113"/>
      <c r="BU89" s="125">
        <f>BS89+BT89</f>
        <v>2400000</v>
      </c>
      <c r="BV89" s="181">
        <f t="shared" si="106"/>
        <v>2400000</v>
      </c>
    </row>
    <row r="90" spans="1:74" x14ac:dyDescent="0.25">
      <c r="A90" s="989"/>
      <c r="B90" s="38">
        <v>41422</v>
      </c>
      <c r="C90" s="38" t="s">
        <v>748</v>
      </c>
      <c r="D90" s="38" t="s">
        <v>73</v>
      </c>
      <c r="E90" s="375">
        <v>50000</v>
      </c>
      <c r="F90" s="38">
        <f t="shared" si="126"/>
        <v>12</v>
      </c>
      <c r="G90" s="438">
        <f t="shared" si="127"/>
        <v>600000</v>
      </c>
      <c r="H90" s="438">
        <f t="shared" si="128"/>
        <v>300000</v>
      </c>
      <c r="I90" s="438">
        <f t="shared" si="129"/>
        <v>300000</v>
      </c>
      <c r="J90" s="438">
        <f t="shared" si="130"/>
        <v>0</v>
      </c>
      <c r="K90" s="438">
        <f t="shared" si="131"/>
        <v>0</v>
      </c>
      <c r="L90" s="438">
        <f t="shared" si="132"/>
        <v>0</v>
      </c>
      <c r="M90" s="438">
        <f t="shared" si="133"/>
        <v>0</v>
      </c>
      <c r="N90" s="438">
        <f t="shared" si="134"/>
        <v>0</v>
      </c>
      <c r="O90" s="85">
        <f t="shared" si="135"/>
        <v>0</v>
      </c>
      <c r="P90" s="85">
        <f t="shared" si="136"/>
        <v>0</v>
      </c>
      <c r="Q90" s="85">
        <f t="shared" si="137"/>
        <v>0</v>
      </c>
      <c r="R90" s="47">
        <v>3</v>
      </c>
      <c r="S90" s="47">
        <v>3</v>
      </c>
      <c r="T90" s="47">
        <v>3</v>
      </c>
      <c r="U90" s="47">
        <v>3</v>
      </c>
      <c r="V90" s="181">
        <f t="shared" ref="V90:V96" si="142">R90*E90</f>
        <v>150000</v>
      </c>
      <c r="W90" s="181">
        <f t="shared" ref="W90:W96" si="143">S90*E90</f>
        <v>150000</v>
      </c>
      <c r="X90" s="181">
        <f t="shared" ref="X90:X96" si="144">T90*E90</f>
        <v>150000</v>
      </c>
      <c r="Y90" s="181">
        <f t="shared" ref="Y90:Y96" si="145">U90*E90</f>
        <v>150000</v>
      </c>
      <c r="Z90" s="47">
        <v>0</v>
      </c>
      <c r="AA90" s="181">
        <f t="shared" si="138"/>
        <v>0</v>
      </c>
      <c r="AB90" s="47">
        <v>0</v>
      </c>
      <c r="AC90" s="181">
        <f t="shared" si="107"/>
        <v>0</v>
      </c>
      <c r="AD90" s="47">
        <v>0</v>
      </c>
      <c r="AE90" s="181">
        <f t="shared" si="108"/>
        <v>0</v>
      </c>
      <c r="AF90" s="47">
        <v>0</v>
      </c>
      <c r="AG90" s="181">
        <f t="shared" si="109"/>
        <v>0</v>
      </c>
      <c r="AH90" s="47">
        <v>0</v>
      </c>
      <c r="AI90" s="181">
        <f t="shared" si="110"/>
        <v>0</v>
      </c>
      <c r="AJ90" s="47">
        <v>0</v>
      </c>
      <c r="AK90" s="181">
        <f t="shared" si="111"/>
        <v>0</v>
      </c>
      <c r="AL90" s="47">
        <v>0</v>
      </c>
      <c r="AM90" s="181">
        <f t="shared" si="112"/>
        <v>0</v>
      </c>
      <c r="AN90" s="47">
        <v>0</v>
      </c>
      <c r="AO90" s="181">
        <f t="shared" si="113"/>
        <v>0</v>
      </c>
      <c r="AP90" s="47">
        <v>0</v>
      </c>
      <c r="AQ90" s="181">
        <f t="shared" si="114"/>
        <v>0</v>
      </c>
      <c r="AR90" s="47">
        <v>0</v>
      </c>
      <c r="AS90" s="181">
        <f t="shared" si="115"/>
        <v>0</v>
      </c>
      <c r="AT90" s="47">
        <v>0</v>
      </c>
      <c r="AU90" s="181">
        <f t="shared" si="116"/>
        <v>0</v>
      </c>
      <c r="AV90" s="47">
        <v>0</v>
      </c>
      <c r="AW90" s="181">
        <f t="shared" si="117"/>
        <v>0</v>
      </c>
      <c r="AX90" s="47">
        <v>0</v>
      </c>
      <c r="AY90" s="181">
        <f t="shared" si="118"/>
        <v>0</v>
      </c>
      <c r="AZ90" s="47">
        <v>0</v>
      </c>
      <c r="BA90" s="181">
        <f t="shared" si="119"/>
        <v>0</v>
      </c>
      <c r="BB90" s="47">
        <v>0</v>
      </c>
      <c r="BC90" s="181">
        <f t="shared" si="120"/>
        <v>0</v>
      </c>
      <c r="BD90" s="47">
        <v>0</v>
      </c>
      <c r="BE90" s="181">
        <f t="shared" si="121"/>
        <v>0</v>
      </c>
      <c r="BF90" s="47">
        <v>0</v>
      </c>
      <c r="BG90" s="181">
        <f t="shared" si="122"/>
        <v>0</v>
      </c>
      <c r="BH90" s="47">
        <v>12</v>
      </c>
      <c r="BI90" s="181">
        <f t="shared" si="139"/>
        <v>600000</v>
      </c>
      <c r="BJ90" s="47">
        <f t="shared" si="140"/>
        <v>12</v>
      </c>
      <c r="BK90" s="117">
        <f t="shared" si="140"/>
        <v>600000</v>
      </c>
      <c r="BL90" s="345" t="s">
        <v>472</v>
      </c>
      <c r="BN90" s="113"/>
      <c r="BO90" s="113"/>
      <c r="BP90" s="113"/>
      <c r="BQ90" s="113"/>
      <c r="BR90" s="113">
        <f t="shared" ref="BR90:BR96" si="146">BN90+BO90+BP90+BQ90</f>
        <v>0</v>
      </c>
      <c r="BS90" s="113">
        <f t="shared" si="141"/>
        <v>600000</v>
      </c>
      <c r="BT90" s="113"/>
      <c r="BU90" s="125">
        <f t="shared" ref="BU90:BU96" si="147">BS90+BT90</f>
        <v>600000</v>
      </c>
      <c r="BV90" s="181">
        <f t="shared" si="106"/>
        <v>600000</v>
      </c>
    </row>
    <row r="91" spans="1:74" x14ac:dyDescent="0.25">
      <c r="A91" s="989"/>
      <c r="B91" s="38">
        <v>41423</v>
      </c>
      <c r="C91" s="38" t="s">
        <v>314</v>
      </c>
      <c r="D91" s="38" t="s">
        <v>73</v>
      </c>
      <c r="E91" s="375">
        <f>0.45*100000</f>
        <v>45000</v>
      </c>
      <c r="F91" s="38">
        <f t="shared" si="126"/>
        <v>12</v>
      </c>
      <c r="G91" s="438">
        <f t="shared" si="127"/>
        <v>540000</v>
      </c>
      <c r="H91" s="438">
        <f t="shared" si="128"/>
        <v>270000</v>
      </c>
      <c r="I91" s="438">
        <f t="shared" si="129"/>
        <v>270000</v>
      </c>
      <c r="J91" s="438">
        <f t="shared" si="130"/>
        <v>0</v>
      </c>
      <c r="K91" s="438">
        <f t="shared" si="131"/>
        <v>0</v>
      </c>
      <c r="L91" s="438">
        <f t="shared" si="132"/>
        <v>0</v>
      </c>
      <c r="M91" s="438">
        <f t="shared" si="133"/>
        <v>0</v>
      </c>
      <c r="N91" s="438">
        <f t="shared" si="134"/>
        <v>0</v>
      </c>
      <c r="O91" s="85">
        <f t="shared" si="135"/>
        <v>0</v>
      </c>
      <c r="P91" s="85">
        <f t="shared" si="136"/>
        <v>0</v>
      </c>
      <c r="Q91" s="85">
        <f t="shared" si="137"/>
        <v>0</v>
      </c>
      <c r="R91" s="47">
        <v>3</v>
      </c>
      <c r="S91" s="47">
        <v>3</v>
      </c>
      <c r="T91" s="47">
        <v>3</v>
      </c>
      <c r="U91" s="47">
        <v>3</v>
      </c>
      <c r="V91" s="181">
        <f t="shared" si="142"/>
        <v>135000</v>
      </c>
      <c r="W91" s="181">
        <f t="shared" si="143"/>
        <v>135000</v>
      </c>
      <c r="X91" s="181">
        <f t="shared" si="144"/>
        <v>135000</v>
      </c>
      <c r="Y91" s="181">
        <f t="shared" si="145"/>
        <v>135000</v>
      </c>
      <c r="Z91" s="47">
        <v>0</v>
      </c>
      <c r="AA91" s="181">
        <f t="shared" si="138"/>
        <v>0</v>
      </c>
      <c r="AB91" s="47">
        <v>0</v>
      </c>
      <c r="AC91" s="181">
        <f t="shared" si="107"/>
        <v>0</v>
      </c>
      <c r="AD91" s="47">
        <v>0</v>
      </c>
      <c r="AE91" s="181">
        <f t="shared" si="108"/>
        <v>0</v>
      </c>
      <c r="AF91" s="47">
        <v>0</v>
      </c>
      <c r="AG91" s="181">
        <f t="shared" si="109"/>
        <v>0</v>
      </c>
      <c r="AH91" s="47">
        <v>0</v>
      </c>
      <c r="AI91" s="181">
        <f t="shared" si="110"/>
        <v>0</v>
      </c>
      <c r="AJ91" s="47">
        <v>0</v>
      </c>
      <c r="AK91" s="181">
        <f t="shared" si="111"/>
        <v>0</v>
      </c>
      <c r="AL91" s="47">
        <v>0</v>
      </c>
      <c r="AM91" s="181">
        <f t="shared" si="112"/>
        <v>0</v>
      </c>
      <c r="AN91" s="47">
        <v>0</v>
      </c>
      <c r="AO91" s="181">
        <f t="shared" si="113"/>
        <v>0</v>
      </c>
      <c r="AP91" s="47">
        <v>0</v>
      </c>
      <c r="AQ91" s="181">
        <f t="shared" si="114"/>
        <v>0</v>
      </c>
      <c r="AR91" s="47">
        <v>0</v>
      </c>
      <c r="AS91" s="181">
        <f t="shared" si="115"/>
        <v>0</v>
      </c>
      <c r="AT91" s="47">
        <v>0</v>
      </c>
      <c r="AU91" s="181">
        <f t="shared" si="116"/>
        <v>0</v>
      </c>
      <c r="AV91" s="47">
        <v>0</v>
      </c>
      <c r="AW91" s="181">
        <f t="shared" si="117"/>
        <v>0</v>
      </c>
      <c r="AX91" s="47">
        <v>0</v>
      </c>
      <c r="AY91" s="181">
        <f t="shared" si="118"/>
        <v>0</v>
      </c>
      <c r="AZ91" s="47">
        <v>0</v>
      </c>
      <c r="BA91" s="181">
        <f t="shared" si="119"/>
        <v>0</v>
      </c>
      <c r="BB91" s="47">
        <v>0</v>
      </c>
      <c r="BC91" s="181">
        <f t="shared" si="120"/>
        <v>0</v>
      </c>
      <c r="BD91" s="47">
        <v>0</v>
      </c>
      <c r="BE91" s="181">
        <f t="shared" si="121"/>
        <v>0</v>
      </c>
      <c r="BF91" s="47">
        <v>0</v>
      </c>
      <c r="BG91" s="181">
        <f t="shared" si="122"/>
        <v>0</v>
      </c>
      <c r="BH91" s="47">
        <v>12</v>
      </c>
      <c r="BI91" s="181">
        <f t="shared" si="139"/>
        <v>540000</v>
      </c>
      <c r="BJ91" s="47">
        <f t="shared" si="140"/>
        <v>12</v>
      </c>
      <c r="BK91" s="117">
        <f t="shared" si="140"/>
        <v>540000</v>
      </c>
      <c r="BL91" s="345" t="s">
        <v>472</v>
      </c>
      <c r="BN91" s="113"/>
      <c r="BO91" s="113"/>
      <c r="BP91" s="113"/>
      <c r="BQ91" s="113"/>
      <c r="BR91" s="113">
        <f t="shared" si="146"/>
        <v>0</v>
      </c>
      <c r="BS91" s="113">
        <f t="shared" si="141"/>
        <v>540000</v>
      </c>
      <c r="BT91" s="113"/>
      <c r="BU91" s="125">
        <f t="shared" si="147"/>
        <v>540000</v>
      </c>
      <c r="BV91" s="181">
        <f t="shared" si="106"/>
        <v>540000</v>
      </c>
    </row>
    <row r="92" spans="1:74" ht="47.25" x14ac:dyDescent="0.25">
      <c r="A92" s="989"/>
      <c r="B92" s="38">
        <v>41424</v>
      </c>
      <c r="C92" s="38" t="s">
        <v>829</v>
      </c>
      <c r="D92" s="38" t="s">
        <v>17</v>
      </c>
      <c r="E92" s="375">
        <v>1250000</v>
      </c>
      <c r="F92" s="38">
        <f t="shared" si="126"/>
        <v>12</v>
      </c>
      <c r="G92" s="438">
        <f t="shared" si="127"/>
        <v>15000000</v>
      </c>
      <c r="H92" s="438">
        <f t="shared" si="128"/>
        <v>7500000</v>
      </c>
      <c r="I92" s="438">
        <f t="shared" si="129"/>
        <v>7500000</v>
      </c>
      <c r="J92" s="438">
        <f t="shared" si="130"/>
        <v>0</v>
      </c>
      <c r="K92" s="438">
        <f t="shared" si="131"/>
        <v>0</v>
      </c>
      <c r="L92" s="438">
        <f t="shared" si="132"/>
        <v>0</v>
      </c>
      <c r="M92" s="438">
        <f t="shared" si="133"/>
        <v>0</v>
      </c>
      <c r="N92" s="438">
        <f t="shared" si="134"/>
        <v>0</v>
      </c>
      <c r="O92" s="85">
        <f t="shared" si="135"/>
        <v>0</v>
      </c>
      <c r="P92" s="85">
        <f t="shared" si="136"/>
        <v>0</v>
      </c>
      <c r="Q92" s="85">
        <f t="shared" si="137"/>
        <v>0</v>
      </c>
      <c r="R92" s="47">
        <v>3</v>
      </c>
      <c r="S92" s="47">
        <v>3</v>
      </c>
      <c r="T92" s="47">
        <v>3</v>
      </c>
      <c r="U92" s="47">
        <v>3</v>
      </c>
      <c r="V92" s="181">
        <f t="shared" si="142"/>
        <v>3750000</v>
      </c>
      <c r="W92" s="181">
        <f t="shared" si="143"/>
        <v>3750000</v>
      </c>
      <c r="X92" s="181">
        <f t="shared" si="144"/>
        <v>3750000</v>
      </c>
      <c r="Y92" s="181">
        <f t="shared" si="145"/>
        <v>3750000</v>
      </c>
      <c r="Z92" s="47">
        <v>0</v>
      </c>
      <c r="AA92" s="181">
        <f t="shared" si="138"/>
        <v>0</v>
      </c>
      <c r="AB92" s="47">
        <v>0</v>
      </c>
      <c r="AC92" s="181">
        <f t="shared" si="107"/>
        <v>0</v>
      </c>
      <c r="AD92" s="47">
        <v>0</v>
      </c>
      <c r="AE92" s="181">
        <f t="shared" si="108"/>
        <v>0</v>
      </c>
      <c r="AF92" s="47">
        <v>0</v>
      </c>
      <c r="AG92" s="181">
        <f t="shared" si="109"/>
        <v>0</v>
      </c>
      <c r="AH92" s="47">
        <v>0</v>
      </c>
      <c r="AI92" s="181">
        <f t="shared" si="110"/>
        <v>0</v>
      </c>
      <c r="AJ92" s="47">
        <v>0</v>
      </c>
      <c r="AK92" s="181">
        <f t="shared" si="111"/>
        <v>0</v>
      </c>
      <c r="AL92" s="47">
        <v>0</v>
      </c>
      <c r="AM92" s="181">
        <f t="shared" si="112"/>
        <v>0</v>
      </c>
      <c r="AN92" s="47">
        <v>0</v>
      </c>
      <c r="AO92" s="181">
        <f t="shared" si="113"/>
        <v>0</v>
      </c>
      <c r="AP92" s="47">
        <v>0</v>
      </c>
      <c r="AQ92" s="181">
        <f t="shared" si="114"/>
        <v>0</v>
      </c>
      <c r="AR92" s="47">
        <v>0</v>
      </c>
      <c r="AS92" s="181">
        <f t="shared" si="115"/>
        <v>0</v>
      </c>
      <c r="AT92" s="47">
        <v>0</v>
      </c>
      <c r="AU92" s="181">
        <f t="shared" si="116"/>
        <v>0</v>
      </c>
      <c r="AV92" s="47">
        <v>0</v>
      </c>
      <c r="AW92" s="181">
        <f t="shared" si="117"/>
        <v>0</v>
      </c>
      <c r="AX92" s="47">
        <v>0</v>
      </c>
      <c r="AY92" s="181">
        <f t="shared" si="118"/>
        <v>0</v>
      </c>
      <c r="AZ92" s="47">
        <v>0</v>
      </c>
      <c r="BA92" s="181">
        <f t="shared" si="119"/>
        <v>0</v>
      </c>
      <c r="BB92" s="47">
        <v>0</v>
      </c>
      <c r="BC92" s="181">
        <f t="shared" si="120"/>
        <v>0</v>
      </c>
      <c r="BD92" s="47">
        <v>0</v>
      </c>
      <c r="BE92" s="181">
        <f t="shared" si="121"/>
        <v>0</v>
      </c>
      <c r="BF92" s="47">
        <v>0</v>
      </c>
      <c r="BG92" s="181">
        <f t="shared" si="122"/>
        <v>0</v>
      </c>
      <c r="BH92" s="47">
        <v>12</v>
      </c>
      <c r="BI92" s="181">
        <f t="shared" si="139"/>
        <v>15000000</v>
      </c>
      <c r="BJ92" s="47">
        <f t="shared" si="140"/>
        <v>12</v>
      </c>
      <c r="BK92" s="117">
        <f t="shared" si="140"/>
        <v>15000000</v>
      </c>
      <c r="BL92" s="345" t="s">
        <v>472</v>
      </c>
      <c r="BN92" s="113"/>
      <c r="BO92" s="113"/>
      <c r="BP92" s="113"/>
      <c r="BQ92" s="113"/>
      <c r="BR92" s="113">
        <f t="shared" si="146"/>
        <v>0</v>
      </c>
      <c r="BS92" s="113">
        <f t="shared" si="141"/>
        <v>15000000</v>
      </c>
      <c r="BT92" s="113"/>
      <c r="BU92" s="125">
        <f t="shared" si="147"/>
        <v>15000000</v>
      </c>
      <c r="BV92" s="181">
        <f t="shared" si="106"/>
        <v>15000000</v>
      </c>
    </row>
    <row r="93" spans="1:74" ht="31.5" x14ac:dyDescent="0.25">
      <c r="A93" s="989"/>
      <c r="B93" s="210">
        <v>41425</v>
      </c>
      <c r="C93" s="210" t="s">
        <v>315</v>
      </c>
      <c r="D93" s="210" t="s">
        <v>73</v>
      </c>
      <c r="E93" s="388">
        <f>140000</f>
        <v>140000</v>
      </c>
      <c r="F93" s="38">
        <f t="shared" si="126"/>
        <v>12</v>
      </c>
      <c r="G93" s="438">
        <f t="shared" si="127"/>
        <v>1680000</v>
      </c>
      <c r="H93" s="438">
        <f t="shared" si="128"/>
        <v>840000</v>
      </c>
      <c r="I93" s="438">
        <f t="shared" si="129"/>
        <v>840000</v>
      </c>
      <c r="J93" s="438">
        <f t="shared" si="130"/>
        <v>0</v>
      </c>
      <c r="K93" s="438">
        <f t="shared" si="131"/>
        <v>0</v>
      </c>
      <c r="L93" s="438">
        <f t="shared" si="132"/>
        <v>0</v>
      </c>
      <c r="M93" s="438">
        <f t="shared" si="133"/>
        <v>0</v>
      </c>
      <c r="N93" s="438">
        <f t="shared" si="134"/>
        <v>0</v>
      </c>
      <c r="O93" s="85">
        <f t="shared" si="135"/>
        <v>0</v>
      </c>
      <c r="P93" s="85">
        <f t="shared" si="136"/>
        <v>0</v>
      </c>
      <c r="Q93" s="85">
        <f t="shared" si="137"/>
        <v>0</v>
      </c>
      <c r="R93" s="47">
        <v>3</v>
      </c>
      <c r="S93" s="47">
        <v>3</v>
      </c>
      <c r="T93" s="47">
        <v>3</v>
      </c>
      <c r="U93" s="47">
        <v>3</v>
      </c>
      <c r="V93" s="181">
        <f t="shared" si="142"/>
        <v>420000</v>
      </c>
      <c r="W93" s="181">
        <f t="shared" si="143"/>
        <v>420000</v>
      </c>
      <c r="X93" s="181">
        <f t="shared" si="144"/>
        <v>420000</v>
      </c>
      <c r="Y93" s="181">
        <f t="shared" si="145"/>
        <v>420000</v>
      </c>
      <c r="Z93" s="47">
        <v>0</v>
      </c>
      <c r="AA93" s="181">
        <f t="shared" si="138"/>
        <v>0</v>
      </c>
      <c r="AB93" s="47">
        <v>0</v>
      </c>
      <c r="AC93" s="181">
        <f t="shared" si="107"/>
        <v>0</v>
      </c>
      <c r="AD93" s="47">
        <v>0</v>
      </c>
      <c r="AE93" s="181">
        <f t="shared" si="108"/>
        <v>0</v>
      </c>
      <c r="AF93" s="47">
        <v>0</v>
      </c>
      <c r="AG93" s="181">
        <f t="shared" si="109"/>
        <v>0</v>
      </c>
      <c r="AH93" s="47">
        <v>0</v>
      </c>
      <c r="AI93" s="181">
        <f t="shared" si="110"/>
        <v>0</v>
      </c>
      <c r="AJ93" s="47">
        <v>0</v>
      </c>
      <c r="AK93" s="181">
        <f t="shared" si="111"/>
        <v>0</v>
      </c>
      <c r="AL93" s="47">
        <v>0</v>
      </c>
      <c r="AM93" s="181">
        <f t="shared" si="112"/>
        <v>0</v>
      </c>
      <c r="AN93" s="47">
        <v>0</v>
      </c>
      <c r="AO93" s="181">
        <f t="shared" si="113"/>
        <v>0</v>
      </c>
      <c r="AP93" s="47">
        <v>0</v>
      </c>
      <c r="AQ93" s="181">
        <f t="shared" si="114"/>
        <v>0</v>
      </c>
      <c r="AR93" s="47">
        <v>0</v>
      </c>
      <c r="AS93" s="181">
        <f t="shared" si="115"/>
        <v>0</v>
      </c>
      <c r="AT93" s="47">
        <v>0</v>
      </c>
      <c r="AU93" s="181">
        <f t="shared" si="116"/>
        <v>0</v>
      </c>
      <c r="AV93" s="47">
        <v>0</v>
      </c>
      <c r="AW93" s="181">
        <f t="shared" si="117"/>
        <v>0</v>
      </c>
      <c r="AX93" s="47">
        <v>0</v>
      </c>
      <c r="AY93" s="181">
        <f t="shared" si="118"/>
        <v>0</v>
      </c>
      <c r="AZ93" s="47">
        <v>0</v>
      </c>
      <c r="BA93" s="181">
        <f t="shared" si="119"/>
        <v>0</v>
      </c>
      <c r="BB93" s="47">
        <v>0</v>
      </c>
      <c r="BC93" s="181">
        <f t="shared" si="120"/>
        <v>0</v>
      </c>
      <c r="BD93" s="47">
        <v>0</v>
      </c>
      <c r="BE93" s="181">
        <f t="shared" si="121"/>
        <v>0</v>
      </c>
      <c r="BF93" s="47">
        <v>0</v>
      </c>
      <c r="BG93" s="181">
        <f t="shared" si="122"/>
        <v>0</v>
      </c>
      <c r="BH93" s="47">
        <v>12</v>
      </c>
      <c r="BI93" s="181">
        <f t="shared" si="139"/>
        <v>1680000</v>
      </c>
      <c r="BJ93" s="47">
        <f t="shared" si="140"/>
        <v>12</v>
      </c>
      <c r="BK93" s="117">
        <f t="shared" si="140"/>
        <v>1680000</v>
      </c>
      <c r="BL93" s="345" t="s">
        <v>472</v>
      </c>
      <c r="BN93" s="113"/>
      <c r="BO93" s="113"/>
      <c r="BP93" s="113"/>
      <c r="BQ93" s="113"/>
      <c r="BR93" s="113">
        <f t="shared" si="146"/>
        <v>0</v>
      </c>
      <c r="BS93" s="113">
        <f t="shared" si="141"/>
        <v>1680000</v>
      </c>
      <c r="BT93" s="113"/>
      <c r="BU93" s="125">
        <f t="shared" si="147"/>
        <v>1680000</v>
      </c>
      <c r="BV93" s="181">
        <f t="shared" si="106"/>
        <v>1680000</v>
      </c>
    </row>
    <row r="94" spans="1:74" ht="31.5" x14ac:dyDescent="0.25">
      <c r="A94" s="989"/>
      <c r="B94" s="38">
        <v>41426</v>
      </c>
      <c r="C94" s="38" t="s">
        <v>316</v>
      </c>
      <c r="D94" s="38" t="s">
        <v>73</v>
      </c>
      <c r="E94" s="375">
        <v>15000</v>
      </c>
      <c r="F94" s="38">
        <f t="shared" si="126"/>
        <v>12</v>
      </c>
      <c r="G94" s="438">
        <f t="shared" si="127"/>
        <v>180000</v>
      </c>
      <c r="H94" s="438">
        <f t="shared" si="128"/>
        <v>90000</v>
      </c>
      <c r="I94" s="438">
        <f t="shared" si="129"/>
        <v>90000</v>
      </c>
      <c r="J94" s="438">
        <f t="shared" si="130"/>
        <v>0</v>
      </c>
      <c r="K94" s="438">
        <f t="shared" si="131"/>
        <v>0</v>
      </c>
      <c r="L94" s="438">
        <f t="shared" si="132"/>
        <v>0</v>
      </c>
      <c r="M94" s="438">
        <f t="shared" si="133"/>
        <v>0</v>
      </c>
      <c r="N94" s="438">
        <f t="shared" si="134"/>
        <v>0</v>
      </c>
      <c r="O94" s="85">
        <f t="shared" si="135"/>
        <v>0</v>
      </c>
      <c r="P94" s="85">
        <f t="shared" si="136"/>
        <v>0</v>
      </c>
      <c r="Q94" s="85">
        <f t="shared" si="137"/>
        <v>0</v>
      </c>
      <c r="R94" s="47">
        <v>3</v>
      </c>
      <c r="S94" s="47">
        <v>3</v>
      </c>
      <c r="T94" s="47">
        <v>3</v>
      </c>
      <c r="U94" s="47">
        <v>3</v>
      </c>
      <c r="V94" s="181">
        <f t="shared" si="142"/>
        <v>45000</v>
      </c>
      <c r="W94" s="181">
        <f t="shared" si="143"/>
        <v>45000</v>
      </c>
      <c r="X94" s="181">
        <f t="shared" si="144"/>
        <v>45000</v>
      </c>
      <c r="Y94" s="181">
        <f t="shared" si="145"/>
        <v>45000</v>
      </c>
      <c r="Z94" s="47">
        <v>0</v>
      </c>
      <c r="AA94" s="181">
        <f t="shared" si="138"/>
        <v>0</v>
      </c>
      <c r="AB94" s="47">
        <v>0</v>
      </c>
      <c r="AC94" s="181">
        <f t="shared" si="107"/>
        <v>0</v>
      </c>
      <c r="AD94" s="47">
        <v>0</v>
      </c>
      <c r="AE94" s="181">
        <f t="shared" si="108"/>
        <v>0</v>
      </c>
      <c r="AF94" s="47">
        <v>0</v>
      </c>
      <c r="AG94" s="181">
        <f t="shared" si="109"/>
        <v>0</v>
      </c>
      <c r="AH94" s="47">
        <v>0</v>
      </c>
      <c r="AI94" s="181">
        <f t="shared" si="110"/>
        <v>0</v>
      </c>
      <c r="AJ94" s="47">
        <v>0</v>
      </c>
      <c r="AK94" s="181">
        <f t="shared" si="111"/>
        <v>0</v>
      </c>
      <c r="AL94" s="47">
        <v>0</v>
      </c>
      <c r="AM94" s="181">
        <f t="shared" si="112"/>
        <v>0</v>
      </c>
      <c r="AN94" s="47">
        <v>0</v>
      </c>
      <c r="AO94" s="181">
        <f t="shared" si="113"/>
        <v>0</v>
      </c>
      <c r="AP94" s="47">
        <v>0</v>
      </c>
      <c r="AQ94" s="181">
        <f t="shared" si="114"/>
        <v>0</v>
      </c>
      <c r="AR94" s="47">
        <v>0</v>
      </c>
      <c r="AS94" s="181">
        <f t="shared" si="115"/>
        <v>0</v>
      </c>
      <c r="AT94" s="47">
        <v>0</v>
      </c>
      <c r="AU94" s="181">
        <f t="shared" si="116"/>
        <v>0</v>
      </c>
      <c r="AV94" s="47">
        <v>0</v>
      </c>
      <c r="AW94" s="181">
        <f t="shared" si="117"/>
        <v>0</v>
      </c>
      <c r="AX94" s="47">
        <v>0</v>
      </c>
      <c r="AY94" s="181">
        <f t="shared" si="118"/>
        <v>0</v>
      </c>
      <c r="AZ94" s="47">
        <v>0</v>
      </c>
      <c r="BA94" s="181">
        <f t="shared" si="119"/>
        <v>0</v>
      </c>
      <c r="BB94" s="47">
        <v>0</v>
      </c>
      <c r="BC94" s="181">
        <f t="shared" si="120"/>
        <v>0</v>
      </c>
      <c r="BD94" s="47">
        <v>0</v>
      </c>
      <c r="BE94" s="181">
        <f t="shared" si="121"/>
        <v>0</v>
      </c>
      <c r="BF94" s="47">
        <v>0</v>
      </c>
      <c r="BG94" s="181">
        <f t="shared" si="122"/>
        <v>0</v>
      </c>
      <c r="BH94" s="47">
        <v>12</v>
      </c>
      <c r="BI94" s="181">
        <f t="shared" si="139"/>
        <v>180000</v>
      </c>
      <c r="BJ94" s="47">
        <f t="shared" si="140"/>
        <v>12</v>
      </c>
      <c r="BK94" s="117">
        <f t="shared" si="140"/>
        <v>180000</v>
      </c>
      <c r="BL94" s="345" t="s">
        <v>472</v>
      </c>
      <c r="BN94" s="113"/>
      <c r="BO94" s="113"/>
      <c r="BP94" s="113"/>
      <c r="BQ94" s="113"/>
      <c r="BR94" s="113">
        <f t="shared" si="146"/>
        <v>0</v>
      </c>
      <c r="BS94" s="113">
        <f t="shared" si="141"/>
        <v>180000</v>
      </c>
      <c r="BT94" s="113"/>
      <c r="BU94" s="125">
        <f t="shared" si="147"/>
        <v>180000</v>
      </c>
      <c r="BV94" s="181">
        <f t="shared" si="106"/>
        <v>180000</v>
      </c>
    </row>
    <row r="95" spans="1:74" x14ac:dyDescent="0.25">
      <c r="B95" s="38">
        <v>41427</v>
      </c>
      <c r="C95" s="38" t="s">
        <v>317</v>
      </c>
      <c r="D95" s="38" t="s">
        <v>73</v>
      </c>
      <c r="E95" s="375">
        <v>15000</v>
      </c>
      <c r="F95" s="38">
        <f t="shared" si="126"/>
        <v>12</v>
      </c>
      <c r="G95" s="438">
        <f t="shared" si="127"/>
        <v>180000</v>
      </c>
      <c r="H95" s="438">
        <f t="shared" si="128"/>
        <v>90000</v>
      </c>
      <c r="I95" s="438">
        <f t="shared" si="129"/>
        <v>90000</v>
      </c>
      <c r="J95" s="438">
        <f t="shared" si="130"/>
        <v>0</v>
      </c>
      <c r="K95" s="438">
        <f t="shared" si="131"/>
        <v>0</v>
      </c>
      <c r="L95" s="438">
        <f t="shared" si="132"/>
        <v>0</v>
      </c>
      <c r="M95" s="438">
        <f t="shared" si="133"/>
        <v>0</v>
      </c>
      <c r="N95" s="438">
        <f t="shared" si="134"/>
        <v>0</v>
      </c>
      <c r="O95" s="85">
        <f t="shared" si="135"/>
        <v>0</v>
      </c>
      <c r="P95" s="85">
        <f t="shared" si="136"/>
        <v>0</v>
      </c>
      <c r="Q95" s="85">
        <f t="shared" si="137"/>
        <v>0</v>
      </c>
      <c r="R95" s="47">
        <v>3</v>
      </c>
      <c r="S95" s="47">
        <v>3</v>
      </c>
      <c r="T95" s="47">
        <v>3</v>
      </c>
      <c r="U95" s="47">
        <v>3</v>
      </c>
      <c r="V95" s="181">
        <f t="shared" si="142"/>
        <v>45000</v>
      </c>
      <c r="W95" s="181">
        <f t="shared" si="143"/>
        <v>45000</v>
      </c>
      <c r="X95" s="181">
        <f t="shared" si="144"/>
        <v>45000</v>
      </c>
      <c r="Y95" s="181">
        <f t="shared" si="145"/>
        <v>45000</v>
      </c>
      <c r="Z95" s="47">
        <v>0</v>
      </c>
      <c r="AA95" s="181">
        <f t="shared" si="138"/>
        <v>0</v>
      </c>
      <c r="AB95" s="47">
        <v>0</v>
      </c>
      <c r="AC95" s="181">
        <f t="shared" si="107"/>
        <v>0</v>
      </c>
      <c r="AD95" s="47">
        <v>0</v>
      </c>
      <c r="AE95" s="181">
        <f t="shared" si="108"/>
        <v>0</v>
      </c>
      <c r="AF95" s="47">
        <v>0</v>
      </c>
      <c r="AG95" s="181">
        <f t="shared" si="109"/>
        <v>0</v>
      </c>
      <c r="AH95" s="47">
        <v>0</v>
      </c>
      <c r="AI95" s="181">
        <f t="shared" si="110"/>
        <v>0</v>
      </c>
      <c r="AJ95" s="47">
        <v>0</v>
      </c>
      <c r="AK95" s="181">
        <f t="shared" si="111"/>
        <v>0</v>
      </c>
      <c r="AL95" s="47">
        <v>0</v>
      </c>
      <c r="AM95" s="181">
        <f t="shared" si="112"/>
        <v>0</v>
      </c>
      <c r="AN95" s="47">
        <v>0</v>
      </c>
      <c r="AO95" s="181">
        <f t="shared" si="113"/>
        <v>0</v>
      </c>
      <c r="AP95" s="47">
        <v>0</v>
      </c>
      <c r="AQ95" s="181">
        <f t="shared" si="114"/>
        <v>0</v>
      </c>
      <c r="AR95" s="47">
        <v>0</v>
      </c>
      <c r="AS95" s="181">
        <f t="shared" si="115"/>
        <v>0</v>
      </c>
      <c r="AT95" s="47">
        <v>0</v>
      </c>
      <c r="AU95" s="181">
        <f t="shared" si="116"/>
        <v>0</v>
      </c>
      <c r="AV95" s="47">
        <v>0</v>
      </c>
      <c r="AW95" s="181">
        <f t="shared" si="117"/>
        <v>0</v>
      </c>
      <c r="AX95" s="47">
        <v>0</v>
      </c>
      <c r="AY95" s="181">
        <f t="shared" si="118"/>
        <v>0</v>
      </c>
      <c r="AZ95" s="47">
        <v>0</v>
      </c>
      <c r="BA95" s="181">
        <f t="shared" si="119"/>
        <v>0</v>
      </c>
      <c r="BB95" s="47">
        <v>0</v>
      </c>
      <c r="BC95" s="181">
        <f t="shared" si="120"/>
        <v>0</v>
      </c>
      <c r="BD95" s="47">
        <v>0</v>
      </c>
      <c r="BE95" s="181">
        <f t="shared" si="121"/>
        <v>0</v>
      </c>
      <c r="BF95" s="47">
        <v>0</v>
      </c>
      <c r="BG95" s="181">
        <f t="shared" si="122"/>
        <v>0</v>
      </c>
      <c r="BH95" s="47">
        <v>12</v>
      </c>
      <c r="BI95" s="181">
        <f t="shared" si="139"/>
        <v>180000</v>
      </c>
      <c r="BJ95" s="47">
        <f t="shared" si="140"/>
        <v>12</v>
      </c>
      <c r="BK95" s="117">
        <f t="shared" si="140"/>
        <v>180000</v>
      </c>
      <c r="BL95" s="345" t="s">
        <v>472</v>
      </c>
      <c r="BN95" s="113"/>
      <c r="BO95" s="113"/>
      <c r="BP95" s="113"/>
      <c r="BQ95" s="113"/>
      <c r="BR95" s="113">
        <f t="shared" si="146"/>
        <v>0</v>
      </c>
      <c r="BS95" s="113">
        <f t="shared" si="141"/>
        <v>180000</v>
      </c>
      <c r="BT95" s="113"/>
      <c r="BU95" s="125">
        <f t="shared" si="147"/>
        <v>180000</v>
      </c>
      <c r="BV95" s="181">
        <f t="shared" si="106"/>
        <v>180000</v>
      </c>
    </row>
    <row r="96" spans="1:74" x14ac:dyDescent="0.25">
      <c r="B96" s="38">
        <v>41428</v>
      </c>
      <c r="C96" s="38" t="s">
        <v>318</v>
      </c>
      <c r="D96" s="38" t="s">
        <v>17</v>
      </c>
      <c r="E96" s="375">
        <f>15.8*100000</f>
        <v>1580000</v>
      </c>
      <c r="F96" s="38">
        <f t="shared" si="126"/>
        <v>1</v>
      </c>
      <c r="G96" s="438">
        <f t="shared" si="127"/>
        <v>1580000</v>
      </c>
      <c r="H96" s="438">
        <f t="shared" si="128"/>
        <v>790000</v>
      </c>
      <c r="I96" s="438">
        <f t="shared" si="129"/>
        <v>790000</v>
      </c>
      <c r="J96" s="438">
        <f t="shared" si="130"/>
        <v>0</v>
      </c>
      <c r="K96" s="438">
        <f t="shared" si="131"/>
        <v>0</v>
      </c>
      <c r="L96" s="438">
        <f t="shared" si="132"/>
        <v>0</v>
      </c>
      <c r="M96" s="438">
        <f t="shared" si="133"/>
        <v>0</v>
      </c>
      <c r="N96" s="438">
        <f t="shared" si="134"/>
        <v>0</v>
      </c>
      <c r="O96" s="85">
        <f t="shared" si="135"/>
        <v>0</v>
      </c>
      <c r="P96" s="85">
        <f t="shared" si="136"/>
        <v>0</v>
      </c>
      <c r="Q96" s="85">
        <f t="shared" si="137"/>
        <v>0</v>
      </c>
      <c r="R96" s="47"/>
      <c r="S96" s="47">
        <v>1</v>
      </c>
      <c r="T96" s="47"/>
      <c r="U96" s="47"/>
      <c r="V96" s="181">
        <f t="shared" si="142"/>
        <v>0</v>
      </c>
      <c r="W96" s="181">
        <f t="shared" si="143"/>
        <v>1580000</v>
      </c>
      <c r="X96" s="181">
        <f t="shared" si="144"/>
        <v>0</v>
      </c>
      <c r="Y96" s="181">
        <f t="shared" si="145"/>
        <v>0</v>
      </c>
      <c r="Z96" s="47">
        <v>0</v>
      </c>
      <c r="AA96" s="181">
        <f t="shared" si="138"/>
        <v>0</v>
      </c>
      <c r="AB96" s="47">
        <v>0</v>
      </c>
      <c r="AC96" s="181">
        <f t="shared" si="107"/>
        <v>0</v>
      </c>
      <c r="AD96" s="47">
        <v>0</v>
      </c>
      <c r="AE96" s="181">
        <f t="shared" si="108"/>
        <v>0</v>
      </c>
      <c r="AF96" s="47">
        <v>0</v>
      </c>
      <c r="AG96" s="181">
        <f t="shared" si="109"/>
        <v>0</v>
      </c>
      <c r="AH96" s="47">
        <v>0</v>
      </c>
      <c r="AI96" s="181">
        <f t="shared" si="110"/>
        <v>0</v>
      </c>
      <c r="AJ96" s="47">
        <v>0</v>
      </c>
      <c r="AK96" s="181">
        <f t="shared" si="111"/>
        <v>0</v>
      </c>
      <c r="AL96" s="47">
        <v>0</v>
      </c>
      <c r="AM96" s="181">
        <f t="shared" si="112"/>
        <v>0</v>
      </c>
      <c r="AN96" s="47">
        <v>0</v>
      </c>
      <c r="AO96" s="181">
        <f t="shared" si="113"/>
        <v>0</v>
      </c>
      <c r="AP96" s="47">
        <v>0</v>
      </c>
      <c r="AQ96" s="181">
        <f t="shared" si="114"/>
        <v>0</v>
      </c>
      <c r="AR96" s="47">
        <v>0</v>
      </c>
      <c r="AS96" s="181">
        <f t="shared" si="115"/>
        <v>0</v>
      </c>
      <c r="AT96" s="47">
        <v>0</v>
      </c>
      <c r="AU96" s="181">
        <f t="shared" si="116"/>
        <v>0</v>
      </c>
      <c r="AV96" s="47">
        <v>0</v>
      </c>
      <c r="AW96" s="181">
        <f t="shared" si="117"/>
        <v>0</v>
      </c>
      <c r="AX96" s="47">
        <v>0</v>
      </c>
      <c r="AY96" s="181">
        <f t="shared" si="118"/>
        <v>0</v>
      </c>
      <c r="AZ96" s="47">
        <v>0</v>
      </c>
      <c r="BA96" s="181">
        <f t="shared" si="119"/>
        <v>0</v>
      </c>
      <c r="BB96" s="47">
        <v>0</v>
      </c>
      <c r="BC96" s="181">
        <f t="shared" si="120"/>
        <v>0</v>
      </c>
      <c r="BD96" s="47">
        <v>0</v>
      </c>
      <c r="BE96" s="181">
        <f t="shared" si="121"/>
        <v>0</v>
      </c>
      <c r="BF96" s="47">
        <v>0</v>
      </c>
      <c r="BG96" s="181">
        <f t="shared" si="122"/>
        <v>0</v>
      </c>
      <c r="BH96" s="47">
        <v>1</v>
      </c>
      <c r="BI96" s="181">
        <f t="shared" si="139"/>
        <v>1580000</v>
      </c>
      <c r="BJ96" s="47">
        <f t="shared" si="140"/>
        <v>1</v>
      </c>
      <c r="BK96" s="117">
        <f t="shared" si="140"/>
        <v>1580000</v>
      </c>
      <c r="BL96" s="345" t="s">
        <v>472</v>
      </c>
      <c r="BN96" s="113"/>
      <c r="BO96" s="113"/>
      <c r="BP96" s="113"/>
      <c r="BQ96" s="113"/>
      <c r="BR96" s="113">
        <f t="shared" si="146"/>
        <v>0</v>
      </c>
      <c r="BS96" s="113">
        <f t="shared" si="141"/>
        <v>1580000</v>
      </c>
      <c r="BT96" s="113"/>
      <c r="BU96" s="125">
        <f t="shared" si="147"/>
        <v>1580000</v>
      </c>
      <c r="BV96" s="181">
        <f t="shared" si="106"/>
        <v>1580000</v>
      </c>
    </row>
    <row r="97" spans="2:74" x14ac:dyDescent="0.25">
      <c r="B97" s="439"/>
      <c r="C97" s="439" t="s">
        <v>319</v>
      </c>
      <c r="D97" s="439"/>
      <c r="E97" s="439"/>
      <c r="F97" s="439">
        <f>SUM(F89:F96)</f>
        <v>85</v>
      </c>
      <c r="G97" s="440">
        <f>SUM(G89:G96)</f>
        <v>22160000</v>
      </c>
      <c r="H97" s="440">
        <f t="shared" ref="H97:Q97" si="148">SUM(H89:H96)</f>
        <v>11080000</v>
      </c>
      <c r="I97" s="440">
        <f t="shared" si="148"/>
        <v>11080000</v>
      </c>
      <c r="J97" s="440">
        <f t="shared" si="148"/>
        <v>0</v>
      </c>
      <c r="K97" s="440">
        <f t="shared" si="148"/>
        <v>0</v>
      </c>
      <c r="L97" s="440">
        <f t="shared" si="148"/>
        <v>0</v>
      </c>
      <c r="M97" s="440">
        <f t="shared" si="148"/>
        <v>0</v>
      </c>
      <c r="N97" s="440">
        <f t="shared" si="148"/>
        <v>0</v>
      </c>
      <c r="O97" s="440">
        <f t="shared" si="148"/>
        <v>0</v>
      </c>
      <c r="P97" s="440">
        <f t="shared" si="148"/>
        <v>0</v>
      </c>
      <c r="Q97" s="440">
        <f t="shared" si="148"/>
        <v>0</v>
      </c>
      <c r="R97" s="439">
        <f t="shared" ref="R97:BK97" si="149">SUM(R89:R96)</f>
        <v>21</v>
      </c>
      <c r="S97" s="439">
        <f t="shared" si="149"/>
        <v>22</v>
      </c>
      <c r="T97" s="439">
        <f t="shared" si="149"/>
        <v>21</v>
      </c>
      <c r="U97" s="439">
        <f t="shared" si="149"/>
        <v>21</v>
      </c>
      <c r="V97" s="440">
        <f t="shared" si="149"/>
        <v>5145000</v>
      </c>
      <c r="W97" s="440">
        <f t="shared" si="149"/>
        <v>6725000</v>
      </c>
      <c r="X97" s="440">
        <f t="shared" si="149"/>
        <v>5145000</v>
      </c>
      <c r="Y97" s="440">
        <f t="shared" si="149"/>
        <v>5145000</v>
      </c>
      <c r="Z97" s="439">
        <f t="shared" si="149"/>
        <v>0</v>
      </c>
      <c r="AA97" s="440">
        <f t="shared" si="149"/>
        <v>0</v>
      </c>
      <c r="AB97" s="439">
        <f t="shared" si="149"/>
        <v>0</v>
      </c>
      <c r="AC97" s="440">
        <f t="shared" si="149"/>
        <v>0</v>
      </c>
      <c r="AD97" s="439">
        <f t="shared" si="149"/>
        <v>0</v>
      </c>
      <c r="AE97" s="440">
        <f t="shared" si="149"/>
        <v>0</v>
      </c>
      <c r="AF97" s="439">
        <f t="shared" si="149"/>
        <v>0</v>
      </c>
      <c r="AG97" s="440">
        <f t="shared" si="149"/>
        <v>0</v>
      </c>
      <c r="AH97" s="439">
        <f t="shared" si="149"/>
        <v>0</v>
      </c>
      <c r="AI97" s="440">
        <f t="shared" si="149"/>
        <v>0</v>
      </c>
      <c r="AJ97" s="439">
        <f t="shared" si="149"/>
        <v>0</v>
      </c>
      <c r="AK97" s="440">
        <f t="shared" si="149"/>
        <v>0</v>
      </c>
      <c r="AL97" s="439">
        <f t="shared" si="149"/>
        <v>0</v>
      </c>
      <c r="AM97" s="440">
        <f t="shared" si="149"/>
        <v>0</v>
      </c>
      <c r="AN97" s="439">
        <f t="shared" si="149"/>
        <v>0</v>
      </c>
      <c r="AO97" s="440">
        <f t="shared" si="149"/>
        <v>0</v>
      </c>
      <c r="AP97" s="439">
        <f t="shared" si="149"/>
        <v>0</v>
      </c>
      <c r="AQ97" s="440">
        <f t="shared" si="149"/>
        <v>0</v>
      </c>
      <c r="AR97" s="439">
        <f t="shared" si="149"/>
        <v>0</v>
      </c>
      <c r="AS97" s="440">
        <f t="shared" si="149"/>
        <v>0</v>
      </c>
      <c r="AT97" s="439">
        <f t="shared" si="149"/>
        <v>0</v>
      </c>
      <c r="AU97" s="440">
        <f t="shared" si="149"/>
        <v>0</v>
      </c>
      <c r="AV97" s="439">
        <f t="shared" si="149"/>
        <v>0</v>
      </c>
      <c r="AW97" s="440">
        <f t="shared" si="149"/>
        <v>0</v>
      </c>
      <c r="AX97" s="439">
        <f t="shared" si="149"/>
        <v>0</v>
      </c>
      <c r="AY97" s="440">
        <f t="shared" si="149"/>
        <v>0</v>
      </c>
      <c r="AZ97" s="439">
        <f t="shared" si="149"/>
        <v>0</v>
      </c>
      <c r="BA97" s="440">
        <f t="shared" si="149"/>
        <v>0</v>
      </c>
      <c r="BB97" s="439">
        <f t="shared" si="149"/>
        <v>0</v>
      </c>
      <c r="BC97" s="440">
        <f t="shared" si="149"/>
        <v>0</v>
      </c>
      <c r="BD97" s="439">
        <f t="shared" si="149"/>
        <v>0</v>
      </c>
      <c r="BE97" s="440">
        <f t="shared" si="149"/>
        <v>0</v>
      </c>
      <c r="BF97" s="439">
        <f t="shared" si="149"/>
        <v>0</v>
      </c>
      <c r="BG97" s="440">
        <f t="shared" si="149"/>
        <v>0</v>
      </c>
      <c r="BH97" s="439">
        <f t="shared" si="149"/>
        <v>85</v>
      </c>
      <c r="BI97" s="440">
        <f t="shared" si="149"/>
        <v>22160000</v>
      </c>
      <c r="BJ97" s="439">
        <f t="shared" si="149"/>
        <v>85</v>
      </c>
      <c r="BK97" s="441">
        <f t="shared" si="149"/>
        <v>22160000</v>
      </c>
      <c r="BL97" s="47"/>
      <c r="BN97" s="441">
        <f t="shared" ref="BN97:BU97" si="150">SUM(BN89:BN96)</f>
        <v>0</v>
      </c>
      <c r="BO97" s="441">
        <f t="shared" si="150"/>
        <v>0</v>
      </c>
      <c r="BP97" s="441">
        <f t="shared" si="150"/>
        <v>0</v>
      </c>
      <c r="BQ97" s="441">
        <f t="shared" si="150"/>
        <v>0</v>
      </c>
      <c r="BR97" s="441">
        <f t="shared" si="150"/>
        <v>0</v>
      </c>
      <c r="BS97" s="441">
        <f t="shared" si="150"/>
        <v>22160000</v>
      </c>
      <c r="BT97" s="441">
        <f t="shared" si="150"/>
        <v>0</v>
      </c>
      <c r="BU97" s="441">
        <f t="shared" si="150"/>
        <v>22160000</v>
      </c>
      <c r="BV97" s="390">
        <f t="shared" si="106"/>
        <v>22160000</v>
      </c>
    </row>
    <row r="98" spans="2:74" x14ac:dyDescent="0.25">
      <c r="B98" s="38"/>
      <c r="C98" s="443" t="s">
        <v>320</v>
      </c>
      <c r="D98" s="443"/>
      <c r="E98" s="443"/>
      <c r="F98" s="444">
        <f>F97+F87</f>
        <v>313</v>
      </c>
      <c r="G98" s="129">
        <f>G97+G87</f>
        <v>32096000</v>
      </c>
      <c r="H98" s="129">
        <f t="shared" ref="H98:Q98" si="151">H97+H87</f>
        <v>16048000</v>
      </c>
      <c r="I98" s="129">
        <f t="shared" si="151"/>
        <v>16048000</v>
      </c>
      <c r="J98" s="129">
        <f t="shared" si="151"/>
        <v>0</v>
      </c>
      <c r="K98" s="129">
        <f t="shared" si="151"/>
        <v>0</v>
      </c>
      <c r="L98" s="129">
        <f t="shared" si="151"/>
        <v>0</v>
      </c>
      <c r="M98" s="129">
        <f t="shared" si="151"/>
        <v>0</v>
      </c>
      <c r="N98" s="129">
        <f t="shared" si="151"/>
        <v>0</v>
      </c>
      <c r="O98" s="129">
        <f t="shared" si="151"/>
        <v>0</v>
      </c>
      <c r="P98" s="129">
        <f t="shared" si="151"/>
        <v>0</v>
      </c>
      <c r="Q98" s="129">
        <f t="shared" si="151"/>
        <v>0</v>
      </c>
      <c r="R98" s="444">
        <f t="shared" ref="R98:BK98" si="152">R97+R87</f>
        <v>78</v>
      </c>
      <c r="S98" s="444">
        <f t="shared" si="152"/>
        <v>79</v>
      </c>
      <c r="T98" s="444">
        <f t="shared" si="152"/>
        <v>78</v>
      </c>
      <c r="U98" s="444">
        <f t="shared" si="152"/>
        <v>78</v>
      </c>
      <c r="V98" s="129">
        <f t="shared" si="152"/>
        <v>7629000</v>
      </c>
      <c r="W98" s="129">
        <f t="shared" si="152"/>
        <v>9209000</v>
      </c>
      <c r="X98" s="129">
        <f t="shared" si="152"/>
        <v>7629000</v>
      </c>
      <c r="Y98" s="129">
        <f t="shared" si="152"/>
        <v>7629000</v>
      </c>
      <c r="Z98" s="444">
        <f t="shared" si="152"/>
        <v>0</v>
      </c>
      <c r="AA98" s="129">
        <f t="shared" si="152"/>
        <v>0</v>
      </c>
      <c r="AB98" s="444">
        <f t="shared" si="152"/>
        <v>0</v>
      </c>
      <c r="AC98" s="129">
        <f t="shared" si="152"/>
        <v>0</v>
      </c>
      <c r="AD98" s="444">
        <f t="shared" si="152"/>
        <v>0</v>
      </c>
      <c r="AE98" s="129">
        <f t="shared" si="152"/>
        <v>0</v>
      </c>
      <c r="AF98" s="444">
        <f t="shared" si="152"/>
        <v>0</v>
      </c>
      <c r="AG98" s="129">
        <f t="shared" si="152"/>
        <v>0</v>
      </c>
      <c r="AH98" s="444">
        <f t="shared" si="152"/>
        <v>0</v>
      </c>
      <c r="AI98" s="129">
        <f t="shared" si="152"/>
        <v>0</v>
      </c>
      <c r="AJ98" s="444">
        <f t="shared" si="152"/>
        <v>0</v>
      </c>
      <c r="AK98" s="129">
        <f t="shared" si="152"/>
        <v>0</v>
      </c>
      <c r="AL98" s="444">
        <f t="shared" si="152"/>
        <v>0</v>
      </c>
      <c r="AM98" s="129">
        <f t="shared" si="152"/>
        <v>0</v>
      </c>
      <c r="AN98" s="444">
        <f t="shared" si="152"/>
        <v>0</v>
      </c>
      <c r="AO98" s="129">
        <f t="shared" si="152"/>
        <v>0</v>
      </c>
      <c r="AP98" s="444">
        <f t="shared" si="152"/>
        <v>0</v>
      </c>
      <c r="AQ98" s="129">
        <f t="shared" si="152"/>
        <v>0</v>
      </c>
      <c r="AR98" s="444">
        <f t="shared" si="152"/>
        <v>0</v>
      </c>
      <c r="AS98" s="129">
        <f t="shared" si="152"/>
        <v>0</v>
      </c>
      <c r="AT98" s="444">
        <f t="shared" si="152"/>
        <v>0</v>
      </c>
      <c r="AU98" s="129">
        <f t="shared" si="152"/>
        <v>0</v>
      </c>
      <c r="AV98" s="444">
        <f t="shared" si="152"/>
        <v>0</v>
      </c>
      <c r="AW98" s="129">
        <f t="shared" si="152"/>
        <v>0</v>
      </c>
      <c r="AX98" s="444">
        <f t="shared" si="152"/>
        <v>0</v>
      </c>
      <c r="AY98" s="129">
        <f t="shared" si="152"/>
        <v>0</v>
      </c>
      <c r="AZ98" s="444">
        <f t="shared" si="152"/>
        <v>0</v>
      </c>
      <c r="BA98" s="129">
        <f t="shared" si="152"/>
        <v>0</v>
      </c>
      <c r="BB98" s="444">
        <f t="shared" si="152"/>
        <v>0</v>
      </c>
      <c r="BC98" s="129">
        <f t="shared" si="152"/>
        <v>0</v>
      </c>
      <c r="BD98" s="444">
        <f t="shared" si="152"/>
        <v>0</v>
      </c>
      <c r="BE98" s="129">
        <f t="shared" si="152"/>
        <v>0</v>
      </c>
      <c r="BF98" s="444">
        <f t="shared" si="152"/>
        <v>0</v>
      </c>
      <c r="BG98" s="129">
        <f t="shared" si="152"/>
        <v>0</v>
      </c>
      <c r="BH98" s="444">
        <f t="shared" si="152"/>
        <v>313</v>
      </c>
      <c r="BI98" s="129">
        <f t="shared" si="152"/>
        <v>32096000</v>
      </c>
      <c r="BJ98" s="444">
        <f t="shared" si="152"/>
        <v>313</v>
      </c>
      <c r="BK98" s="445">
        <f t="shared" si="152"/>
        <v>32096000</v>
      </c>
      <c r="BL98" s="47"/>
      <c r="BN98" s="445">
        <f t="shared" ref="BN98:BU98" si="153">BN97+BN87</f>
        <v>0</v>
      </c>
      <c r="BO98" s="445">
        <f t="shared" si="153"/>
        <v>0</v>
      </c>
      <c r="BP98" s="445">
        <f t="shared" si="153"/>
        <v>0</v>
      </c>
      <c r="BQ98" s="445">
        <f t="shared" si="153"/>
        <v>0</v>
      </c>
      <c r="BR98" s="445">
        <f t="shared" si="153"/>
        <v>0</v>
      </c>
      <c r="BS98" s="445">
        <f t="shared" si="153"/>
        <v>32096000</v>
      </c>
      <c r="BT98" s="445">
        <f t="shared" si="153"/>
        <v>0</v>
      </c>
      <c r="BU98" s="445">
        <f t="shared" si="153"/>
        <v>32096000</v>
      </c>
      <c r="BV98" s="446">
        <f t="shared" si="106"/>
        <v>32096000</v>
      </c>
    </row>
    <row r="99" spans="2:74" x14ac:dyDescent="0.25">
      <c r="B99" s="216">
        <v>41500</v>
      </c>
      <c r="C99" s="216" t="s">
        <v>321</v>
      </c>
      <c r="D99" s="38"/>
      <c r="E99" s="375"/>
      <c r="F99" s="38"/>
      <c r="G99" s="124"/>
      <c r="H99" s="124"/>
      <c r="I99" s="124"/>
      <c r="J99" s="124"/>
      <c r="K99" s="124"/>
      <c r="L99" s="124"/>
      <c r="M99" s="124"/>
      <c r="N99" s="124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181">
        <f t="shared" si="107"/>
        <v>0</v>
      </c>
      <c r="AD99" s="47"/>
      <c r="AE99" s="181">
        <f t="shared" si="108"/>
        <v>0</v>
      </c>
      <c r="AF99" s="47"/>
      <c r="AG99" s="181">
        <f t="shared" si="109"/>
        <v>0</v>
      </c>
      <c r="AH99" s="47"/>
      <c r="AI99" s="181">
        <f t="shared" si="110"/>
        <v>0</v>
      </c>
      <c r="AJ99" s="47"/>
      <c r="AK99" s="181">
        <f t="shared" si="111"/>
        <v>0</v>
      </c>
      <c r="AL99" s="47"/>
      <c r="AM99" s="181">
        <f t="shared" si="112"/>
        <v>0</v>
      </c>
      <c r="AN99" s="47"/>
      <c r="AO99" s="181">
        <f t="shared" si="113"/>
        <v>0</v>
      </c>
      <c r="AP99" s="47"/>
      <c r="AQ99" s="181">
        <f t="shared" si="114"/>
        <v>0</v>
      </c>
      <c r="AR99" s="47"/>
      <c r="AS99" s="181">
        <f t="shared" si="115"/>
        <v>0</v>
      </c>
      <c r="AT99" s="47"/>
      <c r="AU99" s="181">
        <f t="shared" si="116"/>
        <v>0</v>
      </c>
      <c r="AV99" s="47"/>
      <c r="AW99" s="181">
        <f t="shared" si="117"/>
        <v>0</v>
      </c>
      <c r="AX99" s="47"/>
      <c r="AY99" s="181">
        <f t="shared" si="118"/>
        <v>0</v>
      </c>
      <c r="AZ99" s="47"/>
      <c r="BA99" s="181">
        <f t="shared" si="119"/>
        <v>0</v>
      </c>
      <c r="BB99" s="47"/>
      <c r="BC99" s="181">
        <f t="shared" si="120"/>
        <v>0</v>
      </c>
      <c r="BD99" s="47"/>
      <c r="BE99" s="181">
        <f t="shared" si="121"/>
        <v>0</v>
      </c>
      <c r="BF99" s="47"/>
      <c r="BG99" s="181">
        <f t="shared" si="122"/>
        <v>0</v>
      </c>
      <c r="BH99" s="47"/>
      <c r="BI99" s="47"/>
      <c r="BJ99" s="47"/>
      <c r="BK99" s="124"/>
      <c r="BL99" s="47"/>
      <c r="BN99" s="113"/>
      <c r="BO99" s="113"/>
      <c r="BP99" s="113"/>
      <c r="BQ99" s="113"/>
      <c r="BR99" s="113"/>
      <c r="BS99" s="113"/>
      <c r="BT99" s="113"/>
      <c r="BU99" s="125"/>
      <c r="BV99" s="181">
        <f t="shared" si="106"/>
        <v>0</v>
      </c>
    </row>
    <row r="100" spans="2:74" ht="63" x14ac:dyDescent="0.25">
      <c r="B100" s="38">
        <v>41501</v>
      </c>
      <c r="C100" s="38" t="s">
        <v>800</v>
      </c>
      <c r="D100" s="38" t="s">
        <v>17</v>
      </c>
      <c r="E100" s="375">
        <v>2500000</v>
      </c>
      <c r="F100" s="38">
        <f t="shared" ref="F100:F115" si="154">BJ100</f>
        <v>1</v>
      </c>
      <c r="G100" s="448">
        <f t="shared" ref="G100:G115" si="155">E100*F100</f>
        <v>2500000</v>
      </c>
      <c r="H100" s="438">
        <f>G100*0.5</f>
        <v>1250000</v>
      </c>
      <c r="I100" s="438">
        <f>G100*0.5</f>
        <v>1250000</v>
      </c>
      <c r="J100" s="438">
        <f t="shared" ref="J100:J115" si="156">G100*0</f>
        <v>0</v>
      </c>
      <c r="K100" s="438">
        <f t="shared" ref="K100:K115" si="157">G100*0</f>
        <v>0</v>
      </c>
      <c r="L100" s="438">
        <f t="shared" ref="L100:L115" si="158">G100*0</f>
        <v>0</v>
      </c>
      <c r="M100" s="438">
        <f t="shared" ref="M100:M115" si="159">G100*0</f>
        <v>0</v>
      </c>
      <c r="N100" s="438">
        <f t="shared" ref="N100:N115" si="160">G100*0</f>
        <v>0</v>
      </c>
      <c r="O100" s="85">
        <f t="shared" ref="O100:O115" si="161">G100*0</f>
        <v>0</v>
      </c>
      <c r="P100" s="85">
        <f t="shared" ref="P100:P115" si="162">G100*0</f>
        <v>0</v>
      </c>
      <c r="Q100" s="85">
        <f t="shared" ref="Q100:Q115" si="163">G100*0</f>
        <v>0</v>
      </c>
      <c r="R100" s="47"/>
      <c r="S100" s="47">
        <v>1</v>
      </c>
      <c r="T100" s="47"/>
      <c r="U100" s="47"/>
      <c r="V100" s="181">
        <f>R100*E100</f>
        <v>0</v>
      </c>
      <c r="W100" s="181">
        <f>S100*E100</f>
        <v>2500000</v>
      </c>
      <c r="X100" s="181">
        <f>T100*E100</f>
        <v>0</v>
      </c>
      <c r="Y100" s="181">
        <f>U100*E100</f>
        <v>0</v>
      </c>
      <c r="Z100" s="47">
        <v>0</v>
      </c>
      <c r="AA100" s="181">
        <f t="shared" ref="AA100:AA115" si="164">Z100*E100</f>
        <v>0</v>
      </c>
      <c r="AB100" s="47">
        <v>0</v>
      </c>
      <c r="AC100" s="181">
        <f t="shared" si="107"/>
        <v>0</v>
      </c>
      <c r="AD100" s="47">
        <v>0</v>
      </c>
      <c r="AE100" s="181">
        <f t="shared" si="108"/>
        <v>0</v>
      </c>
      <c r="AF100" s="47">
        <v>0</v>
      </c>
      <c r="AG100" s="181">
        <f t="shared" si="109"/>
        <v>0</v>
      </c>
      <c r="AH100" s="47">
        <v>0</v>
      </c>
      <c r="AI100" s="181">
        <f t="shared" si="110"/>
        <v>0</v>
      </c>
      <c r="AJ100" s="47">
        <v>0</v>
      </c>
      <c r="AK100" s="181">
        <f t="shared" si="111"/>
        <v>0</v>
      </c>
      <c r="AL100" s="47">
        <v>0</v>
      </c>
      <c r="AM100" s="181">
        <f t="shared" si="112"/>
        <v>0</v>
      </c>
      <c r="AN100" s="47">
        <v>0</v>
      </c>
      <c r="AO100" s="181">
        <f t="shared" si="113"/>
        <v>0</v>
      </c>
      <c r="AP100" s="47">
        <v>0</v>
      </c>
      <c r="AQ100" s="181">
        <f t="shared" si="114"/>
        <v>0</v>
      </c>
      <c r="AR100" s="47">
        <v>0</v>
      </c>
      <c r="AS100" s="181">
        <f t="shared" si="115"/>
        <v>0</v>
      </c>
      <c r="AT100" s="47">
        <v>0</v>
      </c>
      <c r="AU100" s="181">
        <f t="shared" si="116"/>
        <v>0</v>
      </c>
      <c r="AV100" s="47">
        <v>0</v>
      </c>
      <c r="AW100" s="181">
        <f t="shared" si="117"/>
        <v>0</v>
      </c>
      <c r="AX100" s="47">
        <v>0</v>
      </c>
      <c r="AY100" s="181">
        <f t="shared" si="118"/>
        <v>0</v>
      </c>
      <c r="AZ100" s="47">
        <v>0</v>
      </c>
      <c r="BA100" s="181">
        <f t="shared" si="119"/>
        <v>0</v>
      </c>
      <c r="BB100" s="47">
        <v>0</v>
      </c>
      <c r="BC100" s="181">
        <f t="shared" si="120"/>
        <v>0</v>
      </c>
      <c r="BD100" s="47">
        <v>0</v>
      </c>
      <c r="BE100" s="181">
        <f t="shared" si="121"/>
        <v>0</v>
      </c>
      <c r="BF100" s="47">
        <v>0</v>
      </c>
      <c r="BG100" s="181">
        <f t="shared" si="122"/>
        <v>0</v>
      </c>
      <c r="BH100" s="47">
        <v>1</v>
      </c>
      <c r="BI100" s="181">
        <f t="shared" ref="BI100:BI115" si="165">BH100*E100</f>
        <v>2500000</v>
      </c>
      <c r="BJ100" s="47">
        <f t="shared" ref="BJ100:BK115" si="166">Z100+AB100+AD100+AF100+AH100+AJ100+AL100+AN100+AP100+AR100+AT100+AV100+AX100+AZ100+BB100+BD100+BF100+BH100</f>
        <v>1</v>
      </c>
      <c r="BK100" s="117">
        <f t="shared" si="166"/>
        <v>2500000</v>
      </c>
      <c r="BL100" s="345" t="s">
        <v>472</v>
      </c>
      <c r="BN100" s="113"/>
      <c r="BO100" s="113"/>
      <c r="BP100" s="113"/>
      <c r="BQ100" s="113"/>
      <c r="BR100" s="113">
        <f>BN100+BO100+BP100+BQ100</f>
        <v>0</v>
      </c>
      <c r="BS100" s="113"/>
      <c r="BT100" s="113">
        <f>G100</f>
        <v>2500000</v>
      </c>
      <c r="BU100" s="125">
        <f>BS100+BT100</f>
        <v>2500000</v>
      </c>
      <c r="BV100" s="181">
        <f t="shared" si="106"/>
        <v>2500000</v>
      </c>
    </row>
    <row r="101" spans="2:74" x14ac:dyDescent="0.25">
      <c r="B101" s="38">
        <v>41502</v>
      </c>
      <c r="C101" s="38" t="s">
        <v>322</v>
      </c>
      <c r="D101" s="38" t="s">
        <v>17</v>
      </c>
      <c r="E101" s="375">
        <v>20000</v>
      </c>
      <c r="F101" s="38">
        <f t="shared" si="154"/>
        <v>1</v>
      </c>
      <c r="G101" s="448">
        <f t="shared" si="155"/>
        <v>20000</v>
      </c>
      <c r="H101" s="438">
        <f t="shared" ref="H101:H115" si="167">G101*0.5</f>
        <v>10000</v>
      </c>
      <c r="I101" s="438">
        <f t="shared" ref="I101:I115" si="168">G101*0.5</f>
        <v>10000</v>
      </c>
      <c r="J101" s="438">
        <f t="shared" si="156"/>
        <v>0</v>
      </c>
      <c r="K101" s="438">
        <f t="shared" si="157"/>
        <v>0</v>
      </c>
      <c r="L101" s="438">
        <f t="shared" si="158"/>
        <v>0</v>
      </c>
      <c r="M101" s="438">
        <f t="shared" si="159"/>
        <v>0</v>
      </c>
      <c r="N101" s="438">
        <f t="shared" si="160"/>
        <v>0</v>
      </c>
      <c r="O101" s="85">
        <f t="shared" si="161"/>
        <v>0</v>
      </c>
      <c r="P101" s="85">
        <f t="shared" si="162"/>
        <v>0</v>
      </c>
      <c r="Q101" s="85">
        <f t="shared" si="163"/>
        <v>0</v>
      </c>
      <c r="R101" s="47"/>
      <c r="S101" s="47"/>
      <c r="T101" s="47">
        <v>1</v>
      </c>
      <c r="U101" s="47"/>
      <c r="V101" s="181">
        <f t="shared" ref="V101:V115" si="169">R101*E101</f>
        <v>0</v>
      </c>
      <c r="W101" s="181">
        <f t="shared" ref="W101:W115" si="170">S101*E101</f>
        <v>0</v>
      </c>
      <c r="X101" s="181">
        <f t="shared" ref="X101:X115" si="171">T101*E101</f>
        <v>20000</v>
      </c>
      <c r="Y101" s="181">
        <f t="shared" ref="Y101:Y115" si="172">U101*E101</f>
        <v>0</v>
      </c>
      <c r="Z101" s="47">
        <v>0</v>
      </c>
      <c r="AA101" s="181">
        <f t="shared" si="164"/>
        <v>0</v>
      </c>
      <c r="AB101" s="47">
        <v>0</v>
      </c>
      <c r="AC101" s="181">
        <f t="shared" si="107"/>
        <v>0</v>
      </c>
      <c r="AD101" s="47">
        <v>0</v>
      </c>
      <c r="AE101" s="181">
        <f t="shared" si="108"/>
        <v>0</v>
      </c>
      <c r="AF101" s="47">
        <v>0</v>
      </c>
      <c r="AG101" s="181">
        <f t="shared" si="109"/>
        <v>0</v>
      </c>
      <c r="AH101" s="47">
        <v>0</v>
      </c>
      <c r="AI101" s="181">
        <f t="shared" si="110"/>
        <v>0</v>
      </c>
      <c r="AJ101" s="47">
        <v>0</v>
      </c>
      <c r="AK101" s="181">
        <f t="shared" si="111"/>
        <v>0</v>
      </c>
      <c r="AL101" s="47">
        <v>0</v>
      </c>
      <c r="AM101" s="181">
        <f t="shared" si="112"/>
        <v>0</v>
      </c>
      <c r="AN101" s="47">
        <v>0</v>
      </c>
      <c r="AO101" s="181">
        <f t="shared" si="113"/>
        <v>0</v>
      </c>
      <c r="AP101" s="47">
        <v>0</v>
      </c>
      <c r="AQ101" s="181">
        <f t="shared" si="114"/>
        <v>0</v>
      </c>
      <c r="AR101" s="47">
        <v>0</v>
      </c>
      <c r="AS101" s="181">
        <f t="shared" si="115"/>
        <v>0</v>
      </c>
      <c r="AT101" s="47">
        <v>0</v>
      </c>
      <c r="AU101" s="181">
        <f t="shared" si="116"/>
        <v>0</v>
      </c>
      <c r="AV101" s="47">
        <v>0</v>
      </c>
      <c r="AW101" s="181">
        <f t="shared" si="117"/>
        <v>0</v>
      </c>
      <c r="AX101" s="47">
        <v>0</v>
      </c>
      <c r="AY101" s="181">
        <f t="shared" si="118"/>
        <v>0</v>
      </c>
      <c r="AZ101" s="47">
        <v>0</v>
      </c>
      <c r="BA101" s="181">
        <f t="shared" si="119"/>
        <v>0</v>
      </c>
      <c r="BB101" s="47">
        <v>0</v>
      </c>
      <c r="BC101" s="181">
        <f t="shared" si="120"/>
        <v>0</v>
      </c>
      <c r="BD101" s="47">
        <v>0</v>
      </c>
      <c r="BE101" s="181">
        <f t="shared" si="121"/>
        <v>0</v>
      </c>
      <c r="BF101" s="47">
        <v>0</v>
      </c>
      <c r="BG101" s="181">
        <f t="shared" si="122"/>
        <v>0</v>
      </c>
      <c r="BH101" s="47">
        <v>1</v>
      </c>
      <c r="BI101" s="181">
        <f t="shared" si="165"/>
        <v>20000</v>
      </c>
      <c r="BJ101" s="47">
        <f t="shared" si="166"/>
        <v>1</v>
      </c>
      <c r="BK101" s="117">
        <f t="shared" si="166"/>
        <v>20000</v>
      </c>
      <c r="BL101" s="345" t="s">
        <v>472</v>
      </c>
      <c r="BN101" s="113"/>
      <c r="BO101" s="113"/>
      <c r="BP101" s="113"/>
      <c r="BQ101" s="113"/>
      <c r="BR101" s="113">
        <f t="shared" ref="BR101:BR115" si="173">BN101+BO101+BP101+BQ101</f>
        <v>0</v>
      </c>
      <c r="BS101" s="113"/>
      <c r="BT101" s="113">
        <f t="shared" ref="BT101:BT115" si="174">G101</f>
        <v>20000</v>
      </c>
      <c r="BU101" s="125">
        <f t="shared" ref="BU101:BU115" si="175">BS101+BT101</f>
        <v>20000</v>
      </c>
      <c r="BV101" s="181">
        <f t="shared" si="106"/>
        <v>20000</v>
      </c>
    </row>
    <row r="102" spans="2:74" ht="31.5" x14ac:dyDescent="0.25">
      <c r="B102" s="38">
        <v>41503</v>
      </c>
      <c r="C102" s="171" t="s">
        <v>323</v>
      </c>
      <c r="D102" s="171" t="s">
        <v>17</v>
      </c>
      <c r="E102" s="180">
        <v>300000</v>
      </c>
      <c r="F102" s="38">
        <f t="shared" si="154"/>
        <v>1</v>
      </c>
      <c r="G102" s="448">
        <f t="shared" si="155"/>
        <v>300000</v>
      </c>
      <c r="H102" s="438">
        <f t="shared" si="167"/>
        <v>150000</v>
      </c>
      <c r="I102" s="438">
        <f t="shared" si="168"/>
        <v>150000</v>
      </c>
      <c r="J102" s="438">
        <f t="shared" si="156"/>
        <v>0</v>
      </c>
      <c r="K102" s="438">
        <f t="shared" si="157"/>
        <v>0</v>
      </c>
      <c r="L102" s="438">
        <f t="shared" si="158"/>
        <v>0</v>
      </c>
      <c r="M102" s="438">
        <f t="shared" si="159"/>
        <v>0</v>
      </c>
      <c r="N102" s="438">
        <f t="shared" si="160"/>
        <v>0</v>
      </c>
      <c r="O102" s="85">
        <f t="shared" si="161"/>
        <v>0</v>
      </c>
      <c r="P102" s="85">
        <f t="shared" si="162"/>
        <v>0</v>
      </c>
      <c r="Q102" s="85">
        <f t="shared" si="163"/>
        <v>0</v>
      </c>
      <c r="R102" s="47"/>
      <c r="S102" s="47"/>
      <c r="T102" s="47">
        <v>1</v>
      </c>
      <c r="U102" s="47"/>
      <c r="V102" s="181">
        <f t="shared" si="169"/>
        <v>0</v>
      </c>
      <c r="W102" s="181">
        <f t="shared" si="170"/>
        <v>0</v>
      </c>
      <c r="X102" s="181">
        <f t="shared" si="171"/>
        <v>300000</v>
      </c>
      <c r="Y102" s="181">
        <f t="shared" si="172"/>
        <v>0</v>
      </c>
      <c r="Z102" s="47">
        <v>0</v>
      </c>
      <c r="AA102" s="181">
        <f t="shared" si="164"/>
        <v>0</v>
      </c>
      <c r="AB102" s="47">
        <v>0</v>
      </c>
      <c r="AC102" s="181">
        <f t="shared" si="107"/>
        <v>0</v>
      </c>
      <c r="AD102" s="47">
        <v>0</v>
      </c>
      <c r="AE102" s="181">
        <f t="shared" si="108"/>
        <v>0</v>
      </c>
      <c r="AF102" s="47">
        <v>0</v>
      </c>
      <c r="AG102" s="181">
        <f t="shared" si="109"/>
        <v>0</v>
      </c>
      <c r="AH102" s="47">
        <v>0</v>
      </c>
      <c r="AI102" s="181">
        <f t="shared" si="110"/>
        <v>0</v>
      </c>
      <c r="AJ102" s="47">
        <v>0</v>
      </c>
      <c r="AK102" s="181">
        <f t="shared" si="111"/>
        <v>0</v>
      </c>
      <c r="AL102" s="47">
        <v>0</v>
      </c>
      <c r="AM102" s="181">
        <f t="shared" si="112"/>
        <v>0</v>
      </c>
      <c r="AN102" s="47">
        <v>0</v>
      </c>
      <c r="AO102" s="181">
        <f t="shared" si="113"/>
        <v>0</v>
      </c>
      <c r="AP102" s="47">
        <v>0</v>
      </c>
      <c r="AQ102" s="181">
        <f t="shared" si="114"/>
        <v>0</v>
      </c>
      <c r="AR102" s="47">
        <v>0</v>
      </c>
      <c r="AS102" s="181">
        <f t="shared" si="115"/>
        <v>0</v>
      </c>
      <c r="AT102" s="47">
        <v>0</v>
      </c>
      <c r="AU102" s="181">
        <f t="shared" si="116"/>
        <v>0</v>
      </c>
      <c r="AV102" s="47">
        <v>0</v>
      </c>
      <c r="AW102" s="181">
        <f t="shared" si="117"/>
        <v>0</v>
      </c>
      <c r="AX102" s="47">
        <v>0</v>
      </c>
      <c r="AY102" s="181">
        <f t="shared" si="118"/>
        <v>0</v>
      </c>
      <c r="AZ102" s="47">
        <v>0</v>
      </c>
      <c r="BA102" s="181">
        <f t="shared" si="119"/>
        <v>0</v>
      </c>
      <c r="BB102" s="47">
        <v>0</v>
      </c>
      <c r="BC102" s="181">
        <f t="shared" si="120"/>
        <v>0</v>
      </c>
      <c r="BD102" s="47">
        <v>0</v>
      </c>
      <c r="BE102" s="181">
        <f t="shared" si="121"/>
        <v>0</v>
      </c>
      <c r="BF102" s="47">
        <v>0</v>
      </c>
      <c r="BG102" s="181">
        <f t="shared" si="122"/>
        <v>0</v>
      </c>
      <c r="BH102" s="47">
        <v>1</v>
      </c>
      <c r="BI102" s="181">
        <f t="shared" si="165"/>
        <v>300000</v>
      </c>
      <c r="BJ102" s="47">
        <f t="shared" si="166"/>
        <v>1</v>
      </c>
      <c r="BK102" s="117">
        <f t="shared" si="166"/>
        <v>300000</v>
      </c>
      <c r="BL102" s="345" t="s">
        <v>472</v>
      </c>
      <c r="BN102" s="113"/>
      <c r="BO102" s="113"/>
      <c r="BP102" s="113"/>
      <c r="BQ102" s="113"/>
      <c r="BR102" s="113">
        <f t="shared" si="173"/>
        <v>0</v>
      </c>
      <c r="BS102" s="113"/>
      <c r="BT102" s="113">
        <f t="shared" si="174"/>
        <v>300000</v>
      </c>
      <c r="BU102" s="125">
        <f t="shared" si="175"/>
        <v>300000</v>
      </c>
      <c r="BV102" s="181">
        <f t="shared" si="106"/>
        <v>300000</v>
      </c>
    </row>
    <row r="103" spans="2:74" ht="31.5" x14ac:dyDescent="0.25">
      <c r="B103" s="38">
        <v>41504</v>
      </c>
      <c r="C103" s="38" t="s">
        <v>324</v>
      </c>
      <c r="D103" s="38" t="s">
        <v>73</v>
      </c>
      <c r="E103" s="375"/>
      <c r="F103" s="38">
        <f t="shared" si="154"/>
        <v>0</v>
      </c>
      <c r="G103" s="448">
        <f t="shared" si="155"/>
        <v>0</v>
      </c>
      <c r="H103" s="438">
        <f t="shared" si="167"/>
        <v>0</v>
      </c>
      <c r="I103" s="438">
        <f t="shared" si="168"/>
        <v>0</v>
      </c>
      <c r="J103" s="438">
        <f t="shared" si="156"/>
        <v>0</v>
      </c>
      <c r="K103" s="438">
        <f t="shared" si="157"/>
        <v>0</v>
      </c>
      <c r="L103" s="438">
        <f t="shared" si="158"/>
        <v>0</v>
      </c>
      <c r="M103" s="438">
        <f t="shared" si="159"/>
        <v>0</v>
      </c>
      <c r="N103" s="438">
        <f t="shared" si="160"/>
        <v>0</v>
      </c>
      <c r="O103" s="85">
        <f t="shared" si="161"/>
        <v>0</v>
      </c>
      <c r="P103" s="85">
        <f t="shared" si="162"/>
        <v>0</v>
      </c>
      <c r="Q103" s="85">
        <f t="shared" si="163"/>
        <v>0</v>
      </c>
      <c r="R103" s="47"/>
      <c r="S103" s="47"/>
      <c r="T103" s="47"/>
      <c r="U103" s="47"/>
      <c r="V103" s="181">
        <f t="shared" si="169"/>
        <v>0</v>
      </c>
      <c r="W103" s="181">
        <f t="shared" si="170"/>
        <v>0</v>
      </c>
      <c r="X103" s="181">
        <f t="shared" si="171"/>
        <v>0</v>
      </c>
      <c r="Y103" s="181">
        <f t="shared" si="172"/>
        <v>0</v>
      </c>
      <c r="Z103" s="47">
        <v>0</v>
      </c>
      <c r="AA103" s="181">
        <f t="shared" si="164"/>
        <v>0</v>
      </c>
      <c r="AB103" s="47">
        <v>0</v>
      </c>
      <c r="AC103" s="181">
        <f t="shared" si="107"/>
        <v>0</v>
      </c>
      <c r="AD103" s="47">
        <v>0</v>
      </c>
      <c r="AE103" s="181">
        <f t="shared" si="108"/>
        <v>0</v>
      </c>
      <c r="AF103" s="47">
        <v>0</v>
      </c>
      <c r="AG103" s="181">
        <f t="shared" si="109"/>
        <v>0</v>
      </c>
      <c r="AH103" s="47">
        <v>0</v>
      </c>
      <c r="AI103" s="181">
        <f t="shared" si="110"/>
        <v>0</v>
      </c>
      <c r="AJ103" s="47">
        <v>0</v>
      </c>
      <c r="AK103" s="181">
        <f t="shared" si="111"/>
        <v>0</v>
      </c>
      <c r="AL103" s="47">
        <v>0</v>
      </c>
      <c r="AM103" s="181">
        <f t="shared" si="112"/>
        <v>0</v>
      </c>
      <c r="AN103" s="47">
        <v>0</v>
      </c>
      <c r="AO103" s="181">
        <f t="shared" si="113"/>
        <v>0</v>
      </c>
      <c r="AP103" s="47">
        <v>0</v>
      </c>
      <c r="AQ103" s="181">
        <f t="shared" si="114"/>
        <v>0</v>
      </c>
      <c r="AR103" s="47">
        <v>0</v>
      </c>
      <c r="AS103" s="181">
        <f t="shared" si="115"/>
        <v>0</v>
      </c>
      <c r="AT103" s="47">
        <v>0</v>
      </c>
      <c r="AU103" s="181">
        <f t="shared" si="116"/>
        <v>0</v>
      </c>
      <c r="AV103" s="47">
        <v>0</v>
      </c>
      <c r="AW103" s="181">
        <f t="shared" si="117"/>
        <v>0</v>
      </c>
      <c r="AX103" s="47">
        <v>0</v>
      </c>
      <c r="AY103" s="181">
        <f t="shared" si="118"/>
        <v>0</v>
      </c>
      <c r="AZ103" s="47">
        <v>0</v>
      </c>
      <c r="BA103" s="181">
        <f t="shared" si="119"/>
        <v>0</v>
      </c>
      <c r="BB103" s="47">
        <v>0</v>
      </c>
      <c r="BC103" s="181">
        <f t="shared" si="120"/>
        <v>0</v>
      </c>
      <c r="BD103" s="47">
        <v>0</v>
      </c>
      <c r="BE103" s="181">
        <f t="shared" si="121"/>
        <v>0</v>
      </c>
      <c r="BF103" s="47">
        <v>0</v>
      </c>
      <c r="BG103" s="181">
        <f t="shared" si="122"/>
        <v>0</v>
      </c>
      <c r="BH103" s="47">
        <v>0</v>
      </c>
      <c r="BI103" s="181">
        <f t="shared" si="165"/>
        <v>0</v>
      </c>
      <c r="BJ103" s="47">
        <f t="shared" si="166"/>
        <v>0</v>
      </c>
      <c r="BK103" s="117">
        <f t="shared" si="166"/>
        <v>0</v>
      </c>
      <c r="BL103" s="345" t="s">
        <v>472</v>
      </c>
      <c r="BN103" s="113"/>
      <c r="BO103" s="113"/>
      <c r="BP103" s="113"/>
      <c r="BQ103" s="113"/>
      <c r="BR103" s="113">
        <f t="shared" si="173"/>
        <v>0</v>
      </c>
      <c r="BS103" s="113"/>
      <c r="BT103" s="113">
        <f t="shared" si="174"/>
        <v>0</v>
      </c>
      <c r="BU103" s="125">
        <f t="shared" si="175"/>
        <v>0</v>
      </c>
      <c r="BV103" s="181">
        <f t="shared" si="106"/>
        <v>0</v>
      </c>
    </row>
    <row r="104" spans="2:74" x14ac:dyDescent="0.25">
      <c r="B104" s="38">
        <v>41505</v>
      </c>
      <c r="C104" s="38" t="s">
        <v>325</v>
      </c>
      <c r="D104" s="38" t="s">
        <v>73</v>
      </c>
      <c r="E104" s="375">
        <v>1500</v>
      </c>
      <c r="F104" s="38">
        <f t="shared" si="154"/>
        <v>12</v>
      </c>
      <c r="G104" s="448">
        <f t="shared" si="155"/>
        <v>18000</v>
      </c>
      <c r="H104" s="438">
        <f t="shared" si="167"/>
        <v>9000</v>
      </c>
      <c r="I104" s="438">
        <f t="shared" si="168"/>
        <v>9000</v>
      </c>
      <c r="J104" s="438">
        <f t="shared" si="156"/>
        <v>0</v>
      </c>
      <c r="K104" s="438">
        <f t="shared" si="157"/>
        <v>0</v>
      </c>
      <c r="L104" s="438">
        <f t="shared" si="158"/>
        <v>0</v>
      </c>
      <c r="M104" s="438">
        <f t="shared" si="159"/>
        <v>0</v>
      </c>
      <c r="N104" s="438">
        <f t="shared" si="160"/>
        <v>0</v>
      </c>
      <c r="O104" s="85">
        <f t="shared" si="161"/>
        <v>0</v>
      </c>
      <c r="P104" s="85">
        <f t="shared" si="162"/>
        <v>0</v>
      </c>
      <c r="Q104" s="85">
        <f t="shared" si="163"/>
        <v>0</v>
      </c>
      <c r="R104" s="47">
        <v>3</v>
      </c>
      <c r="S104" s="47">
        <v>3</v>
      </c>
      <c r="T104" s="47">
        <v>3</v>
      </c>
      <c r="U104" s="47">
        <v>3</v>
      </c>
      <c r="V104" s="181">
        <f t="shared" si="169"/>
        <v>4500</v>
      </c>
      <c r="W104" s="181">
        <f t="shared" si="170"/>
        <v>4500</v>
      </c>
      <c r="X104" s="181">
        <f t="shared" si="171"/>
        <v>4500</v>
      </c>
      <c r="Y104" s="181">
        <f t="shared" si="172"/>
        <v>4500</v>
      </c>
      <c r="Z104" s="47">
        <v>0</v>
      </c>
      <c r="AA104" s="181">
        <f t="shared" si="164"/>
        <v>0</v>
      </c>
      <c r="AB104" s="47">
        <v>0</v>
      </c>
      <c r="AC104" s="181">
        <f t="shared" si="107"/>
        <v>0</v>
      </c>
      <c r="AD104" s="47">
        <v>0</v>
      </c>
      <c r="AE104" s="181">
        <f t="shared" si="108"/>
        <v>0</v>
      </c>
      <c r="AF104" s="47">
        <v>0</v>
      </c>
      <c r="AG104" s="181">
        <f t="shared" si="109"/>
        <v>0</v>
      </c>
      <c r="AH104" s="47">
        <v>0</v>
      </c>
      <c r="AI104" s="181">
        <f t="shared" si="110"/>
        <v>0</v>
      </c>
      <c r="AJ104" s="47">
        <v>0</v>
      </c>
      <c r="AK104" s="181">
        <f t="shared" si="111"/>
        <v>0</v>
      </c>
      <c r="AL104" s="47">
        <v>0</v>
      </c>
      <c r="AM104" s="181">
        <f t="shared" si="112"/>
        <v>0</v>
      </c>
      <c r="AN104" s="47">
        <v>0</v>
      </c>
      <c r="AO104" s="181">
        <f t="shared" si="113"/>
        <v>0</v>
      </c>
      <c r="AP104" s="47">
        <v>0</v>
      </c>
      <c r="AQ104" s="181">
        <f t="shared" si="114"/>
        <v>0</v>
      </c>
      <c r="AR104" s="47">
        <v>0</v>
      </c>
      <c r="AS104" s="181">
        <f t="shared" si="115"/>
        <v>0</v>
      </c>
      <c r="AT104" s="47">
        <v>0</v>
      </c>
      <c r="AU104" s="181">
        <f t="shared" si="116"/>
        <v>0</v>
      </c>
      <c r="AV104" s="47">
        <v>0</v>
      </c>
      <c r="AW104" s="181">
        <f t="shared" si="117"/>
        <v>0</v>
      </c>
      <c r="AX104" s="47">
        <v>0</v>
      </c>
      <c r="AY104" s="181">
        <f t="shared" si="118"/>
        <v>0</v>
      </c>
      <c r="AZ104" s="47">
        <v>0</v>
      </c>
      <c r="BA104" s="181">
        <f t="shared" si="119"/>
        <v>0</v>
      </c>
      <c r="BB104" s="47">
        <v>0</v>
      </c>
      <c r="BC104" s="181">
        <f t="shared" si="120"/>
        <v>0</v>
      </c>
      <c r="BD104" s="47">
        <v>0</v>
      </c>
      <c r="BE104" s="181">
        <f t="shared" si="121"/>
        <v>0</v>
      </c>
      <c r="BF104" s="47">
        <v>0</v>
      </c>
      <c r="BG104" s="181">
        <f t="shared" si="122"/>
        <v>0</v>
      </c>
      <c r="BH104" s="47">
        <v>12</v>
      </c>
      <c r="BI104" s="181">
        <f t="shared" si="165"/>
        <v>18000</v>
      </c>
      <c r="BJ104" s="47">
        <f t="shared" si="166"/>
        <v>12</v>
      </c>
      <c r="BK104" s="117">
        <f t="shared" si="166"/>
        <v>18000</v>
      </c>
      <c r="BL104" s="345" t="s">
        <v>472</v>
      </c>
      <c r="BN104" s="113"/>
      <c r="BO104" s="113"/>
      <c r="BP104" s="113"/>
      <c r="BQ104" s="113"/>
      <c r="BR104" s="113">
        <f t="shared" si="173"/>
        <v>0</v>
      </c>
      <c r="BS104" s="113"/>
      <c r="BT104" s="113">
        <f t="shared" si="174"/>
        <v>18000</v>
      </c>
      <c r="BU104" s="125">
        <f t="shared" si="175"/>
        <v>18000</v>
      </c>
      <c r="BV104" s="181">
        <f t="shared" si="106"/>
        <v>18000</v>
      </c>
    </row>
    <row r="105" spans="2:74" x14ac:dyDescent="0.25">
      <c r="B105" s="38">
        <v>41506</v>
      </c>
      <c r="C105" s="38" t="s">
        <v>326</v>
      </c>
      <c r="D105" s="38" t="s">
        <v>73</v>
      </c>
      <c r="E105" s="375">
        <v>7250</v>
      </c>
      <c r="F105" s="38">
        <f t="shared" si="154"/>
        <v>12</v>
      </c>
      <c r="G105" s="448">
        <f t="shared" si="155"/>
        <v>87000</v>
      </c>
      <c r="H105" s="438">
        <f t="shared" si="167"/>
        <v>43500</v>
      </c>
      <c r="I105" s="438">
        <f t="shared" si="168"/>
        <v>43500</v>
      </c>
      <c r="J105" s="438">
        <f t="shared" si="156"/>
        <v>0</v>
      </c>
      <c r="K105" s="438">
        <f t="shared" si="157"/>
        <v>0</v>
      </c>
      <c r="L105" s="438">
        <f t="shared" si="158"/>
        <v>0</v>
      </c>
      <c r="M105" s="438">
        <f t="shared" si="159"/>
        <v>0</v>
      </c>
      <c r="N105" s="438">
        <f t="shared" si="160"/>
        <v>0</v>
      </c>
      <c r="O105" s="85">
        <f t="shared" si="161"/>
        <v>0</v>
      </c>
      <c r="P105" s="85">
        <f t="shared" si="162"/>
        <v>0</v>
      </c>
      <c r="Q105" s="85">
        <f t="shared" si="163"/>
        <v>0</v>
      </c>
      <c r="R105" s="47">
        <v>3</v>
      </c>
      <c r="S105" s="47">
        <v>3</v>
      </c>
      <c r="T105" s="47">
        <v>3</v>
      </c>
      <c r="U105" s="47">
        <v>3</v>
      </c>
      <c r="V105" s="181">
        <f t="shared" si="169"/>
        <v>21750</v>
      </c>
      <c r="W105" s="181">
        <f t="shared" si="170"/>
        <v>21750</v>
      </c>
      <c r="X105" s="181">
        <f t="shared" si="171"/>
        <v>21750</v>
      </c>
      <c r="Y105" s="181">
        <f t="shared" si="172"/>
        <v>21750</v>
      </c>
      <c r="Z105" s="47">
        <v>0</v>
      </c>
      <c r="AA105" s="181">
        <f t="shared" si="164"/>
        <v>0</v>
      </c>
      <c r="AB105" s="47">
        <v>0</v>
      </c>
      <c r="AC105" s="181">
        <f t="shared" si="107"/>
        <v>0</v>
      </c>
      <c r="AD105" s="47">
        <v>0</v>
      </c>
      <c r="AE105" s="181">
        <f t="shared" si="108"/>
        <v>0</v>
      </c>
      <c r="AF105" s="47">
        <v>0</v>
      </c>
      <c r="AG105" s="181">
        <f t="shared" si="109"/>
        <v>0</v>
      </c>
      <c r="AH105" s="47">
        <v>0</v>
      </c>
      <c r="AI105" s="181">
        <f t="shared" si="110"/>
        <v>0</v>
      </c>
      <c r="AJ105" s="47">
        <v>0</v>
      </c>
      <c r="AK105" s="181">
        <f t="shared" si="111"/>
        <v>0</v>
      </c>
      <c r="AL105" s="47">
        <v>0</v>
      </c>
      <c r="AM105" s="181">
        <f t="shared" si="112"/>
        <v>0</v>
      </c>
      <c r="AN105" s="47">
        <v>0</v>
      </c>
      <c r="AO105" s="181">
        <f t="shared" si="113"/>
        <v>0</v>
      </c>
      <c r="AP105" s="47">
        <v>0</v>
      </c>
      <c r="AQ105" s="181">
        <f t="shared" si="114"/>
        <v>0</v>
      </c>
      <c r="AR105" s="47">
        <v>0</v>
      </c>
      <c r="AS105" s="181">
        <f t="shared" si="115"/>
        <v>0</v>
      </c>
      <c r="AT105" s="47">
        <v>0</v>
      </c>
      <c r="AU105" s="181">
        <f t="shared" si="116"/>
        <v>0</v>
      </c>
      <c r="AV105" s="47">
        <v>0</v>
      </c>
      <c r="AW105" s="181">
        <f t="shared" si="117"/>
        <v>0</v>
      </c>
      <c r="AX105" s="47">
        <v>0</v>
      </c>
      <c r="AY105" s="181">
        <f t="shared" si="118"/>
        <v>0</v>
      </c>
      <c r="AZ105" s="47">
        <v>0</v>
      </c>
      <c r="BA105" s="181">
        <f t="shared" si="119"/>
        <v>0</v>
      </c>
      <c r="BB105" s="47">
        <v>0</v>
      </c>
      <c r="BC105" s="181">
        <f t="shared" si="120"/>
        <v>0</v>
      </c>
      <c r="BD105" s="47">
        <v>0</v>
      </c>
      <c r="BE105" s="181">
        <f t="shared" si="121"/>
        <v>0</v>
      </c>
      <c r="BF105" s="47">
        <v>0</v>
      </c>
      <c r="BG105" s="181">
        <f t="shared" si="122"/>
        <v>0</v>
      </c>
      <c r="BH105" s="47">
        <v>12</v>
      </c>
      <c r="BI105" s="181">
        <f t="shared" si="165"/>
        <v>87000</v>
      </c>
      <c r="BJ105" s="47">
        <f t="shared" si="166"/>
        <v>12</v>
      </c>
      <c r="BK105" s="117">
        <f t="shared" si="166"/>
        <v>87000</v>
      </c>
      <c r="BL105" s="345" t="s">
        <v>472</v>
      </c>
      <c r="BN105" s="113"/>
      <c r="BO105" s="113"/>
      <c r="BP105" s="113"/>
      <c r="BQ105" s="113"/>
      <c r="BR105" s="113">
        <f t="shared" si="173"/>
        <v>0</v>
      </c>
      <c r="BS105" s="113"/>
      <c r="BT105" s="113">
        <f t="shared" si="174"/>
        <v>87000</v>
      </c>
      <c r="BU105" s="125">
        <f t="shared" si="175"/>
        <v>87000</v>
      </c>
      <c r="BV105" s="181">
        <f t="shared" si="106"/>
        <v>87000</v>
      </c>
    </row>
    <row r="106" spans="2:74" x14ac:dyDescent="0.25">
      <c r="B106" s="38">
        <v>41507</v>
      </c>
      <c r="C106" s="38" t="s">
        <v>327</v>
      </c>
      <c r="D106" s="38" t="s">
        <v>73</v>
      </c>
      <c r="E106" s="375">
        <v>50000</v>
      </c>
      <c r="F106" s="38">
        <f t="shared" si="154"/>
        <v>12</v>
      </c>
      <c r="G106" s="448">
        <f t="shared" si="155"/>
        <v>600000</v>
      </c>
      <c r="H106" s="438">
        <f t="shared" si="167"/>
        <v>300000</v>
      </c>
      <c r="I106" s="438">
        <f t="shared" si="168"/>
        <v>300000</v>
      </c>
      <c r="J106" s="438">
        <f t="shared" si="156"/>
        <v>0</v>
      </c>
      <c r="K106" s="438">
        <f t="shared" si="157"/>
        <v>0</v>
      </c>
      <c r="L106" s="438">
        <f t="shared" si="158"/>
        <v>0</v>
      </c>
      <c r="M106" s="438">
        <f t="shared" si="159"/>
        <v>0</v>
      </c>
      <c r="N106" s="438">
        <f t="shared" si="160"/>
        <v>0</v>
      </c>
      <c r="O106" s="85">
        <f t="shared" si="161"/>
        <v>0</v>
      </c>
      <c r="P106" s="85">
        <f t="shared" si="162"/>
        <v>0</v>
      </c>
      <c r="Q106" s="85">
        <f t="shared" si="163"/>
        <v>0</v>
      </c>
      <c r="R106" s="47">
        <v>3</v>
      </c>
      <c r="S106" s="47">
        <v>3</v>
      </c>
      <c r="T106" s="47">
        <v>3</v>
      </c>
      <c r="U106" s="47">
        <v>3</v>
      </c>
      <c r="V106" s="181">
        <f t="shared" si="169"/>
        <v>150000</v>
      </c>
      <c r="W106" s="181">
        <f t="shared" si="170"/>
        <v>150000</v>
      </c>
      <c r="X106" s="181">
        <f t="shared" si="171"/>
        <v>150000</v>
      </c>
      <c r="Y106" s="181">
        <f t="shared" si="172"/>
        <v>150000</v>
      </c>
      <c r="Z106" s="47">
        <v>0</v>
      </c>
      <c r="AA106" s="181">
        <f t="shared" si="164"/>
        <v>0</v>
      </c>
      <c r="AB106" s="47">
        <v>0</v>
      </c>
      <c r="AC106" s="181">
        <f t="shared" si="107"/>
        <v>0</v>
      </c>
      <c r="AD106" s="47">
        <v>0</v>
      </c>
      <c r="AE106" s="181">
        <f t="shared" si="108"/>
        <v>0</v>
      </c>
      <c r="AF106" s="47">
        <v>0</v>
      </c>
      <c r="AG106" s="181">
        <f t="shared" si="109"/>
        <v>0</v>
      </c>
      <c r="AH106" s="47">
        <v>0</v>
      </c>
      <c r="AI106" s="181">
        <f t="shared" si="110"/>
        <v>0</v>
      </c>
      <c r="AJ106" s="47">
        <v>0</v>
      </c>
      <c r="AK106" s="181">
        <f t="shared" si="111"/>
        <v>0</v>
      </c>
      <c r="AL106" s="47">
        <v>0</v>
      </c>
      <c r="AM106" s="181">
        <f t="shared" si="112"/>
        <v>0</v>
      </c>
      <c r="AN106" s="47">
        <v>0</v>
      </c>
      <c r="AO106" s="181">
        <f t="shared" si="113"/>
        <v>0</v>
      </c>
      <c r="AP106" s="47">
        <v>0</v>
      </c>
      <c r="AQ106" s="181">
        <f t="shared" si="114"/>
        <v>0</v>
      </c>
      <c r="AR106" s="47">
        <v>0</v>
      </c>
      <c r="AS106" s="181">
        <f t="shared" si="115"/>
        <v>0</v>
      </c>
      <c r="AT106" s="47">
        <v>0</v>
      </c>
      <c r="AU106" s="181">
        <f t="shared" si="116"/>
        <v>0</v>
      </c>
      <c r="AV106" s="47">
        <v>0</v>
      </c>
      <c r="AW106" s="181">
        <f t="shared" si="117"/>
        <v>0</v>
      </c>
      <c r="AX106" s="47">
        <v>0</v>
      </c>
      <c r="AY106" s="181">
        <f t="shared" si="118"/>
        <v>0</v>
      </c>
      <c r="AZ106" s="47">
        <v>0</v>
      </c>
      <c r="BA106" s="181">
        <f t="shared" si="119"/>
        <v>0</v>
      </c>
      <c r="BB106" s="47">
        <v>0</v>
      </c>
      <c r="BC106" s="181">
        <f t="shared" si="120"/>
        <v>0</v>
      </c>
      <c r="BD106" s="47">
        <v>0</v>
      </c>
      <c r="BE106" s="181">
        <f t="shared" si="121"/>
        <v>0</v>
      </c>
      <c r="BF106" s="47">
        <v>0</v>
      </c>
      <c r="BG106" s="181">
        <f t="shared" si="122"/>
        <v>0</v>
      </c>
      <c r="BH106" s="47">
        <v>12</v>
      </c>
      <c r="BI106" s="181">
        <f t="shared" si="165"/>
        <v>600000</v>
      </c>
      <c r="BJ106" s="47">
        <f t="shared" si="166"/>
        <v>12</v>
      </c>
      <c r="BK106" s="117">
        <f t="shared" si="166"/>
        <v>600000</v>
      </c>
      <c r="BL106" s="345" t="s">
        <v>472</v>
      </c>
      <c r="BN106" s="113"/>
      <c r="BO106" s="113"/>
      <c r="BP106" s="113"/>
      <c r="BQ106" s="113"/>
      <c r="BR106" s="113">
        <f t="shared" si="173"/>
        <v>0</v>
      </c>
      <c r="BS106" s="113"/>
      <c r="BT106" s="113">
        <f t="shared" si="174"/>
        <v>600000</v>
      </c>
      <c r="BU106" s="125">
        <f t="shared" si="175"/>
        <v>600000</v>
      </c>
      <c r="BV106" s="181">
        <f t="shared" si="106"/>
        <v>600000</v>
      </c>
    </row>
    <row r="107" spans="2:74" ht="47.25" x14ac:dyDescent="0.25">
      <c r="B107" s="38">
        <v>41508</v>
      </c>
      <c r="C107" s="38" t="s">
        <v>774</v>
      </c>
      <c r="D107" s="38" t="s">
        <v>73</v>
      </c>
      <c r="E107" s="375">
        <v>40000</v>
      </c>
      <c r="F107" s="38">
        <f t="shared" si="154"/>
        <v>12</v>
      </c>
      <c r="G107" s="448">
        <f t="shared" si="155"/>
        <v>480000</v>
      </c>
      <c r="H107" s="438">
        <f t="shared" si="167"/>
        <v>240000</v>
      </c>
      <c r="I107" s="438">
        <f t="shared" si="168"/>
        <v>240000</v>
      </c>
      <c r="J107" s="438">
        <f t="shared" si="156"/>
        <v>0</v>
      </c>
      <c r="K107" s="438">
        <f t="shared" si="157"/>
        <v>0</v>
      </c>
      <c r="L107" s="438">
        <f t="shared" si="158"/>
        <v>0</v>
      </c>
      <c r="M107" s="438">
        <f t="shared" si="159"/>
        <v>0</v>
      </c>
      <c r="N107" s="438">
        <f t="shared" si="160"/>
        <v>0</v>
      </c>
      <c r="O107" s="85">
        <f t="shared" si="161"/>
        <v>0</v>
      </c>
      <c r="P107" s="85">
        <f t="shared" si="162"/>
        <v>0</v>
      </c>
      <c r="Q107" s="85">
        <f t="shared" si="163"/>
        <v>0</v>
      </c>
      <c r="R107" s="47">
        <v>3</v>
      </c>
      <c r="S107" s="47">
        <v>3</v>
      </c>
      <c r="T107" s="47">
        <v>3</v>
      </c>
      <c r="U107" s="47">
        <v>3</v>
      </c>
      <c r="V107" s="181">
        <f t="shared" si="169"/>
        <v>120000</v>
      </c>
      <c r="W107" s="181">
        <f t="shared" si="170"/>
        <v>120000</v>
      </c>
      <c r="X107" s="181">
        <f t="shared" si="171"/>
        <v>120000</v>
      </c>
      <c r="Y107" s="181">
        <f t="shared" si="172"/>
        <v>120000</v>
      </c>
      <c r="Z107" s="47">
        <v>0</v>
      </c>
      <c r="AA107" s="181">
        <f t="shared" si="164"/>
        <v>0</v>
      </c>
      <c r="AB107" s="47">
        <v>0</v>
      </c>
      <c r="AC107" s="181">
        <f t="shared" si="107"/>
        <v>0</v>
      </c>
      <c r="AD107" s="47">
        <v>0</v>
      </c>
      <c r="AE107" s="181">
        <f t="shared" si="108"/>
        <v>0</v>
      </c>
      <c r="AF107" s="47">
        <v>0</v>
      </c>
      <c r="AG107" s="181">
        <f t="shared" si="109"/>
        <v>0</v>
      </c>
      <c r="AH107" s="47">
        <v>0</v>
      </c>
      <c r="AI107" s="181">
        <f t="shared" si="110"/>
        <v>0</v>
      </c>
      <c r="AJ107" s="47">
        <v>0</v>
      </c>
      <c r="AK107" s="181">
        <f t="shared" si="111"/>
        <v>0</v>
      </c>
      <c r="AL107" s="47">
        <v>0</v>
      </c>
      <c r="AM107" s="181">
        <f t="shared" si="112"/>
        <v>0</v>
      </c>
      <c r="AN107" s="47">
        <v>0</v>
      </c>
      <c r="AO107" s="181">
        <f t="shared" si="113"/>
        <v>0</v>
      </c>
      <c r="AP107" s="47">
        <v>0</v>
      </c>
      <c r="AQ107" s="181">
        <f t="shared" si="114"/>
        <v>0</v>
      </c>
      <c r="AR107" s="47">
        <v>0</v>
      </c>
      <c r="AS107" s="181">
        <f t="shared" si="115"/>
        <v>0</v>
      </c>
      <c r="AT107" s="47">
        <v>0</v>
      </c>
      <c r="AU107" s="181">
        <f t="shared" si="116"/>
        <v>0</v>
      </c>
      <c r="AV107" s="47">
        <v>0</v>
      </c>
      <c r="AW107" s="181">
        <f t="shared" si="117"/>
        <v>0</v>
      </c>
      <c r="AX107" s="47">
        <v>0</v>
      </c>
      <c r="AY107" s="181">
        <f t="shared" si="118"/>
        <v>0</v>
      </c>
      <c r="AZ107" s="47">
        <v>0</v>
      </c>
      <c r="BA107" s="181">
        <f t="shared" si="119"/>
        <v>0</v>
      </c>
      <c r="BB107" s="47">
        <v>0</v>
      </c>
      <c r="BC107" s="181">
        <f t="shared" si="120"/>
        <v>0</v>
      </c>
      <c r="BD107" s="47">
        <v>0</v>
      </c>
      <c r="BE107" s="181">
        <f t="shared" si="121"/>
        <v>0</v>
      </c>
      <c r="BF107" s="47">
        <v>0</v>
      </c>
      <c r="BG107" s="181">
        <f t="shared" si="122"/>
        <v>0</v>
      </c>
      <c r="BH107" s="47">
        <v>12</v>
      </c>
      <c r="BI107" s="181">
        <f t="shared" si="165"/>
        <v>480000</v>
      </c>
      <c r="BJ107" s="47">
        <f t="shared" si="166"/>
        <v>12</v>
      </c>
      <c r="BK107" s="117">
        <f t="shared" si="166"/>
        <v>480000</v>
      </c>
      <c r="BL107" s="345" t="s">
        <v>472</v>
      </c>
      <c r="BN107" s="113"/>
      <c r="BO107" s="113"/>
      <c r="BP107" s="113"/>
      <c r="BQ107" s="113"/>
      <c r="BR107" s="113">
        <f t="shared" si="173"/>
        <v>0</v>
      </c>
      <c r="BS107" s="113"/>
      <c r="BT107" s="113">
        <f t="shared" si="174"/>
        <v>480000</v>
      </c>
      <c r="BU107" s="125">
        <f t="shared" si="175"/>
        <v>480000</v>
      </c>
      <c r="BV107" s="181">
        <f t="shared" si="106"/>
        <v>480000</v>
      </c>
    </row>
    <row r="108" spans="2:74" x14ac:dyDescent="0.25">
      <c r="B108" s="38">
        <v>41509</v>
      </c>
      <c r="C108" s="38" t="s">
        <v>329</v>
      </c>
      <c r="D108" s="38" t="s">
        <v>17</v>
      </c>
      <c r="E108" s="375">
        <f>0.095*100000</f>
        <v>9500</v>
      </c>
      <c r="F108" s="38">
        <f t="shared" si="154"/>
        <v>2</v>
      </c>
      <c r="G108" s="448">
        <f t="shared" si="155"/>
        <v>19000</v>
      </c>
      <c r="H108" s="438">
        <f t="shared" si="167"/>
        <v>9500</v>
      </c>
      <c r="I108" s="438">
        <f t="shared" si="168"/>
        <v>9500</v>
      </c>
      <c r="J108" s="438">
        <f t="shared" si="156"/>
        <v>0</v>
      </c>
      <c r="K108" s="438">
        <f t="shared" si="157"/>
        <v>0</v>
      </c>
      <c r="L108" s="438">
        <f t="shared" si="158"/>
        <v>0</v>
      </c>
      <c r="M108" s="438">
        <f t="shared" si="159"/>
        <v>0</v>
      </c>
      <c r="N108" s="438">
        <f t="shared" si="160"/>
        <v>0</v>
      </c>
      <c r="O108" s="85">
        <f t="shared" si="161"/>
        <v>0</v>
      </c>
      <c r="P108" s="85">
        <f t="shared" si="162"/>
        <v>0</v>
      </c>
      <c r="Q108" s="85">
        <f t="shared" si="163"/>
        <v>0</v>
      </c>
      <c r="R108" s="47"/>
      <c r="S108" s="47">
        <v>2</v>
      </c>
      <c r="T108" s="47"/>
      <c r="U108" s="47"/>
      <c r="V108" s="181">
        <f t="shared" si="169"/>
        <v>0</v>
      </c>
      <c r="W108" s="181">
        <f t="shared" si="170"/>
        <v>19000</v>
      </c>
      <c r="X108" s="181">
        <f t="shared" si="171"/>
        <v>0</v>
      </c>
      <c r="Y108" s="181">
        <f t="shared" si="172"/>
        <v>0</v>
      </c>
      <c r="Z108" s="47">
        <v>0</v>
      </c>
      <c r="AA108" s="181">
        <f t="shared" si="164"/>
        <v>0</v>
      </c>
      <c r="AB108" s="47">
        <v>0</v>
      </c>
      <c r="AC108" s="181">
        <f t="shared" si="107"/>
        <v>0</v>
      </c>
      <c r="AD108" s="47">
        <v>0</v>
      </c>
      <c r="AE108" s="181">
        <f t="shared" si="108"/>
        <v>0</v>
      </c>
      <c r="AF108" s="47">
        <v>0</v>
      </c>
      <c r="AG108" s="181">
        <f t="shared" si="109"/>
        <v>0</v>
      </c>
      <c r="AH108" s="47">
        <v>0</v>
      </c>
      <c r="AI108" s="181">
        <f t="shared" si="110"/>
        <v>0</v>
      </c>
      <c r="AJ108" s="47">
        <v>0</v>
      </c>
      <c r="AK108" s="181">
        <f t="shared" si="111"/>
        <v>0</v>
      </c>
      <c r="AL108" s="47">
        <v>0</v>
      </c>
      <c r="AM108" s="181">
        <f t="shared" si="112"/>
        <v>0</v>
      </c>
      <c r="AN108" s="47">
        <v>0</v>
      </c>
      <c r="AO108" s="181">
        <f t="shared" si="113"/>
        <v>0</v>
      </c>
      <c r="AP108" s="47">
        <v>0</v>
      </c>
      <c r="AQ108" s="181">
        <f t="shared" si="114"/>
        <v>0</v>
      </c>
      <c r="AR108" s="47">
        <v>0</v>
      </c>
      <c r="AS108" s="181">
        <f t="shared" si="115"/>
        <v>0</v>
      </c>
      <c r="AT108" s="47">
        <v>0</v>
      </c>
      <c r="AU108" s="181">
        <f t="shared" si="116"/>
        <v>0</v>
      </c>
      <c r="AV108" s="47">
        <v>0</v>
      </c>
      <c r="AW108" s="181">
        <f t="shared" si="117"/>
        <v>0</v>
      </c>
      <c r="AX108" s="47">
        <v>0</v>
      </c>
      <c r="AY108" s="181">
        <f t="shared" si="118"/>
        <v>0</v>
      </c>
      <c r="AZ108" s="47">
        <v>0</v>
      </c>
      <c r="BA108" s="181">
        <f t="shared" si="119"/>
        <v>0</v>
      </c>
      <c r="BB108" s="47">
        <v>0</v>
      </c>
      <c r="BC108" s="181">
        <f t="shared" si="120"/>
        <v>0</v>
      </c>
      <c r="BD108" s="47">
        <v>0</v>
      </c>
      <c r="BE108" s="181">
        <f t="shared" si="121"/>
        <v>0</v>
      </c>
      <c r="BF108" s="47">
        <v>0</v>
      </c>
      <c r="BG108" s="181">
        <f t="shared" si="122"/>
        <v>0</v>
      </c>
      <c r="BH108" s="47">
        <v>2</v>
      </c>
      <c r="BI108" s="181">
        <f t="shared" si="165"/>
        <v>19000</v>
      </c>
      <c r="BJ108" s="47">
        <f t="shared" si="166"/>
        <v>2</v>
      </c>
      <c r="BK108" s="117">
        <f t="shared" si="166"/>
        <v>19000</v>
      </c>
      <c r="BL108" s="345" t="s">
        <v>472</v>
      </c>
      <c r="BN108" s="113"/>
      <c r="BO108" s="113"/>
      <c r="BP108" s="113"/>
      <c r="BQ108" s="113"/>
      <c r="BR108" s="113">
        <f t="shared" si="173"/>
        <v>0</v>
      </c>
      <c r="BS108" s="113"/>
      <c r="BT108" s="113">
        <f t="shared" si="174"/>
        <v>19000</v>
      </c>
      <c r="BU108" s="125">
        <f t="shared" si="175"/>
        <v>19000</v>
      </c>
      <c r="BV108" s="181">
        <f t="shared" si="106"/>
        <v>19000</v>
      </c>
    </row>
    <row r="109" spans="2:74" x14ac:dyDescent="0.25">
      <c r="B109" s="38">
        <v>41510</v>
      </c>
      <c r="C109" s="38" t="s">
        <v>330</v>
      </c>
      <c r="D109" s="38" t="s">
        <v>17</v>
      </c>
      <c r="E109" s="375">
        <f>0.1*100000</f>
        <v>10000</v>
      </c>
      <c r="F109" s="38">
        <f t="shared" si="154"/>
        <v>0</v>
      </c>
      <c r="G109" s="448">
        <f t="shared" si="155"/>
        <v>0</v>
      </c>
      <c r="H109" s="438">
        <f t="shared" si="167"/>
        <v>0</v>
      </c>
      <c r="I109" s="438">
        <f t="shared" si="168"/>
        <v>0</v>
      </c>
      <c r="J109" s="438">
        <f t="shared" si="156"/>
        <v>0</v>
      </c>
      <c r="K109" s="438">
        <f t="shared" si="157"/>
        <v>0</v>
      </c>
      <c r="L109" s="438">
        <f t="shared" si="158"/>
        <v>0</v>
      </c>
      <c r="M109" s="438">
        <f t="shared" si="159"/>
        <v>0</v>
      </c>
      <c r="N109" s="438">
        <f t="shared" si="160"/>
        <v>0</v>
      </c>
      <c r="O109" s="85">
        <f t="shared" si="161"/>
        <v>0</v>
      </c>
      <c r="P109" s="85">
        <f t="shared" si="162"/>
        <v>0</v>
      </c>
      <c r="Q109" s="85">
        <f t="shared" si="163"/>
        <v>0</v>
      </c>
      <c r="R109" s="47"/>
      <c r="S109" s="47"/>
      <c r="T109" s="47"/>
      <c r="U109" s="47"/>
      <c r="V109" s="181">
        <f t="shared" si="169"/>
        <v>0</v>
      </c>
      <c r="W109" s="181">
        <f t="shared" si="170"/>
        <v>0</v>
      </c>
      <c r="X109" s="181">
        <f t="shared" si="171"/>
        <v>0</v>
      </c>
      <c r="Y109" s="181">
        <f t="shared" si="172"/>
        <v>0</v>
      </c>
      <c r="Z109" s="47">
        <v>0</v>
      </c>
      <c r="AA109" s="181">
        <f t="shared" si="164"/>
        <v>0</v>
      </c>
      <c r="AB109" s="47">
        <v>0</v>
      </c>
      <c r="AC109" s="181">
        <f t="shared" si="107"/>
        <v>0</v>
      </c>
      <c r="AD109" s="47">
        <v>0</v>
      </c>
      <c r="AE109" s="181">
        <f t="shared" si="108"/>
        <v>0</v>
      </c>
      <c r="AF109" s="47">
        <v>0</v>
      </c>
      <c r="AG109" s="181">
        <f t="shared" si="109"/>
        <v>0</v>
      </c>
      <c r="AH109" s="47">
        <v>0</v>
      </c>
      <c r="AI109" s="181">
        <f t="shared" si="110"/>
        <v>0</v>
      </c>
      <c r="AJ109" s="47">
        <v>0</v>
      </c>
      <c r="AK109" s="181">
        <f t="shared" si="111"/>
        <v>0</v>
      </c>
      <c r="AL109" s="47">
        <v>0</v>
      </c>
      <c r="AM109" s="181">
        <f t="shared" si="112"/>
        <v>0</v>
      </c>
      <c r="AN109" s="47">
        <v>0</v>
      </c>
      <c r="AO109" s="181">
        <f t="shared" si="113"/>
        <v>0</v>
      </c>
      <c r="AP109" s="47">
        <v>0</v>
      </c>
      <c r="AQ109" s="181">
        <f t="shared" si="114"/>
        <v>0</v>
      </c>
      <c r="AR109" s="47">
        <v>0</v>
      </c>
      <c r="AS109" s="181">
        <f t="shared" si="115"/>
        <v>0</v>
      </c>
      <c r="AT109" s="47">
        <v>0</v>
      </c>
      <c r="AU109" s="181">
        <f t="shared" si="116"/>
        <v>0</v>
      </c>
      <c r="AV109" s="47">
        <v>0</v>
      </c>
      <c r="AW109" s="181">
        <f t="shared" si="117"/>
        <v>0</v>
      </c>
      <c r="AX109" s="47">
        <v>0</v>
      </c>
      <c r="AY109" s="181">
        <f t="shared" si="118"/>
        <v>0</v>
      </c>
      <c r="AZ109" s="47">
        <v>0</v>
      </c>
      <c r="BA109" s="181">
        <f t="shared" si="119"/>
        <v>0</v>
      </c>
      <c r="BB109" s="47">
        <v>0</v>
      </c>
      <c r="BC109" s="181">
        <f t="shared" si="120"/>
        <v>0</v>
      </c>
      <c r="BD109" s="47">
        <v>0</v>
      </c>
      <c r="BE109" s="181">
        <f t="shared" si="121"/>
        <v>0</v>
      </c>
      <c r="BF109" s="47">
        <v>0</v>
      </c>
      <c r="BG109" s="181">
        <f t="shared" si="122"/>
        <v>0</v>
      </c>
      <c r="BH109" s="47">
        <v>0</v>
      </c>
      <c r="BI109" s="181">
        <f t="shared" si="165"/>
        <v>0</v>
      </c>
      <c r="BJ109" s="47">
        <f t="shared" si="166"/>
        <v>0</v>
      </c>
      <c r="BK109" s="117">
        <f t="shared" si="166"/>
        <v>0</v>
      </c>
      <c r="BL109" s="345" t="s">
        <v>472</v>
      </c>
      <c r="BN109" s="113"/>
      <c r="BO109" s="113"/>
      <c r="BP109" s="113"/>
      <c r="BQ109" s="113"/>
      <c r="BR109" s="113">
        <f t="shared" si="173"/>
        <v>0</v>
      </c>
      <c r="BS109" s="113"/>
      <c r="BT109" s="113">
        <f t="shared" si="174"/>
        <v>0</v>
      </c>
      <c r="BU109" s="125">
        <f t="shared" si="175"/>
        <v>0</v>
      </c>
      <c r="BV109" s="181">
        <f t="shared" si="106"/>
        <v>0</v>
      </c>
    </row>
    <row r="110" spans="2:74" x14ac:dyDescent="0.25">
      <c r="B110" s="38">
        <v>41511</v>
      </c>
      <c r="C110" s="38" t="s">
        <v>331</v>
      </c>
      <c r="D110" s="38" t="s">
        <v>73</v>
      </c>
      <c r="E110" s="375">
        <f>0.13*100000</f>
        <v>13000</v>
      </c>
      <c r="F110" s="38">
        <f t="shared" si="154"/>
        <v>24</v>
      </c>
      <c r="G110" s="448">
        <f t="shared" si="155"/>
        <v>312000</v>
      </c>
      <c r="H110" s="438">
        <f t="shared" si="167"/>
        <v>156000</v>
      </c>
      <c r="I110" s="438">
        <f t="shared" si="168"/>
        <v>156000</v>
      </c>
      <c r="J110" s="438">
        <f t="shared" si="156"/>
        <v>0</v>
      </c>
      <c r="K110" s="438">
        <f t="shared" si="157"/>
        <v>0</v>
      </c>
      <c r="L110" s="438">
        <f t="shared" si="158"/>
        <v>0</v>
      </c>
      <c r="M110" s="438">
        <f t="shared" si="159"/>
        <v>0</v>
      </c>
      <c r="N110" s="438">
        <f t="shared" si="160"/>
        <v>0</v>
      </c>
      <c r="O110" s="85">
        <f t="shared" si="161"/>
        <v>0</v>
      </c>
      <c r="P110" s="85">
        <f t="shared" si="162"/>
        <v>0</v>
      </c>
      <c r="Q110" s="85">
        <f t="shared" si="163"/>
        <v>0</v>
      </c>
      <c r="R110" s="47">
        <v>6</v>
      </c>
      <c r="S110" s="47">
        <v>6</v>
      </c>
      <c r="T110" s="47">
        <v>6</v>
      </c>
      <c r="U110" s="47">
        <v>6</v>
      </c>
      <c r="V110" s="181">
        <f t="shared" si="169"/>
        <v>78000</v>
      </c>
      <c r="W110" s="181">
        <f t="shared" si="170"/>
        <v>78000</v>
      </c>
      <c r="X110" s="181">
        <f t="shared" si="171"/>
        <v>78000</v>
      </c>
      <c r="Y110" s="181">
        <f t="shared" si="172"/>
        <v>78000</v>
      </c>
      <c r="Z110" s="47">
        <v>0</v>
      </c>
      <c r="AA110" s="181">
        <f t="shared" si="164"/>
        <v>0</v>
      </c>
      <c r="AB110" s="47">
        <v>0</v>
      </c>
      <c r="AC110" s="181">
        <f t="shared" si="107"/>
        <v>0</v>
      </c>
      <c r="AD110" s="47">
        <v>0</v>
      </c>
      <c r="AE110" s="181">
        <f t="shared" si="108"/>
        <v>0</v>
      </c>
      <c r="AF110" s="47">
        <v>0</v>
      </c>
      <c r="AG110" s="181">
        <f t="shared" si="109"/>
        <v>0</v>
      </c>
      <c r="AH110" s="47">
        <v>0</v>
      </c>
      <c r="AI110" s="181">
        <f t="shared" si="110"/>
        <v>0</v>
      </c>
      <c r="AJ110" s="47">
        <v>0</v>
      </c>
      <c r="AK110" s="181">
        <f t="shared" si="111"/>
        <v>0</v>
      </c>
      <c r="AL110" s="47">
        <v>0</v>
      </c>
      <c r="AM110" s="181">
        <f t="shared" si="112"/>
        <v>0</v>
      </c>
      <c r="AN110" s="47">
        <v>0</v>
      </c>
      <c r="AO110" s="181">
        <f t="shared" si="113"/>
        <v>0</v>
      </c>
      <c r="AP110" s="47">
        <v>0</v>
      </c>
      <c r="AQ110" s="181">
        <f t="shared" si="114"/>
        <v>0</v>
      </c>
      <c r="AR110" s="47">
        <v>0</v>
      </c>
      <c r="AS110" s="181">
        <f t="shared" si="115"/>
        <v>0</v>
      </c>
      <c r="AT110" s="47">
        <v>0</v>
      </c>
      <c r="AU110" s="181">
        <f t="shared" si="116"/>
        <v>0</v>
      </c>
      <c r="AV110" s="47">
        <v>0</v>
      </c>
      <c r="AW110" s="181">
        <f t="shared" si="117"/>
        <v>0</v>
      </c>
      <c r="AX110" s="47">
        <v>0</v>
      </c>
      <c r="AY110" s="181">
        <f t="shared" si="118"/>
        <v>0</v>
      </c>
      <c r="AZ110" s="47">
        <v>0</v>
      </c>
      <c r="BA110" s="181">
        <f t="shared" si="119"/>
        <v>0</v>
      </c>
      <c r="BB110" s="47">
        <v>0</v>
      </c>
      <c r="BC110" s="181">
        <f t="shared" si="120"/>
        <v>0</v>
      </c>
      <c r="BD110" s="47">
        <v>0</v>
      </c>
      <c r="BE110" s="181">
        <f t="shared" si="121"/>
        <v>0</v>
      </c>
      <c r="BF110" s="47">
        <v>0</v>
      </c>
      <c r="BG110" s="181">
        <f t="shared" si="122"/>
        <v>0</v>
      </c>
      <c r="BH110" s="47">
        <v>24</v>
      </c>
      <c r="BI110" s="181">
        <f t="shared" si="165"/>
        <v>312000</v>
      </c>
      <c r="BJ110" s="47">
        <f t="shared" si="166"/>
        <v>24</v>
      </c>
      <c r="BK110" s="117">
        <f t="shared" si="166"/>
        <v>312000</v>
      </c>
      <c r="BL110" s="345" t="s">
        <v>472</v>
      </c>
      <c r="BN110" s="113"/>
      <c r="BO110" s="113"/>
      <c r="BP110" s="113"/>
      <c r="BQ110" s="113"/>
      <c r="BR110" s="113">
        <f t="shared" si="173"/>
        <v>0</v>
      </c>
      <c r="BS110" s="113"/>
      <c r="BT110" s="113">
        <f t="shared" si="174"/>
        <v>312000</v>
      </c>
      <c r="BU110" s="125">
        <f t="shared" si="175"/>
        <v>312000</v>
      </c>
      <c r="BV110" s="181">
        <f t="shared" si="106"/>
        <v>312000</v>
      </c>
    </row>
    <row r="111" spans="2:74" x14ac:dyDescent="0.25">
      <c r="B111" s="38">
        <v>41512</v>
      </c>
      <c r="C111" s="38" t="s">
        <v>332</v>
      </c>
      <c r="D111" s="38" t="s">
        <v>17</v>
      </c>
      <c r="E111" s="375"/>
      <c r="F111" s="38">
        <f t="shared" si="154"/>
        <v>0</v>
      </c>
      <c r="G111" s="448">
        <f t="shared" si="155"/>
        <v>0</v>
      </c>
      <c r="H111" s="438">
        <f t="shared" si="167"/>
        <v>0</v>
      </c>
      <c r="I111" s="438">
        <f t="shared" si="168"/>
        <v>0</v>
      </c>
      <c r="J111" s="438">
        <f t="shared" si="156"/>
        <v>0</v>
      </c>
      <c r="K111" s="438">
        <f t="shared" si="157"/>
        <v>0</v>
      </c>
      <c r="L111" s="438">
        <f t="shared" si="158"/>
        <v>0</v>
      </c>
      <c r="M111" s="438">
        <f t="shared" si="159"/>
        <v>0</v>
      </c>
      <c r="N111" s="438">
        <f t="shared" si="160"/>
        <v>0</v>
      </c>
      <c r="O111" s="85">
        <f t="shared" si="161"/>
        <v>0</v>
      </c>
      <c r="P111" s="85">
        <f t="shared" si="162"/>
        <v>0</v>
      </c>
      <c r="Q111" s="85">
        <f t="shared" si="163"/>
        <v>0</v>
      </c>
      <c r="R111" s="47"/>
      <c r="S111" s="47"/>
      <c r="T111" s="47"/>
      <c r="U111" s="47"/>
      <c r="V111" s="181">
        <f t="shared" si="169"/>
        <v>0</v>
      </c>
      <c r="W111" s="181">
        <f t="shared" si="170"/>
        <v>0</v>
      </c>
      <c r="X111" s="181">
        <f t="shared" si="171"/>
        <v>0</v>
      </c>
      <c r="Y111" s="181">
        <f t="shared" si="172"/>
        <v>0</v>
      </c>
      <c r="Z111" s="47">
        <v>0</v>
      </c>
      <c r="AA111" s="181">
        <f t="shared" si="164"/>
        <v>0</v>
      </c>
      <c r="AB111" s="47">
        <v>0</v>
      </c>
      <c r="AC111" s="181">
        <f t="shared" si="107"/>
        <v>0</v>
      </c>
      <c r="AD111" s="47">
        <v>0</v>
      </c>
      <c r="AE111" s="181">
        <f t="shared" si="108"/>
        <v>0</v>
      </c>
      <c r="AF111" s="47">
        <v>0</v>
      </c>
      <c r="AG111" s="181">
        <f t="shared" si="109"/>
        <v>0</v>
      </c>
      <c r="AH111" s="47">
        <v>0</v>
      </c>
      <c r="AI111" s="181">
        <f t="shared" si="110"/>
        <v>0</v>
      </c>
      <c r="AJ111" s="47">
        <v>0</v>
      </c>
      <c r="AK111" s="181">
        <f t="shared" si="111"/>
        <v>0</v>
      </c>
      <c r="AL111" s="47">
        <v>0</v>
      </c>
      <c r="AM111" s="181">
        <f t="shared" si="112"/>
        <v>0</v>
      </c>
      <c r="AN111" s="47">
        <v>0</v>
      </c>
      <c r="AO111" s="181">
        <f t="shared" si="113"/>
        <v>0</v>
      </c>
      <c r="AP111" s="47">
        <v>0</v>
      </c>
      <c r="AQ111" s="181">
        <f t="shared" si="114"/>
        <v>0</v>
      </c>
      <c r="AR111" s="47">
        <v>0</v>
      </c>
      <c r="AS111" s="181">
        <f t="shared" si="115"/>
        <v>0</v>
      </c>
      <c r="AT111" s="47">
        <v>0</v>
      </c>
      <c r="AU111" s="181">
        <f t="shared" si="116"/>
        <v>0</v>
      </c>
      <c r="AV111" s="47">
        <v>0</v>
      </c>
      <c r="AW111" s="181">
        <f t="shared" si="117"/>
        <v>0</v>
      </c>
      <c r="AX111" s="47">
        <v>0</v>
      </c>
      <c r="AY111" s="181">
        <f t="shared" si="118"/>
        <v>0</v>
      </c>
      <c r="AZ111" s="47">
        <v>0</v>
      </c>
      <c r="BA111" s="181">
        <f t="shared" si="119"/>
        <v>0</v>
      </c>
      <c r="BB111" s="47">
        <v>0</v>
      </c>
      <c r="BC111" s="181">
        <f t="shared" si="120"/>
        <v>0</v>
      </c>
      <c r="BD111" s="47">
        <v>0</v>
      </c>
      <c r="BE111" s="181">
        <f t="shared" si="121"/>
        <v>0</v>
      </c>
      <c r="BF111" s="47">
        <v>0</v>
      </c>
      <c r="BG111" s="181">
        <f t="shared" si="122"/>
        <v>0</v>
      </c>
      <c r="BH111" s="47">
        <v>0</v>
      </c>
      <c r="BI111" s="181">
        <f t="shared" si="165"/>
        <v>0</v>
      </c>
      <c r="BJ111" s="47">
        <f t="shared" si="166"/>
        <v>0</v>
      </c>
      <c r="BK111" s="117">
        <f t="shared" si="166"/>
        <v>0</v>
      </c>
      <c r="BL111" s="345" t="s">
        <v>472</v>
      </c>
      <c r="BN111" s="113"/>
      <c r="BO111" s="113"/>
      <c r="BP111" s="113"/>
      <c r="BQ111" s="113"/>
      <c r="BR111" s="113">
        <f t="shared" si="173"/>
        <v>0</v>
      </c>
      <c r="BS111" s="113"/>
      <c r="BT111" s="113">
        <f t="shared" si="174"/>
        <v>0</v>
      </c>
      <c r="BU111" s="125">
        <f t="shared" si="175"/>
        <v>0</v>
      </c>
      <c r="BV111" s="181">
        <f t="shared" si="106"/>
        <v>0</v>
      </c>
    </row>
    <row r="112" spans="2:74" ht="47.25" x14ac:dyDescent="0.25">
      <c r="B112" s="38">
        <v>41513</v>
      </c>
      <c r="C112" s="38" t="s">
        <v>736</v>
      </c>
      <c r="D112" s="38" t="s">
        <v>73</v>
      </c>
      <c r="E112" s="375">
        <v>50000</v>
      </c>
      <c r="F112" s="38">
        <f t="shared" si="154"/>
        <v>12</v>
      </c>
      <c r="G112" s="448">
        <f t="shared" si="155"/>
        <v>600000</v>
      </c>
      <c r="H112" s="438">
        <f t="shared" si="167"/>
        <v>300000</v>
      </c>
      <c r="I112" s="438">
        <f t="shared" si="168"/>
        <v>300000</v>
      </c>
      <c r="J112" s="438">
        <f t="shared" si="156"/>
        <v>0</v>
      </c>
      <c r="K112" s="438">
        <f t="shared" si="157"/>
        <v>0</v>
      </c>
      <c r="L112" s="438">
        <f t="shared" si="158"/>
        <v>0</v>
      </c>
      <c r="M112" s="438">
        <f t="shared" si="159"/>
        <v>0</v>
      </c>
      <c r="N112" s="438">
        <f t="shared" si="160"/>
        <v>0</v>
      </c>
      <c r="O112" s="85">
        <f t="shared" si="161"/>
        <v>0</v>
      </c>
      <c r="P112" s="85">
        <f t="shared" si="162"/>
        <v>0</v>
      </c>
      <c r="Q112" s="85">
        <f t="shared" si="163"/>
        <v>0</v>
      </c>
      <c r="R112" s="47">
        <v>3</v>
      </c>
      <c r="S112" s="47">
        <v>3</v>
      </c>
      <c r="T112" s="47">
        <v>3</v>
      </c>
      <c r="U112" s="47">
        <v>3</v>
      </c>
      <c r="V112" s="181">
        <f t="shared" si="169"/>
        <v>150000</v>
      </c>
      <c r="W112" s="181">
        <f t="shared" si="170"/>
        <v>150000</v>
      </c>
      <c r="X112" s="181">
        <f t="shared" si="171"/>
        <v>150000</v>
      </c>
      <c r="Y112" s="181">
        <f t="shared" si="172"/>
        <v>150000</v>
      </c>
      <c r="Z112" s="47">
        <v>0</v>
      </c>
      <c r="AA112" s="181">
        <f t="shared" si="164"/>
        <v>0</v>
      </c>
      <c r="AB112" s="47">
        <v>0</v>
      </c>
      <c r="AC112" s="181">
        <f t="shared" si="107"/>
        <v>0</v>
      </c>
      <c r="AD112" s="47">
        <v>0</v>
      </c>
      <c r="AE112" s="181">
        <f t="shared" si="108"/>
        <v>0</v>
      </c>
      <c r="AF112" s="47">
        <v>0</v>
      </c>
      <c r="AG112" s="181">
        <f t="shared" si="109"/>
        <v>0</v>
      </c>
      <c r="AH112" s="47">
        <v>0</v>
      </c>
      <c r="AI112" s="181">
        <f t="shared" si="110"/>
        <v>0</v>
      </c>
      <c r="AJ112" s="47">
        <v>0</v>
      </c>
      <c r="AK112" s="181">
        <f t="shared" si="111"/>
        <v>0</v>
      </c>
      <c r="AL112" s="47">
        <v>0</v>
      </c>
      <c r="AM112" s="181">
        <f t="shared" si="112"/>
        <v>0</v>
      </c>
      <c r="AN112" s="47">
        <v>0</v>
      </c>
      <c r="AO112" s="181">
        <f t="shared" si="113"/>
        <v>0</v>
      </c>
      <c r="AP112" s="47">
        <v>0</v>
      </c>
      <c r="AQ112" s="181">
        <f t="shared" si="114"/>
        <v>0</v>
      </c>
      <c r="AR112" s="47">
        <v>0</v>
      </c>
      <c r="AS112" s="181">
        <f t="shared" si="115"/>
        <v>0</v>
      </c>
      <c r="AT112" s="47">
        <v>0</v>
      </c>
      <c r="AU112" s="181">
        <f t="shared" si="116"/>
        <v>0</v>
      </c>
      <c r="AV112" s="47">
        <v>0</v>
      </c>
      <c r="AW112" s="181">
        <f t="shared" si="117"/>
        <v>0</v>
      </c>
      <c r="AX112" s="47">
        <v>0</v>
      </c>
      <c r="AY112" s="181">
        <f t="shared" si="118"/>
        <v>0</v>
      </c>
      <c r="AZ112" s="47">
        <v>0</v>
      </c>
      <c r="BA112" s="181">
        <f t="shared" si="119"/>
        <v>0</v>
      </c>
      <c r="BB112" s="47">
        <v>0</v>
      </c>
      <c r="BC112" s="181">
        <f t="shared" si="120"/>
        <v>0</v>
      </c>
      <c r="BD112" s="47">
        <v>0</v>
      </c>
      <c r="BE112" s="181">
        <f t="shared" si="121"/>
        <v>0</v>
      </c>
      <c r="BF112" s="47">
        <v>0</v>
      </c>
      <c r="BG112" s="181">
        <f t="shared" si="122"/>
        <v>0</v>
      </c>
      <c r="BH112" s="47">
        <v>12</v>
      </c>
      <c r="BI112" s="181">
        <f t="shared" si="165"/>
        <v>600000</v>
      </c>
      <c r="BJ112" s="47">
        <f t="shared" si="166"/>
        <v>12</v>
      </c>
      <c r="BK112" s="117">
        <f t="shared" si="166"/>
        <v>600000</v>
      </c>
      <c r="BL112" s="345" t="s">
        <v>472</v>
      </c>
      <c r="BN112" s="113"/>
      <c r="BO112" s="113"/>
      <c r="BP112" s="113"/>
      <c r="BQ112" s="113"/>
      <c r="BR112" s="113">
        <f t="shared" si="173"/>
        <v>0</v>
      </c>
      <c r="BS112" s="113"/>
      <c r="BT112" s="113">
        <f t="shared" si="174"/>
        <v>600000</v>
      </c>
      <c r="BU112" s="125">
        <f t="shared" si="175"/>
        <v>600000</v>
      </c>
      <c r="BV112" s="181">
        <f t="shared" si="106"/>
        <v>600000</v>
      </c>
    </row>
    <row r="113" spans="2:74" x14ac:dyDescent="0.25">
      <c r="B113" s="38">
        <v>41514</v>
      </c>
      <c r="C113" s="38" t="s">
        <v>333</v>
      </c>
      <c r="D113" s="38" t="s">
        <v>27</v>
      </c>
      <c r="E113" s="375">
        <v>150000</v>
      </c>
      <c r="F113" s="38">
        <f t="shared" si="154"/>
        <v>12</v>
      </c>
      <c r="G113" s="448">
        <f t="shared" si="155"/>
        <v>1800000</v>
      </c>
      <c r="H113" s="438">
        <f t="shared" si="167"/>
        <v>900000</v>
      </c>
      <c r="I113" s="438">
        <f t="shared" si="168"/>
        <v>900000</v>
      </c>
      <c r="J113" s="438">
        <f t="shared" si="156"/>
        <v>0</v>
      </c>
      <c r="K113" s="438">
        <f t="shared" si="157"/>
        <v>0</v>
      </c>
      <c r="L113" s="438">
        <f t="shared" si="158"/>
        <v>0</v>
      </c>
      <c r="M113" s="438">
        <f t="shared" si="159"/>
        <v>0</v>
      </c>
      <c r="N113" s="438">
        <f t="shared" si="160"/>
        <v>0</v>
      </c>
      <c r="O113" s="85">
        <f t="shared" si="161"/>
        <v>0</v>
      </c>
      <c r="P113" s="85">
        <f t="shared" si="162"/>
        <v>0</v>
      </c>
      <c r="Q113" s="85">
        <f t="shared" si="163"/>
        <v>0</v>
      </c>
      <c r="R113" s="47">
        <v>3</v>
      </c>
      <c r="S113" s="47">
        <v>3</v>
      </c>
      <c r="T113" s="47">
        <v>3</v>
      </c>
      <c r="U113" s="47">
        <v>3</v>
      </c>
      <c r="V113" s="181">
        <f t="shared" si="169"/>
        <v>450000</v>
      </c>
      <c r="W113" s="181">
        <f t="shared" si="170"/>
        <v>450000</v>
      </c>
      <c r="X113" s="181">
        <f t="shared" si="171"/>
        <v>450000</v>
      </c>
      <c r="Y113" s="181">
        <f t="shared" si="172"/>
        <v>450000</v>
      </c>
      <c r="Z113" s="47">
        <v>0</v>
      </c>
      <c r="AA113" s="181">
        <f t="shared" si="164"/>
        <v>0</v>
      </c>
      <c r="AB113" s="47">
        <v>0</v>
      </c>
      <c r="AC113" s="181">
        <f t="shared" si="107"/>
        <v>0</v>
      </c>
      <c r="AD113" s="47">
        <v>0</v>
      </c>
      <c r="AE113" s="181">
        <f t="shared" si="108"/>
        <v>0</v>
      </c>
      <c r="AF113" s="47">
        <v>0</v>
      </c>
      <c r="AG113" s="181">
        <f t="shared" si="109"/>
        <v>0</v>
      </c>
      <c r="AH113" s="47">
        <v>0</v>
      </c>
      <c r="AI113" s="181">
        <f t="shared" si="110"/>
        <v>0</v>
      </c>
      <c r="AJ113" s="47">
        <v>0</v>
      </c>
      <c r="AK113" s="181">
        <f t="shared" si="111"/>
        <v>0</v>
      </c>
      <c r="AL113" s="47">
        <v>0</v>
      </c>
      <c r="AM113" s="181">
        <f t="shared" si="112"/>
        <v>0</v>
      </c>
      <c r="AN113" s="47">
        <v>0</v>
      </c>
      <c r="AO113" s="181">
        <f t="shared" si="113"/>
        <v>0</v>
      </c>
      <c r="AP113" s="47">
        <v>0</v>
      </c>
      <c r="AQ113" s="181">
        <f t="shared" si="114"/>
        <v>0</v>
      </c>
      <c r="AR113" s="47">
        <v>0</v>
      </c>
      <c r="AS113" s="181">
        <f t="shared" si="115"/>
        <v>0</v>
      </c>
      <c r="AT113" s="47">
        <v>0</v>
      </c>
      <c r="AU113" s="181">
        <f t="shared" si="116"/>
        <v>0</v>
      </c>
      <c r="AV113" s="47">
        <v>0</v>
      </c>
      <c r="AW113" s="181">
        <f t="shared" si="117"/>
        <v>0</v>
      </c>
      <c r="AX113" s="47">
        <v>0</v>
      </c>
      <c r="AY113" s="181">
        <f t="shared" si="118"/>
        <v>0</v>
      </c>
      <c r="AZ113" s="47">
        <v>0</v>
      </c>
      <c r="BA113" s="181">
        <f t="shared" si="119"/>
        <v>0</v>
      </c>
      <c r="BB113" s="47">
        <v>0</v>
      </c>
      <c r="BC113" s="181">
        <f t="shared" si="120"/>
        <v>0</v>
      </c>
      <c r="BD113" s="47">
        <v>0</v>
      </c>
      <c r="BE113" s="181">
        <f t="shared" si="121"/>
        <v>0</v>
      </c>
      <c r="BF113" s="47">
        <v>0</v>
      </c>
      <c r="BG113" s="181">
        <f t="shared" si="122"/>
        <v>0</v>
      </c>
      <c r="BH113" s="47">
        <v>12</v>
      </c>
      <c r="BI113" s="181">
        <f t="shared" si="165"/>
        <v>1800000</v>
      </c>
      <c r="BJ113" s="47">
        <f t="shared" si="166"/>
        <v>12</v>
      </c>
      <c r="BK113" s="117">
        <f t="shared" si="166"/>
        <v>1800000</v>
      </c>
      <c r="BL113" s="345" t="s">
        <v>472</v>
      </c>
      <c r="BN113" s="113"/>
      <c r="BO113" s="113"/>
      <c r="BP113" s="113"/>
      <c r="BQ113" s="113"/>
      <c r="BR113" s="113">
        <f t="shared" si="173"/>
        <v>0</v>
      </c>
      <c r="BS113" s="113"/>
      <c r="BT113" s="113">
        <f t="shared" si="174"/>
        <v>1800000</v>
      </c>
      <c r="BU113" s="125">
        <f t="shared" si="175"/>
        <v>1800000</v>
      </c>
      <c r="BV113" s="181">
        <f t="shared" si="106"/>
        <v>1800000</v>
      </c>
    </row>
    <row r="114" spans="2:74" x14ac:dyDescent="0.25">
      <c r="B114" s="38">
        <v>41515</v>
      </c>
      <c r="C114" s="38" t="s">
        <v>28</v>
      </c>
      <c r="D114" s="38" t="s">
        <v>27</v>
      </c>
      <c r="E114" s="375">
        <f>0.4*100000</f>
        <v>40000</v>
      </c>
      <c r="F114" s="38">
        <f t="shared" si="154"/>
        <v>0</v>
      </c>
      <c r="G114" s="448">
        <f t="shared" si="155"/>
        <v>0</v>
      </c>
      <c r="H114" s="438">
        <f t="shared" si="167"/>
        <v>0</v>
      </c>
      <c r="I114" s="438">
        <f t="shared" si="168"/>
        <v>0</v>
      </c>
      <c r="J114" s="438">
        <f t="shared" si="156"/>
        <v>0</v>
      </c>
      <c r="K114" s="438">
        <f t="shared" si="157"/>
        <v>0</v>
      </c>
      <c r="L114" s="438">
        <f t="shared" si="158"/>
        <v>0</v>
      </c>
      <c r="M114" s="438">
        <f t="shared" si="159"/>
        <v>0</v>
      </c>
      <c r="N114" s="438">
        <f t="shared" si="160"/>
        <v>0</v>
      </c>
      <c r="O114" s="85">
        <f t="shared" si="161"/>
        <v>0</v>
      </c>
      <c r="P114" s="85">
        <f t="shared" si="162"/>
        <v>0</v>
      </c>
      <c r="Q114" s="85">
        <f t="shared" si="163"/>
        <v>0</v>
      </c>
      <c r="R114" s="47"/>
      <c r="S114" s="47"/>
      <c r="T114" s="47"/>
      <c r="U114" s="47"/>
      <c r="V114" s="181">
        <f t="shared" si="169"/>
        <v>0</v>
      </c>
      <c r="W114" s="181">
        <f t="shared" si="170"/>
        <v>0</v>
      </c>
      <c r="X114" s="181">
        <f t="shared" si="171"/>
        <v>0</v>
      </c>
      <c r="Y114" s="181">
        <f t="shared" si="172"/>
        <v>0</v>
      </c>
      <c r="Z114" s="47">
        <v>0</v>
      </c>
      <c r="AA114" s="181">
        <f t="shared" si="164"/>
        <v>0</v>
      </c>
      <c r="AB114" s="47">
        <v>0</v>
      </c>
      <c r="AC114" s="181">
        <f t="shared" si="107"/>
        <v>0</v>
      </c>
      <c r="AD114" s="47">
        <v>0</v>
      </c>
      <c r="AE114" s="181">
        <f t="shared" si="108"/>
        <v>0</v>
      </c>
      <c r="AF114" s="47">
        <v>0</v>
      </c>
      <c r="AG114" s="181">
        <f t="shared" si="109"/>
        <v>0</v>
      </c>
      <c r="AH114" s="47">
        <v>0</v>
      </c>
      <c r="AI114" s="181">
        <f t="shared" si="110"/>
        <v>0</v>
      </c>
      <c r="AJ114" s="47">
        <v>0</v>
      </c>
      <c r="AK114" s="181">
        <f t="shared" si="111"/>
        <v>0</v>
      </c>
      <c r="AL114" s="47">
        <v>0</v>
      </c>
      <c r="AM114" s="181">
        <f t="shared" si="112"/>
        <v>0</v>
      </c>
      <c r="AN114" s="47">
        <v>0</v>
      </c>
      <c r="AO114" s="181">
        <f t="shared" si="113"/>
        <v>0</v>
      </c>
      <c r="AP114" s="47">
        <v>0</v>
      </c>
      <c r="AQ114" s="181">
        <f t="shared" si="114"/>
        <v>0</v>
      </c>
      <c r="AR114" s="47">
        <v>0</v>
      </c>
      <c r="AS114" s="181">
        <f t="shared" si="115"/>
        <v>0</v>
      </c>
      <c r="AT114" s="47">
        <v>0</v>
      </c>
      <c r="AU114" s="181">
        <f t="shared" si="116"/>
        <v>0</v>
      </c>
      <c r="AV114" s="47">
        <v>0</v>
      </c>
      <c r="AW114" s="181">
        <f t="shared" si="117"/>
        <v>0</v>
      </c>
      <c r="AX114" s="47">
        <v>0</v>
      </c>
      <c r="AY114" s="181">
        <f t="shared" si="118"/>
        <v>0</v>
      </c>
      <c r="AZ114" s="47">
        <v>0</v>
      </c>
      <c r="BA114" s="181">
        <f t="shared" si="119"/>
        <v>0</v>
      </c>
      <c r="BB114" s="47">
        <v>0</v>
      </c>
      <c r="BC114" s="181">
        <f t="shared" si="120"/>
        <v>0</v>
      </c>
      <c r="BD114" s="47">
        <v>0</v>
      </c>
      <c r="BE114" s="181">
        <f t="shared" si="121"/>
        <v>0</v>
      </c>
      <c r="BF114" s="47">
        <v>0</v>
      </c>
      <c r="BG114" s="181">
        <f t="shared" si="122"/>
        <v>0</v>
      </c>
      <c r="BH114" s="47">
        <v>0</v>
      </c>
      <c r="BI114" s="181">
        <f t="shared" si="165"/>
        <v>0</v>
      </c>
      <c r="BJ114" s="47">
        <f t="shared" si="166"/>
        <v>0</v>
      </c>
      <c r="BK114" s="117">
        <f t="shared" si="166"/>
        <v>0</v>
      </c>
      <c r="BL114" s="345" t="s">
        <v>472</v>
      </c>
      <c r="BN114" s="113"/>
      <c r="BO114" s="113"/>
      <c r="BP114" s="113"/>
      <c r="BQ114" s="113"/>
      <c r="BR114" s="113">
        <f t="shared" si="173"/>
        <v>0</v>
      </c>
      <c r="BS114" s="113"/>
      <c r="BT114" s="113">
        <f t="shared" si="174"/>
        <v>0</v>
      </c>
      <c r="BU114" s="125">
        <f t="shared" si="175"/>
        <v>0</v>
      </c>
      <c r="BV114" s="181">
        <f t="shared" si="106"/>
        <v>0</v>
      </c>
    </row>
    <row r="115" spans="2:74" x14ac:dyDescent="0.25">
      <c r="B115" s="38">
        <v>41516</v>
      </c>
      <c r="C115" s="38" t="s">
        <v>334</v>
      </c>
      <c r="D115" s="38" t="s">
        <v>27</v>
      </c>
      <c r="E115" s="375">
        <f>0.5*100000</f>
        <v>50000</v>
      </c>
      <c r="F115" s="38">
        <f t="shared" si="154"/>
        <v>12</v>
      </c>
      <c r="G115" s="448">
        <f t="shared" si="155"/>
        <v>600000</v>
      </c>
      <c r="H115" s="438">
        <f t="shared" si="167"/>
        <v>300000</v>
      </c>
      <c r="I115" s="438">
        <f t="shared" si="168"/>
        <v>300000</v>
      </c>
      <c r="J115" s="438">
        <f t="shared" si="156"/>
        <v>0</v>
      </c>
      <c r="K115" s="438">
        <f t="shared" si="157"/>
        <v>0</v>
      </c>
      <c r="L115" s="438">
        <f t="shared" si="158"/>
        <v>0</v>
      </c>
      <c r="M115" s="438">
        <f t="shared" si="159"/>
        <v>0</v>
      </c>
      <c r="N115" s="438">
        <f t="shared" si="160"/>
        <v>0</v>
      </c>
      <c r="O115" s="85">
        <f t="shared" si="161"/>
        <v>0</v>
      </c>
      <c r="P115" s="85">
        <f t="shared" si="162"/>
        <v>0</v>
      </c>
      <c r="Q115" s="85">
        <f t="shared" si="163"/>
        <v>0</v>
      </c>
      <c r="R115" s="47">
        <v>3</v>
      </c>
      <c r="S115" s="47">
        <v>3</v>
      </c>
      <c r="T115" s="47">
        <v>3</v>
      </c>
      <c r="U115" s="47">
        <v>3</v>
      </c>
      <c r="V115" s="181">
        <f t="shared" si="169"/>
        <v>150000</v>
      </c>
      <c r="W115" s="181">
        <f t="shared" si="170"/>
        <v>150000</v>
      </c>
      <c r="X115" s="181">
        <f t="shared" si="171"/>
        <v>150000</v>
      </c>
      <c r="Y115" s="181">
        <f t="shared" si="172"/>
        <v>150000</v>
      </c>
      <c r="Z115" s="47">
        <v>0</v>
      </c>
      <c r="AA115" s="181">
        <f t="shared" si="164"/>
        <v>0</v>
      </c>
      <c r="AB115" s="47">
        <v>0</v>
      </c>
      <c r="AC115" s="181">
        <f t="shared" si="107"/>
        <v>0</v>
      </c>
      <c r="AD115" s="47">
        <v>0</v>
      </c>
      <c r="AE115" s="181">
        <f t="shared" si="108"/>
        <v>0</v>
      </c>
      <c r="AF115" s="47">
        <v>0</v>
      </c>
      <c r="AG115" s="181">
        <f t="shared" si="109"/>
        <v>0</v>
      </c>
      <c r="AH115" s="47">
        <v>0</v>
      </c>
      <c r="AI115" s="181">
        <f t="shared" si="110"/>
        <v>0</v>
      </c>
      <c r="AJ115" s="47">
        <v>0</v>
      </c>
      <c r="AK115" s="181">
        <f t="shared" si="111"/>
        <v>0</v>
      </c>
      <c r="AL115" s="47">
        <v>0</v>
      </c>
      <c r="AM115" s="181">
        <f t="shared" si="112"/>
        <v>0</v>
      </c>
      <c r="AN115" s="47">
        <v>0</v>
      </c>
      <c r="AO115" s="181">
        <f t="shared" si="113"/>
        <v>0</v>
      </c>
      <c r="AP115" s="47">
        <v>0</v>
      </c>
      <c r="AQ115" s="181">
        <f t="shared" si="114"/>
        <v>0</v>
      </c>
      <c r="AR115" s="47">
        <v>0</v>
      </c>
      <c r="AS115" s="181">
        <f t="shared" si="115"/>
        <v>0</v>
      </c>
      <c r="AT115" s="47">
        <v>0</v>
      </c>
      <c r="AU115" s="181">
        <f t="shared" si="116"/>
        <v>0</v>
      </c>
      <c r="AV115" s="47">
        <v>0</v>
      </c>
      <c r="AW115" s="181">
        <f t="shared" si="117"/>
        <v>0</v>
      </c>
      <c r="AX115" s="47">
        <v>0</v>
      </c>
      <c r="AY115" s="181">
        <f t="shared" si="118"/>
        <v>0</v>
      </c>
      <c r="AZ115" s="47">
        <v>0</v>
      </c>
      <c r="BA115" s="181">
        <f t="shared" si="119"/>
        <v>0</v>
      </c>
      <c r="BB115" s="47">
        <v>0</v>
      </c>
      <c r="BC115" s="181">
        <f t="shared" si="120"/>
        <v>0</v>
      </c>
      <c r="BD115" s="47">
        <v>0</v>
      </c>
      <c r="BE115" s="181">
        <f t="shared" si="121"/>
        <v>0</v>
      </c>
      <c r="BF115" s="47">
        <v>0</v>
      </c>
      <c r="BG115" s="181">
        <f t="shared" si="122"/>
        <v>0</v>
      </c>
      <c r="BH115" s="47">
        <v>12</v>
      </c>
      <c r="BI115" s="181">
        <f t="shared" si="165"/>
        <v>600000</v>
      </c>
      <c r="BJ115" s="47">
        <f t="shared" si="166"/>
        <v>12</v>
      </c>
      <c r="BK115" s="117">
        <f t="shared" si="166"/>
        <v>600000</v>
      </c>
      <c r="BL115" s="345" t="s">
        <v>472</v>
      </c>
      <c r="BN115" s="113"/>
      <c r="BO115" s="113"/>
      <c r="BP115" s="113"/>
      <c r="BQ115" s="113"/>
      <c r="BR115" s="113">
        <f t="shared" si="173"/>
        <v>0</v>
      </c>
      <c r="BS115" s="113"/>
      <c r="BT115" s="113">
        <f t="shared" si="174"/>
        <v>600000</v>
      </c>
      <c r="BU115" s="125">
        <f t="shared" si="175"/>
        <v>600000</v>
      </c>
      <c r="BV115" s="181">
        <f t="shared" si="106"/>
        <v>600000</v>
      </c>
    </row>
    <row r="116" spans="2:74" x14ac:dyDescent="0.25">
      <c r="B116" s="439"/>
      <c r="C116" s="439"/>
      <c r="D116" s="439"/>
      <c r="E116" s="439"/>
      <c r="F116" s="439">
        <f>SUM(F100:F115)</f>
        <v>113</v>
      </c>
      <c r="G116" s="440">
        <f>SUM(G100:G115)</f>
        <v>7336000</v>
      </c>
      <c r="H116" s="440">
        <f t="shared" ref="H116:Q116" si="176">SUM(H100:H115)</f>
        <v>3668000</v>
      </c>
      <c r="I116" s="440">
        <f t="shared" si="176"/>
        <v>3668000</v>
      </c>
      <c r="J116" s="440">
        <f t="shared" si="176"/>
        <v>0</v>
      </c>
      <c r="K116" s="440">
        <f t="shared" si="176"/>
        <v>0</v>
      </c>
      <c r="L116" s="440">
        <f t="shared" si="176"/>
        <v>0</v>
      </c>
      <c r="M116" s="440">
        <f t="shared" si="176"/>
        <v>0</v>
      </c>
      <c r="N116" s="440">
        <f t="shared" si="176"/>
        <v>0</v>
      </c>
      <c r="O116" s="440">
        <f t="shared" si="176"/>
        <v>0</v>
      </c>
      <c r="P116" s="440">
        <f t="shared" si="176"/>
        <v>0</v>
      </c>
      <c r="Q116" s="440">
        <f t="shared" si="176"/>
        <v>0</v>
      </c>
      <c r="R116" s="439">
        <f t="shared" ref="R116:BK116" si="177">SUM(R100:R115)</f>
        <v>27</v>
      </c>
      <c r="S116" s="439">
        <f t="shared" si="177"/>
        <v>30</v>
      </c>
      <c r="T116" s="439">
        <f t="shared" si="177"/>
        <v>29</v>
      </c>
      <c r="U116" s="439">
        <f t="shared" si="177"/>
        <v>27</v>
      </c>
      <c r="V116" s="440">
        <f t="shared" si="177"/>
        <v>1124250</v>
      </c>
      <c r="W116" s="440">
        <f t="shared" si="177"/>
        <v>3643250</v>
      </c>
      <c r="X116" s="440">
        <f t="shared" si="177"/>
        <v>1444250</v>
      </c>
      <c r="Y116" s="440">
        <f t="shared" si="177"/>
        <v>1124250</v>
      </c>
      <c r="Z116" s="439">
        <f t="shared" si="177"/>
        <v>0</v>
      </c>
      <c r="AA116" s="440">
        <f t="shared" si="177"/>
        <v>0</v>
      </c>
      <c r="AB116" s="439">
        <f t="shared" si="177"/>
        <v>0</v>
      </c>
      <c r="AC116" s="440">
        <f t="shared" si="177"/>
        <v>0</v>
      </c>
      <c r="AD116" s="439">
        <f t="shared" si="177"/>
        <v>0</v>
      </c>
      <c r="AE116" s="440">
        <f t="shared" si="177"/>
        <v>0</v>
      </c>
      <c r="AF116" s="439">
        <f t="shared" si="177"/>
        <v>0</v>
      </c>
      <c r="AG116" s="440">
        <f t="shared" si="177"/>
        <v>0</v>
      </c>
      <c r="AH116" s="439">
        <f t="shared" si="177"/>
        <v>0</v>
      </c>
      <c r="AI116" s="440">
        <f t="shared" si="177"/>
        <v>0</v>
      </c>
      <c r="AJ116" s="439">
        <f t="shared" si="177"/>
        <v>0</v>
      </c>
      <c r="AK116" s="440">
        <f t="shared" si="177"/>
        <v>0</v>
      </c>
      <c r="AL116" s="439">
        <f t="shared" si="177"/>
        <v>0</v>
      </c>
      <c r="AM116" s="440">
        <f t="shared" si="177"/>
        <v>0</v>
      </c>
      <c r="AN116" s="439">
        <f t="shared" si="177"/>
        <v>0</v>
      </c>
      <c r="AO116" s="440">
        <f t="shared" si="177"/>
        <v>0</v>
      </c>
      <c r="AP116" s="439">
        <f t="shared" si="177"/>
        <v>0</v>
      </c>
      <c r="AQ116" s="440">
        <f t="shared" si="177"/>
        <v>0</v>
      </c>
      <c r="AR116" s="439">
        <f t="shared" si="177"/>
        <v>0</v>
      </c>
      <c r="AS116" s="440">
        <f t="shared" si="177"/>
        <v>0</v>
      </c>
      <c r="AT116" s="439">
        <f t="shared" si="177"/>
        <v>0</v>
      </c>
      <c r="AU116" s="440">
        <f t="shared" si="177"/>
        <v>0</v>
      </c>
      <c r="AV116" s="439">
        <f t="shared" si="177"/>
        <v>0</v>
      </c>
      <c r="AW116" s="440">
        <f t="shared" si="177"/>
        <v>0</v>
      </c>
      <c r="AX116" s="439">
        <f t="shared" si="177"/>
        <v>0</v>
      </c>
      <c r="AY116" s="440">
        <f t="shared" si="177"/>
        <v>0</v>
      </c>
      <c r="AZ116" s="439">
        <f t="shared" si="177"/>
        <v>0</v>
      </c>
      <c r="BA116" s="440">
        <f t="shared" si="177"/>
        <v>0</v>
      </c>
      <c r="BB116" s="439">
        <f t="shared" si="177"/>
        <v>0</v>
      </c>
      <c r="BC116" s="440">
        <f t="shared" si="177"/>
        <v>0</v>
      </c>
      <c r="BD116" s="439">
        <f t="shared" si="177"/>
        <v>0</v>
      </c>
      <c r="BE116" s="440">
        <f t="shared" si="177"/>
        <v>0</v>
      </c>
      <c r="BF116" s="439">
        <f t="shared" si="177"/>
        <v>0</v>
      </c>
      <c r="BG116" s="440">
        <f t="shared" si="177"/>
        <v>0</v>
      </c>
      <c r="BH116" s="439">
        <f t="shared" si="177"/>
        <v>113</v>
      </c>
      <c r="BI116" s="440">
        <f t="shared" si="177"/>
        <v>7336000</v>
      </c>
      <c r="BJ116" s="439">
        <f t="shared" si="177"/>
        <v>113</v>
      </c>
      <c r="BK116" s="441">
        <f t="shared" si="177"/>
        <v>7336000</v>
      </c>
      <c r="BL116" s="345"/>
      <c r="BN116" s="441">
        <f t="shared" ref="BN116:BU116" si="178">SUM(BN100:BN115)</f>
        <v>0</v>
      </c>
      <c r="BO116" s="441">
        <f t="shared" si="178"/>
        <v>0</v>
      </c>
      <c r="BP116" s="441">
        <f t="shared" si="178"/>
        <v>0</v>
      </c>
      <c r="BQ116" s="441">
        <f t="shared" si="178"/>
        <v>0</v>
      </c>
      <c r="BR116" s="441">
        <f t="shared" si="178"/>
        <v>0</v>
      </c>
      <c r="BS116" s="441">
        <f t="shared" si="178"/>
        <v>0</v>
      </c>
      <c r="BT116" s="441">
        <f t="shared" si="178"/>
        <v>7336000</v>
      </c>
      <c r="BU116" s="441">
        <f t="shared" si="178"/>
        <v>7336000</v>
      </c>
      <c r="BV116" s="390">
        <f t="shared" si="106"/>
        <v>7336000</v>
      </c>
    </row>
    <row r="117" spans="2:74" x14ac:dyDescent="0.25">
      <c r="B117" s="449"/>
      <c r="C117" s="449"/>
      <c r="D117" s="449"/>
      <c r="E117" s="450"/>
      <c r="F117" s="451">
        <f t="shared" ref="F117:BG117" si="179">F116+F98+F66+F44+F17</f>
        <v>489</v>
      </c>
      <c r="G117" s="408">
        <f t="shared" si="179"/>
        <v>59242000</v>
      </c>
      <c r="H117" s="408">
        <f t="shared" si="179"/>
        <v>24038000</v>
      </c>
      <c r="I117" s="408">
        <f t="shared" si="179"/>
        <v>35204000</v>
      </c>
      <c r="J117" s="408">
        <f t="shared" si="179"/>
        <v>0</v>
      </c>
      <c r="K117" s="408">
        <f t="shared" si="179"/>
        <v>0</v>
      </c>
      <c r="L117" s="408">
        <f t="shared" si="179"/>
        <v>0</v>
      </c>
      <c r="M117" s="408">
        <f t="shared" si="179"/>
        <v>0</v>
      </c>
      <c r="N117" s="408">
        <f t="shared" si="179"/>
        <v>0</v>
      </c>
      <c r="O117" s="408">
        <f t="shared" si="179"/>
        <v>0</v>
      </c>
      <c r="P117" s="408">
        <f t="shared" si="179"/>
        <v>0</v>
      </c>
      <c r="Q117" s="408">
        <f t="shared" si="179"/>
        <v>0</v>
      </c>
      <c r="R117" s="451">
        <f t="shared" si="179"/>
        <v>113</v>
      </c>
      <c r="S117" s="451">
        <f t="shared" si="179"/>
        <v>155</v>
      </c>
      <c r="T117" s="451">
        <f t="shared" si="179"/>
        <v>111</v>
      </c>
      <c r="U117" s="451">
        <f t="shared" si="179"/>
        <v>110</v>
      </c>
      <c r="V117" s="408">
        <f t="shared" si="179"/>
        <v>16663250</v>
      </c>
      <c r="W117" s="408">
        <f t="shared" si="179"/>
        <v>21352250</v>
      </c>
      <c r="X117" s="408">
        <f t="shared" si="179"/>
        <v>9873250</v>
      </c>
      <c r="Y117" s="408">
        <f t="shared" si="179"/>
        <v>11353250</v>
      </c>
      <c r="Z117" s="451">
        <f t="shared" si="179"/>
        <v>0</v>
      </c>
      <c r="AA117" s="408">
        <f t="shared" si="179"/>
        <v>0</v>
      </c>
      <c r="AB117" s="451">
        <f t="shared" si="179"/>
        <v>0</v>
      </c>
      <c r="AC117" s="408">
        <f t="shared" si="179"/>
        <v>0</v>
      </c>
      <c r="AD117" s="451">
        <f t="shared" si="179"/>
        <v>0</v>
      </c>
      <c r="AE117" s="408">
        <f t="shared" si="179"/>
        <v>0</v>
      </c>
      <c r="AF117" s="451">
        <f t="shared" si="179"/>
        <v>0</v>
      </c>
      <c r="AG117" s="408">
        <f t="shared" si="179"/>
        <v>0</v>
      </c>
      <c r="AH117" s="451">
        <f t="shared" si="179"/>
        <v>0</v>
      </c>
      <c r="AI117" s="408">
        <f t="shared" si="179"/>
        <v>0</v>
      </c>
      <c r="AJ117" s="451">
        <f t="shared" si="179"/>
        <v>0</v>
      </c>
      <c r="AK117" s="408">
        <f t="shared" si="179"/>
        <v>0</v>
      </c>
      <c r="AL117" s="451">
        <f t="shared" si="179"/>
        <v>0</v>
      </c>
      <c r="AM117" s="408">
        <f t="shared" si="179"/>
        <v>0</v>
      </c>
      <c r="AN117" s="451">
        <f t="shared" si="179"/>
        <v>0</v>
      </c>
      <c r="AO117" s="408">
        <f t="shared" si="179"/>
        <v>0</v>
      </c>
      <c r="AP117" s="451">
        <f t="shared" si="179"/>
        <v>0</v>
      </c>
      <c r="AQ117" s="408">
        <f t="shared" si="179"/>
        <v>0</v>
      </c>
      <c r="AR117" s="451">
        <f t="shared" si="179"/>
        <v>0</v>
      </c>
      <c r="AS117" s="408">
        <f t="shared" si="179"/>
        <v>0</v>
      </c>
      <c r="AT117" s="451">
        <f t="shared" si="179"/>
        <v>0</v>
      </c>
      <c r="AU117" s="408">
        <f t="shared" si="179"/>
        <v>0</v>
      </c>
      <c r="AV117" s="451">
        <f t="shared" si="179"/>
        <v>0</v>
      </c>
      <c r="AW117" s="408">
        <f t="shared" si="179"/>
        <v>0</v>
      </c>
      <c r="AX117" s="451">
        <f t="shared" si="179"/>
        <v>0</v>
      </c>
      <c r="AY117" s="408">
        <f t="shared" si="179"/>
        <v>0</v>
      </c>
      <c r="AZ117" s="451">
        <f t="shared" si="179"/>
        <v>0</v>
      </c>
      <c r="BA117" s="408">
        <f t="shared" si="179"/>
        <v>0</v>
      </c>
      <c r="BB117" s="451">
        <f t="shared" si="179"/>
        <v>0</v>
      </c>
      <c r="BC117" s="408">
        <f t="shared" si="179"/>
        <v>0</v>
      </c>
      <c r="BD117" s="451">
        <f t="shared" si="179"/>
        <v>0</v>
      </c>
      <c r="BE117" s="408">
        <f t="shared" si="179"/>
        <v>0</v>
      </c>
      <c r="BF117" s="451">
        <f t="shared" si="179"/>
        <v>0</v>
      </c>
      <c r="BG117" s="408">
        <f t="shared" si="179"/>
        <v>0</v>
      </c>
      <c r="BH117" s="451">
        <f>BH116+BH98+BH66+BH44+BH17</f>
        <v>489</v>
      </c>
      <c r="BI117" s="408">
        <f>BI116+BI98+BI66+BI44+BI17</f>
        <v>59242000</v>
      </c>
      <c r="BJ117" s="451">
        <f>BJ116+BJ98+BJ66+BJ44+BJ17</f>
        <v>489</v>
      </c>
      <c r="BK117" s="408">
        <f>BK116+BK98+BK66+BK44+BK17</f>
        <v>59242000</v>
      </c>
      <c r="BL117" s="345"/>
      <c r="BN117" s="408">
        <f t="shared" ref="BN117:BU117" si="180">BN116+BN98+BN66+BN44+BN17</f>
        <v>0</v>
      </c>
      <c r="BO117" s="408">
        <f t="shared" si="180"/>
        <v>0</v>
      </c>
      <c r="BP117" s="408">
        <f t="shared" si="180"/>
        <v>16810000</v>
      </c>
      <c r="BQ117" s="408">
        <f t="shared" si="180"/>
        <v>0</v>
      </c>
      <c r="BR117" s="408">
        <f t="shared" si="180"/>
        <v>16810000</v>
      </c>
      <c r="BS117" s="408">
        <f t="shared" si="180"/>
        <v>32096000</v>
      </c>
      <c r="BT117" s="408">
        <f t="shared" si="180"/>
        <v>8536000</v>
      </c>
      <c r="BU117" s="408">
        <f t="shared" si="180"/>
        <v>40632000</v>
      </c>
      <c r="BV117" s="452">
        <f t="shared" si="106"/>
        <v>57442000</v>
      </c>
    </row>
    <row r="118" spans="2:74" x14ac:dyDescent="0.25">
      <c r="C118" s="39" t="s">
        <v>507</v>
      </c>
    </row>
    <row r="119" spans="2:74" x14ac:dyDescent="0.25">
      <c r="C119" s="39" t="s">
        <v>571</v>
      </c>
      <c r="X119" s="82"/>
    </row>
    <row r="120" spans="2:74" x14ac:dyDescent="0.25">
      <c r="C120" s="39" t="s">
        <v>572</v>
      </c>
      <c r="X120" s="82"/>
    </row>
    <row r="121" spans="2:74" x14ac:dyDescent="0.25">
      <c r="C121" s="39" t="s">
        <v>573</v>
      </c>
    </row>
    <row r="122" spans="2:74" x14ac:dyDescent="0.25">
      <c r="C122" s="39" t="s">
        <v>574</v>
      </c>
    </row>
    <row r="123" spans="2:74" x14ac:dyDescent="0.25">
      <c r="C123" s="39" t="s">
        <v>575</v>
      </c>
    </row>
    <row r="124" spans="2:74" x14ac:dyDescent="0.25">
      <c r="C124" s="39" t="s">
        <v>576</v>
      </c>
    </row>
    <row r="125" spans="2:74" x14ac:dyDescent="0.25">
      <c r="C125" s="39" t="s">
        <v>577</v>
      </c>
    </row>
  </sheetData>
  <mergeCells count="45"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  <mergeCell ref="H7:Q7"/>
    <mergeCell ref="A10:A94"/>
    <mergeCell ref="AJ7:AK8"/>
    <mergeCell ref="BF7:BG8"/>
    <mergeCell ref="F8:F9"/>
    <mergeCell ref="G8:G9"/>
    <mergeCell ref="AT7:AU8"/>
    <mergeCell ref="AV7:AW8"/>
    <mergeCell ref="AL7:AM8"/>
    <mergeCell ref="V7:Y8"/>
    <mergeCell ref="AB7:AC8"/>
    <mergeCell ref="AP7:AQ8"/>
    <mergeCell ref="Z7:AA8"/>
    <mergeCell ref="BH7:BI8"/>
    <mergeCell ref="AF7:AG8"/>
    <mergeCell ref="AH7:AI8"/>
    <mergeCell ref="BJ7:BK8"/>
    <mergeCell ref="A8:A9"/>
    <mergeCell ref="C8:C9"/>
    <mergeCell ref="D8:D9"/>
    <mergeCell ref="E8:E9"/>
    <mergeCell ref="AR7:AS8"/>
    <mergeCell ref="R7:U8"/>
    <mergeCell ref="BB7:BC8"/>
    <mergeCell ref="BD7:BE8"/>
    <mergeCell ref="AD7:AE8"/>
    <mergeCell ref="AX7:AY8"/>
    <mergeCell ref="AZ7:BA8"/>
    <mergeCell ref="AN7:AO8"/>
  </mergeCells>
  <pageMargins left="0.4" right="0.7" top="0.32" bottom="0.17" header="0.3" footer="0.17"/>
  <pageSetup paperSize="9" scale="1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BV119"/>
  <sheetViews>
    <sheetView zoomScale="90" zoomScaleNormal="90" workbookViewId="0">
      <pane xSplit="7" ySplit="9" topLeftCell="H22" activePane="bottomRight" state="frozen"/>
      <selection pane="topRight" activeCell="H1" sqref="H1"/>
      <selection pane="bottomLeft" activeCell="A10" sqref="A10"/>
      <selection pane="bottomRight" activeCell="AV35" sqref="AV35"/>
    </sheetView>
  </sheetViews>
  <sheetFormatPr defaultRowHeight="15.75" x14ac:dyDescent="0.25"/>
  <cols>
    <col min="1" max="1" width="16.140625" style="39" customWidth="1"/>
    <col min="2" max="2" width="12.140625" style="39" customWidth="1"/>
    <col min="3" max="3" width="26.140625" style="39" customWidth="1"/>
    <col min="4" max="4" width="9.5703125" style="39" customWidth="1"/>
    <col min="5" max="5" width="17.28515625" style="361" customWidth="1"/>
    <col min="6" max="6" width="8" style="39" customWidth="1"/>
    <col min="7" max="7" width="15.28515625" style="82" customWidth="1"/>
    <col min="8" max="8" width="17" style="82" customWidth="1"/>
    <col min="9" max="9" width="17.42578125" style="82" customWidth="1"/>
    <col min="10" max="10" width="7.7109375" style="82" customWidth="1"/>
    <col min="11" max="11" width="6.28515625" style="82" customWidth="1"/>
    <col min="12" max="12" width="11.28515625" style="82" bestFit="1" customWidth="1"/>
    <col min="13" max="13" width="5.85546875" style="82" customWidth="1"/>
    <col min="14" max="14" width="8.85546875" style="82" customWidth="1"/>
    <col min="15" max="15" width="7.140625" style="39" customWidth="1"/>
    <col min="16" max="16" width="9.28515625" style="39" customWidth="1"/>
    <col min="17" max="17" width="13.140625" style="39" bestFit="1" customWidth="1"/>
    <col min="18" max="21" width="7.85546875" style="39" bestFit="1" customWidth="1"/>
    <col min="22" max="22" width="14.5703125" style="39" customWidth="1"/>
    <col min="23" max="23" width="14.7109375" style="39" customWidth="1"/>
    <col min="24" max="24" width="14.28515625" style="39" bestFit="1" customWidth="1"/>
    <col min="25" max="25" width="15" style="39" customWidth="1"/>
    <col min="26" max="26" width="9.140625" style="39" customWidth="1"/>
    <col min="27" max="27" width="17.28515625" style="39" customWidth="1"/>
    <col min="28" max="28" width="9.140625" style="39" customWidth="1"/>
    <col min="29" max="29" width="14.7109375" style="39" customWidth="1"/>
    <col min="30" max="30" width="9.140625" style="39" customWidth="1"/>
    <col min="31" max="31" width="16.42578125" style="39" customWidth="1"/>
    <col min="32" max="32" width="9.140625" style="39" customWidth="1"/>
    <col min="33" max="33" width="16.28515625" style="39" customWidth="1"/>
    <col min="34" max="34" width="9.140625" style="39" customWidth="1"/>
    <col min="35" max="35" width="16.28515625" style="39" customWidth="1"/>
    <col min="36" max="36" width="9.140625" style="39" customWidth="1"/>
    <col min="37" max="37" width="16.42578125" style="39" customWidth="1"/>
    <col min="38" max="38" width="9.140625" style="39" customWidth="1"/>
    <col min="39" max="39" width="16.28515625" style="39" customWidth="1"/>
    <col min="40" max="40" width="9.140625" style="39" customWidth="1"/>
    <col min="41" max="41" width="14.28515625" style="39" customWidth="1"/>
    <col min="42" max="42" width="5" style="39" customWidth="1"/>
    <col min="43" max="43" width="15.85546875" style="39" customWidth="1"/>
    <col min="44" max="44" width="5" style="39" customWidth="1"/>
    <col min="45" max="45" width="16.7109375" style="39" customWidth="1"/>
    <col min="46" max="46" width="5" style="39" customWidth="1"/>
    <col min="47" max="47" width="17.5703125" style="39" customWidth="1"/>
    <col min="48" max="48" width="5" style="39" customWidth="1"/>
    <col min="49" max="49" width="14.5703125" style="39" customWidth="1"/>
    <col min="50" max="50" width="5" style="39" customWidth="1"/>
    <col min="51" max="51" width="14" style="39" customWidth="1"/>
    <col min="52" max="52" width="5" style="39" customWidth="1"/>
    <col min="53" max="53" width="14.85546875" style="39" customWidth="1"/>
    <col min="54" max="54" width="5.85546875" style="39" customWidth="1"/>
    <col min="55" max="55" width="17.5703125" style="39" customWidth="1"/>
    <col min="56" max="56" width="5" style="39" customWidth="1"/>
    <col min="57" max="57" width="14.7109375" style="39" customWidth="1"/>
    <col min="58" max="58" width="5" style="39" customWidth="1"/>
    <col min="59" max="59" width="14.28515625" style="39" customWidth="1"/>
    <col min="60" max="60" width="5" style="39" customWidth="1"/>
    <col min="61" max="61" width="16" style="39" customWidth="1"/>
    <col min="62" max="62" width="7.5703125" style="39" customWidth="1"/>
    <col min="63" max="63" width="19.42578125" style="39" customWidth="1"/>
    <col min="64" max="64" width="14.140625" style="39" customWidth="1"/>
    <col min="65" max="65" width="9.140625" style="39" customWidth="1"/>
    <col min="66" max="66" width="14.7109375" style="39" customWidth="1"/>
    <col min="67" max="67" width="10.7109375" style="39" customWidth="1"/>
    <col min="68" max="68" width="14" style="39" customWidth="1"/>
    <col min="69" max="69" width="9.140625" style="39"/>
    <col min="70" max="71" width="14.140625" style="39" customWidth="1"/>
    <col min="72" max="72" width="16.85546875" style="39" customWidth="1"/>
    <col min="73" max="73" width="19.140625" style="39" customWidth="1"/>
    <col min="74" max="74" width="19" style="39" customWidth="1"/>
    <col min="75" max="16384" width="9.140625" style="39"/>
  </cols>
  <sheetData>
    <row r="1" spans="1:74" ht="15" customHeight="1" x14ac:dyDescent="0.25"/>
    <row r="2" spans="1:74" ht="21" customHeight="1" x14ac:dyDescent="0.25">
      <c r="A2" s="825" t="s">
        <v>409</v>
      </c>
      <c r="B2" s="825"/>
      <c r="C2" s="827" t="s">
        <v>403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67"/>
      <c r="S2" s="67"/>
      <c r="T2" s="67"/>
      <c r="U2" s="67"/>
      <c r="V2" s="67"/>
      <c r="W2" s="67"/>
      <c r="X2" s="67"/>
      <c r="Y2" s="67"/>
    </row>
    <row r="3" spans="1:74" ht="17.25" customHeight="1" x14ac:dyDescent="0.25">
      <c r="A3" s="825" t="s">
        <v>405</v>
      </c>
      <c r="B3" s="825"/>
      <c r="C3" s="827" t="s">
        <v>404</v>
      </c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67"/>
      <c r="S3" s="67"/>
      <c r="T3" s="67"/>
      <c r="U3" s="67"/>
      <c r="V3" s="67"/>
      <c r="W3" s="67"/>
      <c r="X3" s="67"/>
      <c r="Y3" s="67"/>
      <c r="AA3" s="39">
        <f>816/17</f>
        <v>48</v>
      </c>
    </row>
    <row r="4" spans="1:74" ht="18.75" customHeight="1" x14ac:dyDescent="0.25">
      <c r="A4" s="825" t="s">
        <v>406</v>
      </c>
      <c r="B4" s="825"/>
      <c r="C4" s="827" t="s">
        <v>752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67"/>
      <c r="S4" s="67"/>
      <c r="T4" s="67"/>
      <c r="U4" s="67"/>
      <c r="V4" s="67"/>
      <c r="W4" s="67"/>
      <c r="X4" s="67"/>
      <c r="Y4" s="67"/>
    </row>
    <row r="5" spans="1:74" ht="27.75" customHeight="1" x14ac:dyDescent="0.25">
      <c r="A5" s="825" t="s">
        <v>412</v>
      </c>
      <c r="B5" s="825"/>
      <c r="C5" s="827" t="s">
        <v>410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67"/>
      <c r="S5" s="67"/>
      <c r="T5" s="67"/>
      <c r="U5" s="67"/>
      <c r="V5" s="67"/>
      <c r="W5" s="67"/>
      <c r="X5" s="67"/>
      <c r="Y5" s="67"/>
    </row>
    <row r="6" spans="1:74" ht="19.5" customHeight="1" x14ac:dyDescent="0.25">
      <c r="A6" s="825" t="s">
        <v>414</v>
      </c>
      <c r="B6" s="825"/>
      <c r="C6" s="827" t="s">
        <v>371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67"/>
      <c r="S6" s="67"/>
      <c r="T6" s="67"/>
      <c r="U6" s="67"/>
      <c r="V6" s="67"/>
      <c r="W6" s="67"/>
      <c r="X6" s="67"/>
      <c r="Y6" s="67"/>
    </row>
    <row r="7" spans="1:74" ht="17.25" customHeight="1" x14ac:dyDescent="0.25">
      <c r="A7" s="997"/>
      <c r="B7" s="997"/>
      <c r="C7" s="997"/>
      <c r="D7" s="997"/>
      <c r="E7" s="997"/>
      <c r="F7" s="997"/>
      <c r="G7" s="997"/>
      <c r="H7" s="906" t="s">
        <v>402</v>
      </c>
      <c r="I7" s="907"/>
      <c r="J7" s="907"/>
      <c r="K7" s="907"/>
      <c r="L7" s="907"/>
      <c r="M7" s="907"/>
      <c r="N7" s="907"/>
      <c r="O7" s="907"/>
      <c r="P7" s="907"/>
      <c r="Q7" s="908"/>
      <c r="R7" s="983" t="s">
        <v>68</v>
      </c>
      <c r="S7" s="984"/>
      <c r="T7" s="984"/>
      <c r="U7" s="985"/>
      <c r="V7" s="991" t="s">
        <v>6</v>
      </c>
      <c r="W7" s="992"/>
      <c r="X7" s="992"/>
      <c r="Y7" s="993"/>
      <c r="Z7" s="998" t="s">
        <v>434</v>
      </c>
      <c r="AA7" s="998"/>
      <c r="AB7" s="998" t="s">
        <v>435</v>
      </c>
      <c r="AC7" s="998"/>
      <c r="AD7" s="998" t="s">
        <v>436</v>
      </c>
      <c r="AE7" s="998"/>
      <c r="AF7" s="998" t="s">
        <v>437</v>
      </c>
      <c r="AG7" s="998"/>
      <c r="AH7" s="998" t="s">
        <v>438</v>
      </c>
      <c r="AI7" s="998"/>
      <c r="AJ7" s="998" t="s">
        <v>439</v>
      </c>
      <c r="AK7" s="998"/>
      <c r="AL7" s="998" t="s">
        <v>440</v>
      </c>
      <c r="AM7" s="998"/>
      <c r="AN7" s="998" t="s">
        <v>441</v>
      </c>
      <c r="AO7" s="998"/>
      <c r="AP7" s="998" t="s">
        <v>442</v>
      </c>
      <c r="AQ7" s="998"/>
      <c r="AR7" s="998" t="s">
        <v>443</v>
      </c>
      <c r="AS7" s="998"/>
      <c r="AT7" s="998" t="s">
        <v>444</v>
      </c>
      <c r="AU7" s="998"/>
      <c r="AV7" s="998" t="s">
        <v>445</v>
      </c>
      <c r="AW7" s="998"/>
      <c r="AX7" s="998" t="s">
        <v>446</v>
      </c>
      <c r="AY7" s="998"/>
      <c r="AZ7" s="998" t="s">
        <v>447</v>
      </c>
      <c r="BA7" s="998"/>
      <c r="BB7" s="998" t="s">
        <v>448</v>
      </c>
      <c r="BC7" s="998"/>
      <c r="BD7" s="998" t="s">
        <v>449</v>
      </c>
      <c r="BE7" s="998"/>
      <c r="BF7" s="998" t="s">
        <v>450</v>
      </c>
      <c r="BG7" s="998"/>
      <c r="BH7" s="998" t="s">
        <v>451</v>
      </c>
      <c r="BI7" s="998"/>
      <c r="BJ7" s="998" t="s">
        <v>18</v>
      </c>
      <c r="BK7" s="999"/>
      <c r="BL7" s="841" t="s">
        <v>498</v>
      </c>
    </row>
    <row r="8" spans="1:74" x14ac:dyDescent="0.25">
      <c r="A8" s="716" t="s">
        <v>14</v>
      </c>
      <c r="B8" s="716" t="s">
        <v>1</v>
      </c>
      <c r="C8" s="997" t="s">
        <v>12</v>
      </c>
      <c r="D8" s="716" t="s">
        <v>15</v>
      </c>
      <c r="E8" s="990" t="s">
        <v>23</v>
      </c>
      <c r="F8" s="990" t="s">
        <v>370</v>
      </c>
      <c r="G8" s="1000" t="s">
        <v>30</v>
      </c>
      <c r="H8" s="118" t="s">
        <v>457</v>
      </c>
      <c r="I8" s="118" t="s">
        <v>458</v>
      </c>
      <c r="J8" s="118" t="s">
        <v>459</v>
      </c>
      <c r="K8" s="118" t="s">
        <v>460</v>
      </c>
      <c r="L8" s="118" t="s">
        <v>461</v>
      </c>
      <c r="M8" s="118" t="s">
        <v>462</v>
      </c>
      <c r="N8" s="118" t="s">
        <v>463</v>
      </c>
      <c r="O8" s="118" t="s">
        <v>464</v>
      </c>
      <c r="P8" s="118" t="s">
        <v>465</v>
      </c>
      <c r="Q8" s="118" t="s">
        <v>466</v>
      </c>
      <c r="R8" s="986"/>
      <c r="S8" s="987"/>
      <c r="T8" s="987"/>
      <c r="U8" s="988"/>
      <c r="V8" s="994"/>
      <c r="W8" s="995"/>
      <c r="X8" s="995"/>
      <c r="Y8" s="996"/>
      <c r="Z8" s="998"/>
      <c r="AA8" s="998"/>
      <c r="AB8" s="998" t="s">
        <v>49</v>
      </c>
      <c r="AC8" s="998"/>
      <c r="AD8" s="998" t="s">
        <v>50</v>
      </c>
      <c r="AE8" s="998"/>
      <c r="AF8" s="998" t="s">
        <v>51</v>
      </c>
      <c r="AG8" s="998"/>
      <c r="AH8" s="998" t="s">
        <v>52</v>
      </c>
      <c r="AI8" s="998"/>
      <c r="AJ8" s="998" t="s">
        <v>53</v>
      </c>
      <c r="AK8" s="998"/>
      <c r="AL8" s="998" t="s">
        <v>54</v>
      </c>
      <c r="AM8" s="998"/>
      <c r="AN8" s="998" t="s">
        <v>55</v>
      </c>
      <c r="AO8" s="998"/>
      <c r="AP8" s="998" t="s">
        <v>56</v>
      </c>
      <c r="AQ8" s="998"/>
      <c r="AR8" s="998" t="s">
        <v>57</v>
      </c>
      <c r="AS8" s="998"/>
      <c r="AT8" s="998" t="s">
        <v>58</v>
      </c>
      <c r="AU8" s="998"/>
      <c r="AV8" s="998" t="s">
        <v>59</v>
      </c>
      <c r="AW8" s="998"/>
      <c r="AX8" s="998" t="s">
        <v>60</v>
      </c>
      <c r="AY8" s="998"/>
      <c r="AZ8" s="998" t="s">
        <v>61</v>
      </c>
      <c r="BA8" s="998"/>
      <c r="BB8" s="998" t="s">
        <v>45</v>
      </c>
      <c r="BC8" s="998"/>
      <c r="BD8" s="998" t="s">
        <v>42</v>
      </c>
      <c r="BE8" s="998"/>
      <c r="BF8" s="998"/>
      <c r="BG8" s="998"/>
      <c r="BH8" s="998"/>
      <c r="BI8" s="998"/>
      <c r="BJ8" s="998"/>
      <c r="BK8" s="999"/>
      <c r="BL8" s="841"/>
      <c r="BN8" s="840" t="s">
        <v>496</v>
      </c>
      <c r="BO8" s="840"/>
      <c r="BP8" s="840"/>
      <c r="BQ8" s="840"/>
      <c r="BR8" s="840"/>
      <c r="BS8" s="840" t="s">
        <v>497</v>
      </c>
      <c r="BT8" s="840"/>
      <c r="BU8" s="856"/>
      <c r="BV8" s="841" t="s">
        <v>18</v>
      </c>
    </row>
    <row r="9" spans="1:74" ht="27" customHeight="1" x14ac:dyDescent="0.25">
      <c r="A9" s="362"/>
      <c r="B9" s="362" t="s">
        <v>2</v>
      </c>
      <c r="C9" s="997"/>
      <c r="D9" s="362"/>
      <c r="E9" s="990"/>
      <c r="F9" s="990"/>
      <c r="G9" s="1001"/>
      <c r="H9" s="153"/>
      <c r="I9" s="153"/>
      <c r="J9" s="153"/>
      <c r="K9" s="153"/>
      <c r="L9" s="153"/>
      <c r="M9" s="153">
        <v>0</v>
      </c>
      <c r="N9" s="153">
        <v>0</v>
      </c>
      <c r="O9" s="153">
        <v>0</v>
      </c>
      <c r="P9" s="153">
        <v>0</v>
      </c>
      <c r="Q9" s="153">
        <v>14.2</v>
      </c>
      <c r="R9" s="362" t="s">
        <v>7</v>
      </c>
      <c r="S9" s="362" t="s">
        <v>8</v>
      </c>
      <c r="T9" s="362" t="s">
        <v>9</v>
      </c>
      <c r="U9" s="362" t="s">
        <v>10</v>
      </c>
      <c r="V9" s="362" t="s">
        <v>7</v>
      </c>
      <c r="W9" s="362" t="s">
        <v>8</v>
      </c>
      <c r="X9" s="362" t="s">
        <v>9</v>
      </c>
      <c r="Y9" s="362" t="s">
        <v>10</v>
      </c>
      <c r="Z9" s="363" t="s">
        <v>15</v>
      </c>
      <c r="AA9" s="364" t="s">
        <v>16</v>
      </c>
      <c r="AB9" s="365" t="s">
        <v>15</v>
      </c>
      <c r="AC9" s="365" t="s">
        <v>16</v>
      </c>
      <c r="AD9" s="365" t="s">
        <v>15</v>
      </c>
      <c r="AE9" s="365" t="s">
        <v>16</v>
      </c>
      <c r="AF9" s="365" t="s">
        <v>15</v>
      </c>
      <c r="AG9" s="365" t="s">
        <v>16</v>
      </c>
      <c r="AH9" s="365" t="s">
        <v>15</v>
      </c>
      <c r="AI9" s="365" t="s">
        <v>16</v>
      </c>
      <c r="AJ9" s="365" t="s">
        <v>15</v>
      </c>
      <c r="AK9" s="365" t="s">
        <v>16</v>
      </c>
      <c r="AL9" s="365" t="s">
        <v>15</v>
      </c>
      <c r="AM9" s="365" t="s">
        <v>16</v>
      </c>
      <c r="AN9" s="365" t="s">
        <v>15</v>
      </c>
      <c r="AO9" s="365" t="s">
        <v>16</v>
      </c>
      <c r="AP9" s="365" t="s">
        <v>15</v>
      </c>
      <c r="AQ9" s="365" t="s">
        <v>16</v>
      </c>
      <c r="AR9" s="365" t="s">
        <v>15</v>
      </c>
      <c r="AS9" s="365" t="s">
        <v>16</v>
      </c>
      <c r="AT9" s="365" t="s">
        <v>15</v>
      </c>
      <c r="AU9" s="365" t="s">
        <v>16</v>
      </c>
      <c r="AV9" s="365" t="s">
        <v>15</v>
      </c>
      <c r="AW9" s="365" t="s">
        <v>16</v>
      </c>
      <c r="AX9" s="365" t="s">
        <v>15</v>
      </c>
      <c r="AY9" s="365" t="s">
        <v>16</v>
      </c>
      <c r="AZ9" s="365" t="s">
        <v>15</v>
      </c>
      <c r="BA9" s="365" t="s">
        <v>16</v>
      </c>
      <c r="BB9" s="365" t="s">
        <v>15</v>
      </c>
      <c r="BC9" s="365" t="s">
        <v>16</v>
      </c>
      <c r="BD9" s="365" t="s">
        <v>15</v>
      </c>
      <c r="BE9" s="365" t="s">
        <v>16</v>
      </c>
      <c r="BF9" s="365" t="s">
        <v>15</v>
      </c>
      <c r="BG9" s="365" t="s">
        <v>16</v>
      </c>
      <c r="BH9" s="365" t="s">
        <v>15</v>
      </c>
      <c r="BI9" s="365" t="s">
        <v>16</v>
      </c>
      <c r="BJ9" s="365" t="s">
        <v>15</v>
      </c>
      <c r="BK9" s="366" t="s">
        <v>16</v>
      </c>
      <c r="BL9" s="841"/>
      <c r="BN9" s="118" t="s">
        <v>487</v>
      </c>
      <c r="BO9" s="367" t="s">
        <v>488</v>
      </c>
      <c r="BP9" s="367" t="s">
        <v>489</v>
      </c>
      <c r="BQ9" s="368" t="s">
        <v>490</v>
      </c>
      <c r="BR9" s="369" t="s">
        <v>491</v>
      </c>
      <c r="BS9" s="367" t="s">
        <v>492</v>
      </c>
      <c r="BT9" s="367" t="s">
        <v>493</v>
      </c>
      <c r="BU9" s="370" t="s">
        <v>494</v>
      </c>
      <c r="BV9" s="841"/>
    </row>
    <row r="10" spans="1:74" x14ac:dyDescent="0.25">
      <c r="A10" s="989"/>
      <c r="B10" s="38">
        <v>42000</v>
      </c>
      <c r="C10" s="362" t="s">
        <v>686</v>
      </c>
      <c r="D10" s="43"/>
      <c r="E10" s="371"/>
      <c r="F10" s="43"/>
      <c r="G10" s="372"/>
      <c r="H10" s="372"/>
      <c r="I10" s="372"/>
      <c r="J10" s="372"/>
      <c r="K10" s="372"/>
      <c r="L10" s="372"/>
      <c r="M10" s="372"/>
      <c r="N10" s="372"/>
      <c r="O10" s="373"/>
      <c r="P10" s="373"/>
      <c r="Q10" s="373"/>
      <c r="R10" s="374"/>
      <c r="S10" s="60"/>
      <c r="T10" s="374"/>
      <c r="U10" s="374"/>
      <c r="V10" s="374"/>
      <c r="W10" s="47"/>
      <c r="X10" s="362"/>
      <c r="Y10" s="362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124"/>
      <c r="BL10" s="47"/>
      <c r="BN10" s="113"/>
      <c r="BO10" s="113"/>
      <c r="BP10" s="113"/>
      <c r="BQ10" s="113"/>
      <c r="BR10" s="113"/>
      <c r="BS10" s="113"/>
      <c r="BT10" s="113"/>
      <c r="BU10" s="125"/>
      <c r="BV10" s="181">
        <f>BR10+BU10</f>
        <v>0</v>
      </c>
    </row>
    <row r="11" spans="1:74" x14ac:dyDescent="0.25">
      <c r="A11" s="989"/>
      <c r="B11" s="38">
        <v>41100</v>
      </c>
      <c r="C11" s="38" t="s">
        <v>239</v>
      </c>
      <c r="D11" s="38"/>
      <c r="E11" s="375"/>
      <c r="F11" s="38"/>
      <c r="G11" s="85"/>
      <c r="H11" s="85"/>
      <c r="I11" s="85"/>
      <c r="J11" s="85"/>
      <c r="K11" s="85"/>
      <c r="L11" s="85"/>
      <c r="M11" s="85"/>
      <c r="N11" s="8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124"/>
      <c r="BL11" s="47"/>
      <c r="BN11" s="113"/>
      <c r="BO11" s="113"/>
      <c r="BP11" s="113"/>
      <c r="BQ11" s="113"/>
      <c r="BR11" s="113"/>
      <c r="BS11" s="113"/>
      <c r="BT11" s="113"/>
      <c r="BU11" s="125"/>
      <c r="BV11" s="181">
        <f t="shared" ref="BV11:BV76" si="0">BR11+BU11</f>
        <v>0</v>
      </c>
    </row>
    <row r="12" spans="1:74" s="688" customFormat="1" ht="33.75" customHeight="1" x14ac:dyDescent="0.25">
      <c r="A12" s="989"/>
      <c r="B12" s="210">
        <v>41101</v>
      </c>
      <c r="C12" s="210" t="s">
        <v>240</v>
      </c>
      <c r="D12" s="210" t="s">
        <v>241</v>
      </c>
      <c r="E12" s="388">
        <f>7*100000</f>
        <v>700000</v>
      </c>
      <c r="F12" s="210">
        <f>BJ12</f>
        <v>0</v>
      </c>
      <c r="G12" s="691">
        <f t="shared" ref="G12:G17" si="1">E12*F12</f>
        <v>0</v>
      </c>
      <c r="H12" s="691">
        <f t="shared" ref="H12:H17" si="2">G12*0.5</f>
        <v>0</v>
      </c>
      <c r="I12" s="691">
        <f t="shared" ref="I12:I17" si="3">G12*0.5</f>
        <v>0</v>
      </c>
      <c r="J12" s="691">
        <f t="shared" ref="J12:J17" si="4">G12*0</f>
        <v>0</v>
      </c>
      <c r="K12" s="691">
        <f t="shared" ref="K12:K17" si="5">G12*0</f>
        <v>0</v>
      </c>
      <c r="L12" s="691">
        <f t="shared" ref="L12:L17" si="6">G12*0</f>
        <v>0</v>
      </c>
      <c r="M12" s="691">
        <f t="shared" ref="M12:M17" si="7">G12*0</f>
        <v>0</v>
      </c>
      <c r="N12" s="691">
        <f t="shared" ref="N12:N17" si="8">G12*0</f>
        <v>0</v>
      </c>
      <c r="O12" s="691">
        <f t="shared" ref="O12:O17" si="9">G12*0</f>
        <v>0</v>
      </c>
      <c r="P12" s="691">
        <f t="shared" ref="P12:P17" si="10">G12*0</f>
        <v>0</v>
      </c>
      <c r="Q12" s="691">
        <f t="shared" ref="Q12:Q17" si="11">G12*0</f>
        <v>0</v>
      </c>
      <c r="R12" s="692"/>
      <c r="S12" s="692"/>
      <c r="T12" s="692"/>
      <c r="U12" s="692"/>
      <c r="V12" s="693">
        <f t="shared" ref="V12:V17" si="12">R12*E12</f>
        <v>0</v>
      </c>
      <c r="W12" s="693">
        <f t="shared" ref="W12:W17" si="13">S12*E12</f>
        <v>0</v>
      </c>
      <c r="X12" s="693">
        <f t="shared" ref="X12:X17" si="14">T12*E12</f>
        <v>0</v>
      </c>
      <c r="Y12" s="693">
        <f t="shared" ref="Y12:Y17" si="15">U12*E12</f>
        <v>0</v>
      </c>
      <c r="Z12" s="692">
        <v>0</v>
      </c>
      <c r="AA12" s="694">
        <f>Z12*E12</f>
        <v>0</v>
      </c>
      <c r="AB12" s="692">
        <v>0</v>
      </c>
      <c r="AC12" s="694">
        <f>AB12*E12</f>
        <v>0</v>
      </c>
      <c r="AD12" s="692">
        <v>0</v>
      </c>
      <c r="AE12" s="694">
        <f>AD12*E12</f>
        <v>0</v>
      </c>
      <c r="AF12" s="692">
        <v>0</v>
      </c>
      <c r="AG12" s="694">
        <f>AF12*E12</f>
        <v>0</v>
      </c>
      <c r="AH12" s="692">
        <v>0</v>
      </c>
      <c r="AI12" s="694">
        <f>AH12*E12</f>
        <v>0</v>
      </c>
      <c r="AJ12" s="692">
        <v>0</v>
      </c>
      <c r="AK12" s="694">
        <f>AJ12*E12</f>
        <v>0</v>
      </c>
      <c r="AL12" s="692">
        <v>0</v>
      </c>
      <c r="AM12" s="694">
        <f>AL12*E12</f>
        <v>0</v>
      </c>
      <c r="AN12" s="692">
        <v>0</v>
      </c>
      <c r="AO12" s="694">
        <f>AN12*E12</f>
        <v>0</v>
      </c>
      <c r="AP12" s="692">
        <v>0</v>
      </c>
      <c r="AQ12" s="694">
        <f>AP12*E12</f>
        <v>0</v>
      </c>
      <c r="AR12" s="692">
        <v>0</v>
      </c>
      <c r="AS12" s="694">
        <f>AR12*E12</f>
        <v>0</v>
      </c>
      <c r="AT12" s="692">
        <v>0</v>
      </c>
      <c r="AU12" s="694">
        <f>AT12*E12</f>
        <v>0</v>
      </c>
      <c r="AV12" s="692">
        <v>0</v>
      </c>
      <c r="AW12" s="694">
        <f>AV12*E12</f>
        <v>0</v>
      </c>
      <c r="AX12" s="692">
        <v>0</v>
      </c>
      <c r="AY12" s="694">
        <f>AX12*E12</f>
        <v>0</v>
      </c>
      <c r="AZ12" s="692">
        <v>0</v>
      </c>
      <c r="BA12" s="694">
        <f>AZ12*E12</f>
        <v>0</v>
      </c>
      <c r="BB12" s="692">
        <v>0</v>
      </c>
      <c r="BC12" s="694">
        <f>BB12*E12</f>
        <v>0</v>
      </c>
      <c r="BD12" s="692">
        <v>0</v>
      </c>
      <c r="BE12" s="694">
        <f>BD12*E12</f>
        <v>0</v>
      </c>
      <c r="BF12" s="692">
        <v>0</v>
      </c>
      <c r="BG12" s="694">
        <f>BF12*E12</f>
        <v>0</v>
      </c>
      <c r="BH12" s="692">
        <v>0</v>
      </c>
      <c r="BI12" s="694">
        <f>BH12*E12</f>
        <v>0</v>
      </c>
      <c r="BJ12" s="692">
        <f t="shared" ref="BJ12:BK17" si="16">Z12+AB12+AD12+AF12+AH12+AJ12+AL12+AN12+AP12+AR12+AT12+AV12+AX12+AZ12+BB12+BD12+BF12+BH12</f>
        <v>0</v>
      </c>
      <c r="BK12" s="695">
        <f t="shared" si="16"/>
        <v>0</v>
      </c>
      <c r="BL12" s="302" t="s">
        <v>469</v>
      </c>
      <c r="BN12" s="689"/>
      <c r="BO12" s="689"/>
      <c r="BP12" s="689"/>
      <c r="BQ12" s="689"/>
      <c r="BR12" s="689">
        <f t="shared" ref="BR12:BR17" si="17">BN12+BO12+BP12+BQ12</f>
        <v>0</v>
      </c>
      <c r="BS12" s="689"/>
      <c r="BT12" s="689">
        <f t="shared" ref="BT12:BT17" si="18">G12</f>
        <v>0</v>
      </c>
      <c r="BU12" s="696">
        <f t="shared" ref="BU12:BU17" si="19">BS12+BT12</f>
        <v>0</v>
      </c>
      <c r="BV12" s="694">
        <f t="shared" si="0"/>
        <v>0</v>
      </c>
    </row>
    <row r="13" spans="1:74" ht="31.5" x14ac:dyDescent="0.25">
      <c r="A13" s="989"/>
      <c r="B13" s="38">
        <v>41102</v>
      </c>
      <c r="C13" s="38" t="s">
        <v>776</v>
      </c>
      <c r="D13" s="38" t="s">
        <v>241</v>
      </c>
      <c r="E13" s="375">
        <v>40000</v>
      </c>
      <c r="F13" s="38">
        <f>17*12</f>
        <v>204</v>
      </c>
      <c r="G13" s="85">
        <f t="shared" si="1"/>
        <v>8160000</v>
      </c>
      <c r="H13" s="85">
        <f t="shared" si="2"/>
        <v>4080000</v>
      </c>
      <c r="I13" s="85">
        <f t="shared" si="3"/>
        <v>4080000</v>
      </c>
      <c r="J13" s="85">
        <f t="shared" si="4"/>
        <v>0</v>
      </c>
      <c r="K13" s="85">
        <f t="shared" si="5"/>
        <v>0</v>
      </c>
      <c r="L13" s="85">
        <f t="shared" si="6"/>
        <v>0</v>
      </c>
      <c r="M13" s="85">
        <f t="shared" si="7"/>
        <v>0</v>
      </c>
      <c r="N13" s="85">
        <f t="shared" si="8"/>
        <v>0</v>
      </c>
      <c r="O13" s="85">
        <f t="shared" si="9"/>
        <v>0</v>
      </c>
      <c r="P13" s="85">
        <f t="shared" si="10"/>
        <v>0</v>
      </c>
      <c r="Q13" s="85">
        <f t="shared" si="11"/>
        <v>0</v>
      </c>
      <c r="R13" s="47">
        <f>F13*0.25</f>
        <v>51</v>
      </c>
      <c r="S13" s="47">
        <f>F13*0.25</f>
        <v>51</v>
      </c>
      <c r="T13" s="47">
        <f>F13*0.25</f>
        <v>51</v>
      </c>
      <c r="U13" s="47">
        <f>F13*0.25</f>
        <v>51</v>
      </c>
      <c r="V13" s="376">
        <f t="shared" si="12"/>
        <v>2040000</v>
      </c>
      <c r="W13" s="376">
        <f t="shared" si="13"/>
        <v>2040000</v>
      </c>
      <c r="X13" s="376">
        <f t="shared" si="14"/>
        <v>2040000</v>
      </c>
      <c r="Y13" s="376">
        <f t="shared" si="15"/>
        <v>2040000</v>
      </c>
      <c r="Z13" s="47">
        <v>12</v>
      </c>
      <c r="AA13" s="181">
        <f t="shared" ref="AA13:AA76" si="20">Z13*E13</f>
        <v>480000</v>
      </c>
      <c r="AB13" s="47">
        <v>12</v>
      </c>
      <c r="AC13" s="181">
        <f t="shared" ref="AC13:AC76" si="21">AB13*E13</f>
        <v>480000</v>
      </c>
      <c r="AD13" s="47">
        <v>12</v>
      </c>
      <c r="AE13" s="181">
        <f t="shared" ref="AE13:AE76" si="22">AD13*E13</f>
        <v>480000</v>
      </c>
      <c r="AF13" s="47">
        <v>12</v>
      </c>
      <c r="AG13" s="181">
        <f t="shared" ref="AG13:AG76" si="23">AF13*E13</f>
        <v>480000</v>
      </c>
      <c r="AH13" s="47">
        <v>12</v>
      </c>
      <c r="AI13" s="181">
        <f t="shared" ref="AI13:AI76" si="24">AH13*E13</f>
        <v>480000</v>
      </c>
      <c r="AJ13" s="47">
        <v>12</v>
      </c>
      <c r="AK13" s="181">
        <f t="shared" ref="AK13:AK76" si="25">AJ13*E13</f>
        <v>480000</v>
      </c>
      <c r="AL13" s="47">
        <v>12</v>
      </c>
      <c r="AM13" s="181">
        <f t="shared" ref="AM13:AM76" si="26">AL13*E13</f>
        <v>480000</v>
      </c>
      <c r="AN13" s="47">
        <v>12</v>
      </c>
      <c r="AO13" s="181">
        <f t="shared" ref="AO13:AO76" si="27">AN13*E13</f>
        <v>480000</v>
      </c>
      <c r="AP13" s="47">
        <v>12</v>
      </c>
      <c r="AQ13" s="181">
        <f t="shared" ref="AQ13:AQ76" si="28">AP13*E13</f>
        <v>480000</v>
      </c>
      <c r="AR13" s="47">
        <v>12</v>
      </c>
      <c r="AS13" s="181">
        <f t="shared" ref="AS13:AS76" si="29">AR13*E13</f>
        <v>480000</v>
      </c>
      <c r="AT13" s="47">
        <v>12</v>
      </c>
      <c r="AU13" s="181">
        <f t="shared" ref="AU13:AU76" si="30">AT13*E13</f>
        <v>480000</v>
      </c>
      <c r="AV13" s="47">
        <v>12</v>
      </c>
      <c r="AW13" s="181">
        <f t="shared" ref="AW13:AW76" si="31">AV13*E13</f>
        <v>480000</v>
      </c>
      <c r="AX13" s="47">
        <v>12</v>
      </c>
      <c r="AY13" s="181">
        <f t="shared" ref="AY13:AY76" si="32">AX13*E13</f>
        <v>480000</v>
      </c>
      <c r="AZ13" s="47">
        <v>12</v>
      </c>
      <c r="BA13" s="181">
        <f t="shared" ref="BA13:BA76" si="33">AZ13*E13</f>
        <v>480000</v>
      </c>
      <c r="BB13" s="47">
        <v>12</v>
      </c>
      <c r="BC13" s="181">
        <f t="shared" ref="BC13:BC76" si="34">BB13*E13</f>
        <v>480000</v>
      </c>
      <c r="BD13" s="47">
        <v>12</v>
      </c>
      <c r="BE13" s="181">
        <f t="shared" ref="BE13:BE76" si="35">BD13*E13</f>
        <v>480000</v>
      </c>
      <c r="BF13" s="47">
        <v>12</v>
      </c>
      <c r="BG13" s="181">
        <f t="shared" ref="BG13:BG76" si="36">BF13*E13</f>
        <v>480000</v>
      </c>
      <c r="BH13" s="47">
        <v>0</v>
      </c>
      <c r="BI13" s="181">
        <f t="shared" ref="BI13:BI76" si="37">BH13*E13</f>
        <v>0</v>
      </c>
      <c r="BJ13" s="47">
        <f t="shared" si="16"/>
        <v>204</v>
      </c>
      <c r="BK13" s="117">
        <f t="shared" si="16"/>
        <v>8160000</v>
      </c>
      <c r="BL13" s="302" t="s">
        <v>472</v>
      </c>
      <c r="BN13" s="113"/>
      <c r="BO13" s="113"/>
      <c r="BP13" s="113"/>
      <c r="BQ13" s="113"/>
      <c r="BR13" s="113">
        <f t="shared" si="17"/>
        <v>0</v>
      </c>
      <c r="BS13" s="113"/>
      <c r="BT13" s="113">
        <f t="shared" si="18"/>
        <v>8160000</v>
      </c>
      <c r="BU13" s="125">
        <f t="shared" si="19"/>
        <v>8160000</v>
      </c>
      <c r="BV13" s="181">
        <f t="shared" si="0"/>
        <v>8160000</v>
      </c>
    </row>
    <row r="14" spans="1:74" x14ac:dyDescent="0.25">
      <c r="A14" s="989"/>
      <c r="B14" s="38">
        <v>41103</v>
      </c>
      <c r="C14" s="38" t="s">
        <v>243</v>
      </c>
      <c r="D14" s="38" t="s">
        <v>241</v>
      </c>
      <c r="E14" s="375">
        <v>60000</v>
      </c>
      <c r="F14" s="38">
        <v>0</v>
      </c>
      <c r="G14" s="85">
        <f t="shared" si="1"/>
        <v>0</v>
      </c>
      <c r="H14" s="85">
        <f t="shared" si="2"/>
        <v>0</v>
      </c>
      <c r="I14" s="85">
        <f t="shared" si="3"/>
        <v>0</v>
      </c>
      <c r="J14" s="85">
        <f t="shared" si="4"/>
        <v>0</v>
      </c>
      <c r="K14" s="85">
        <f t="shared" si="5"/>
        <v>0</v>
      </c>
      <c r="L14" s="85">
        <f t="shared" si="6"/>
        <v>0</v>
      </c>
      <c r="M14" s="85">
        <f t="shared" si="7"/>
        <v>0</v>
      </c>
      <c r="N14" s="85">
        <f t="shared" si="8"/>
        <v>0</v>
      </c>
      <c r="O14" s="85">
        <f t="shared" si="9"/>
        <v>0</v>
      </c>
      <c r="P14" s="85">
        <f t="shared" si="10"/>
        <v>0</v>
      </c>
      <c r="Q14" s="85">
        <f t="shared" si="11"/>
        <v>0</v>
      </c>
      <c r="R14" s="47">
        <f>F14*0.25</f>
        <v>0</v>
      </c>
      <c r="S14" s="47">
        <f>F14*0.25</f>
        <v>0</v>
      </c>
      <c r="T14" s="47">
        <f>F14*0.25</f>
        <v>0</v>
      </c>
      <c r="U14" s="47">
        <f>F14*0.25</f>
        <v>0</v>
      </c>
      <c r="V14" s="376">
        <f t="shared" si="12"/>
        <v>0</v>
      </c>
      <c r="W14" s="376">
        <f t="shared" si="13"/>
        <v>0</v>
      </c>
      <c r="X14" s="376">
        <f t="shared" si="14"/>
        <v>0</v>
      </c>
      <c r="Y14" s="376">
        <f t="shared" si="15"/>
        <v>0</v>
      </c>
      <c r="Z14" s="47">
        <v>0</v>
      </c>
      <c r="AA14" s="181">
        <f t="shared" si="20"/>
        <v>0</v>
      </c>
      <c r="AB14" s="47">
        <v>0</v>
      </c>
      <c r="AC14" s="181">
        <f t="shared" si="21"/>
        <v>0</v>
      </c>
      <c r="AD14" s="47">
        <v>0</v>
      </c>
      <c r="AE14" s="181">
        <f t="shared" si="22"/>
        <v>0</v>
      </c>
      <c r="AF14" s="47">
        <v>0</v>
      </c>
      <c r="AG14" s="181">
        <f t="shared" si="23"/>
        <v>0</v>
      </c>
      <c r="AH14" s="47">
        <v>0</v>
      </c>
      <c r="AI14" s="181">
        <f t="shared" si="24"/>
        <v>0</v>
      </c>
      <c r="AJ14" s="47">
        <v>0</v>
      </c>
      <c r="AK14" s="181">
        <f t="shared" si="25"/>
        <v>0</v>
      </c>
      <c r="AL14" s="47">
        <v>0</v>
      </c>
      <c r="AM14" s="181">
        <f t="shared" si="26"/>
        <v>0</v>
      </c>
      <c r="AN14" s="47">
        <v>0</v>
      </c>
      <c r="AO14" s="181">
        <f t="shared" si="27"/>
        <v>0</v>
      </c>
      <c r="AP14" s="47">
        <v>0</v>
      </c>
      <c r="AQ14" s="181">
        <f t="shared" si="28"/>
        <v>0</v>
      </c>
      <c r="AR14" s="47">
        <v>0</v>
      </c>
      <c r="AS14" s="181">
        <f t="shared" si="29"/>
        <v>0</v>
      </c>
      <c r="AT14" s="47">
        <v>0</v>
      </c>
      <c r="AU14" s="181">
        <f t="shared" si="30"/>
        <v>0</v>
      </c>
      <c r="AV14" s="47">
        <v>0</v>
      </c>
      <c r="AW14" s="181">
        <f t="shared" si="31"/>
        <v>0</v>
      </c>
      <c r="AX14" s="47">
        <v>0</v>
      </c>
      <c r="AY14" s="181">
        <f t="shared" si="32"/>
        <v>0</v>
      </c>
      <c r="AZ14" s="47">
        <v>0</v>
      </c>
      <c r="BA14" s="181">
        <f t="shared" si="33"/>
        <v>0</v>
      </c>
      <c r="BB14" s="47">
        <v>0</v>
      </c>
      <c r="BC14" s="181">
        <f t="shared" si="34"/>
        <v>0</v>
      </c>
      <c r="BD14" s="47">
        <v>0</v>
      </c>
      <c r="BE14" s="181">
        <f t="shared" si="35"/>
        <v>0</v>
      </c>
      <c r="BF14" s="47">
        <v>0</v>
      </c>
      <c r="BG14" s="181">
        <f t="shared" si="36"/>
        <v>0</v>
      </c>
      <c r="BH14" s="47">
        <v>0</v>
      </c>
      <c r="BI14" s="181">
        <f t="shared" si="37"/>
        <v>0</v>
      </c>
      <c r="BJ14" s="47">
        <f t="shared" si="16"/>
        <v>0</v>
      </c>
      <c r="BK14" s="117">
        <f t="shared" si="16"/>
        <v>0</v>
      </c>
      <c r="BL14" s="302" t="s">
        <v>472</v>
      </c>
      <c r="BN14" s="113"/>
      <c r="BO14" s="113"/>
      <c r="BP14" s="113"/>
      <c r="BQ14" s="113"/>
      <c r="BR14" s="113">
        <f t="shared" si="17"/>
        <v>0</v>
      </c>
      <c r="BS14" s="113"/>
      <c r="BT14" s="113">
        <f t="shared" si="18"/>
        <v>0</v>
      </c>
      <c r="BU14" s="125">
        <f t="shared" si="19"/>
        <v>0</v>
      </c>
      <c r="BV14" s="181">
        <f t="shared" si="0"/>
        <v>0</v>
      </c>
    </row>
    <row r="15" spans="1:74" ht="47.25" x14ac:dyDescent="0.25">
      <c r="A15" s="989"/>
      <c r="B15" s="38">
        <v>41104</v>
      </c>
      <c r="C15" s="38" t="s">
        <v>853</v>
      </c>
      <c r="D15" s="38" t="s">
        <v>241</v>
      </c>
      <c r="E15" s="375">
        <f>1750*4</f>
        <v>7000</v>
      </c>
      <c r="F15" s="38">
        <f>17*12</f>
        <v>204</v>
      </c>
      <c r="G15" s="85">
        <f t="shared" si="1"/>
        <v>1428000</v>
      </c>
      <c r="H15" s="85">
        <f t="shared" si="2"/>
        <v>714000</v>
      </c>
      <c r="I15" s="85">
        <f t="shared" si="3"/>
        <v>714000</v>
      </c>
      <c r="J15" s="85">
        <f t="shared" si="4"/>
        <v>0</v>
      </c>
      <c r="K15" s="85">
        <f t="shared" si="5"/>
        <v>0</v>
      </c>
      <c r="L15" s="85">
        <f t="shared" si="6"/>
        <v>0</v>
      </c>
      <c r="M15" s="85">
        <f t="shared" si="7"/>
        <v>0</v>
      </c>
      <c r="N15" s="85">
        <f t="shared" si="8"/>
        <v>0</v>
      </c>
      <c r="O15" s="85">
        <f t="shared" si="9"/>
        <v>0</v>
      </c>
      <c r="P15" s="85">
        <f t="shared" si="10"/>
        <v>0</v>
      </c>
      <c r="Q15" s="85">
        <f t="shared" si="11"/>
        <v>0</v>
      </c>
      <c r="R15" s="47">
        <f>F15*0.25</f>
        <v>51</v>
      </c>
      <c r="S15" s="47">
        <f>F15*0.25</f>
        <v>51</v>
      </c>
      <c r="T15" s="47">
        <f>F15*0.25</f>
        <v>51</v>
      </c>
      <c r="U15" s="47">
        <f>F15*0.25</f>
        <v>51</v>
      </c>
      <c r="V15" s="376">
        <f t="shared" si="12"/>
        <v>357000</v>
      </c>
      <c r="W15" s="376">
        <f t="shared" si="13"/>
        <v>357000</v>
      </c>
      <c r="X15" s="376">
        <f t="shared" si="14"/>
        <v>357000</v>
      </c>
      <c r="Y15" s="376">
        <f t="shared" si="15"/>
        <v>357000</v>
      </c>
      <c r="Z15" s="47">
        <v>12</v>
      </c>
      <c r="AA15" s="181">
        <f t="shared" si="20"/>
        <v>84000</v>
      </c>
      <c r="AB15" s="47">
        <v>12</v>
      </c>
      <c r="AC15" s="181">
        <f t="shared" si="21"/>
        <v>84000</v>
      </c>
      <c r="AD15" s="47">
        <v>12</v>
      </c>
      <c r="AE15" s="181">
        <f t="shared" si="22"/>
        <v>84000</v>
      </c>
      <c r="AF15" s="47">
        <v>12</v>
      </c>
      <c r="AG15" s="181">
        <f t="shared" si="23"/>
        <v>84000</v>
      </c>
      <c r="AH15" s="47">
        <v>12</v>
      </c>
      <c r="AI15" s="181">
        <f t="shared" si="24"/>
        <v>84000</v>
      </c>
      <c r="AJ15" s="47">
        <v>12</v>
      </c>
      <c r="AK15" s="181">
        <f t="shared" si="25"/>
        <v>84000</v>
      </c>
      <c r="AL15" s="47">
        <v>12</v>
      </c>
      <c r="AM15" s="181">
        <f t="shared" si="26"/>
        <v>84000</v>
      </c>
      <c r="AN15" s="47">
        <v>12</v>
      </c>
      <c r="AO15" s="181">
        <f t="shared" si="27"/>
        <v>84000</v>
      </c>
      <c r="AP15" s="47">
        <v>12</v>
      </c>
      <c r="AQ15" s="181">
        <f t="shared" si="28"/>
        <v>84000</v>
      </c>
      <c r="AR15" s="47">
        <v>12</v>
      </c>
      <c r="AS15" s="181">
        <f t="shared" si="29"/>
        <v>84000</v>
      </c>
      <c r="AT15" s="47">
        <v>12</v>
      </c>
      <c r="AU15" s="181">
        <f t="shared" si="30"/>
        <v>84000</v>
      </c>
      <c r="AV15" s="47">
        <v>12</v>
      </c>
      <c r="AW15" s="181">
        <f t="shared" si="31"/>
        <v>84000</v>
      </c>
      <c r="AX15" s="47">
        <v>12</v>
      </c>
      <c r="AY15" s="181">
        <f t="shared" si="32"/>
        <v>84000</v>
      </c>
      <c r="AZ15" s="47">
        <v>12</v>
      </c>
      <c r="BA15" s="181">
        <f t="shared" si="33"/>
        <v>84000</v>
      </c>
      <c r="BB15" s="47">
        <v>12</v>
      </c>
      <c r="BC15" s="181">
        <f t="shared" si="34"/>
        <v>84000</v>
      </c>
      <c r="BD15" s="47">
        <v>12</v>
      </c>
      <c r="BE15" s="181">
        <f t="shared" si="35"/>
        <v>84000</v>
      </c>
      <c r="BF15" s="47">
        <v>12</v>
      </c>
      <c r="BG15" s="181">
        <f t="shared" si="36"/>
        <v>84000</v>
      </c>
      <c r="BH15" s="47">
        <v>0</v>
      </c>
      <c r="BI15" s="181">
        <f t="shared" si="37"/>
        <v>0</v>
      </c>
      <c r="BJ15" s="47">
        <f t="shared" si="16"/>
        <v>204</v>
      </c>
      <c r="BK15" s="117">
        <f t="shared" si="16"/>
        <v>1428000</v>
      </c>
      <c r="BL15" s="302" t="s">
        <v>472</v>
      </c>
      <c r="BN15" s="113"/>
      <c r="BO15" s="113"/>
      <c r="BP15" s="113"/>
      <c r="BQ15" s="113"/>
      <c r="BR15" s="113">
        <f t="shared" si="17"/>
        <v>0</v>
      </c>
      <c r="BS15" s="113"/>
      <c r="BT15" s="113">
        <f t="shared" si="18"/>
        <v>1428000</v>
      </c>
      <c r="BU15" s="125">
        <f t="shared" si="19"/>
        <v>1428000</v>
      </c>
      <c r="BV15" s="181">
        <f t="shared" si="0"/>
        <v>1428000</v>
      </c>
    </row>
    <row r="16" spans="1:74" ht="31.5" x14ac:dyDescent="0.25">
      <c r="A16" s="989"/>
      <c r="B16" s="38">
        <v>41105</v>
      </c>
      <c r="C16" s="38" t="s">
        <v>245</v>
      </c>
      <c r="D16" s="38" t="s">
        <v>241</v>
      </c>
      <c r="E16" s="375">
        <f>250*4</f>
        <v>1000</v>
      </c>
      <c r="F16" s="38">
        <f>17*12</f>
        <v>204</v>
      </c>
      <c r="G16" s="85">
        <f t="shared" si="1"/>
        <v>204000</v>
      </c>
      <c r="H16" s="85">
        <f t="shared" si="2"/>
        <v>102000</v>
      </c>
      <c r="I16" s="85">
        <f t="shared" si="3"/>
        <v>102000</v>
      </c>
      <c r="J16" s="85">
        <f t="shared" si="4"/>
        <v>0</v>
      </c>
      <c r="K16" s="85">
        <f t="shared" si="5"/>
        <v>0</v>
      </c>
      <c r="L16" s="85">
        <f t="shared" si="6"/>
        <v>0</v>
      </c>
      <c r="M16" s="85">
        <f t="shared" si="7"/>
        <v>0</v>
      </c>
      <c r="N16" s="85">
        <f t="shared" si="8"/>
        <v>0</v>
      </c>
      <c r="O16" s="85">
        <f t="shared" si="9"/>
        <v>0</v>
      </c>
      <c r="P16" s="85">
        <f t="shared" si="10"/>
        <v>0</v>
      </c>
      <c r="Q16" s="85">
        <f t="shared" si="11"/>
        <v>0</v>
      </c>
      <c r="R16" s="47">
        <f>F16*0.25</f>
        <v>51</v>
      </c>
      <c r="S16" s="47">
        <f>F16*0.25</f>
        <v>51</v>
      </c>
      <c r="T16" s="47">
        <f>F16*0.25</f>
        <v>51</v>
      </c>
      <c r="U16" s="47">
        <f>F16*0.25</f>
        <v>51</v>
      </c>
      <c r="V16" s="376">
        <f t="shared" si="12"/>
        <v>51000</v>
      </c>
      <c r="W16" s="376">
        <f t="shared" si="13"/>
        <v>51000</v>
      </c>
      <c r="X16" s="376">
        <f t="shared" si="14"/>
        <v>51000</v>
      </c>
      <c r="Y16" s="376">
        <f t="shared" si="15"/>
        <v>51000</v>
      </c>
      <c r="Z16" s="47">
        <v>12</v>
      </c>
      <c r="AA16" s="181">
        <f t="shared" si="20"/>
        <v>12000</v>
      </c>
      <c r="AB16" s="47">
        <v>12</v>
      </c>
      <c r="AC16" s="181">
        <f t="shared" si="21"/>
        <v>12000</v>
      </c>
      <c r="AD16" s="47">
        <v>12</v>
      </c>
      <c r="AE16" s="181">
        <f t="shared" si="22"/>
        <v>12000</v>
      </c>
      <c r="AF16" s="47">
        <v>12</v>
      </c>
      <c r="AG16" s="181">
        <f t="shared" si="23"/>
        <v>12000</v>
      </c>
      <c r="AH16" s="47">
        <v>12</v>
      </c>
      <c r="AI16" s="181">
        <f t="shared" si="24"/>
        <v>12000</v>
      </c>
      <c r="AJ16" s="47">
        <v>12</v>
      </c>
      <c r="AK16" s="181">
        <f t="shared" si="25"/>
        <v>12000</v>
      </c>
      <c r="AL16" s="47">
        <v>12</v>
      </c>
      <c r="AM16" s="181">
        <f t="shared" si="26"/>
        <v>12000</v>
      </c>
      <c r="AN16" s="47">
        <v>12</v>
      </c>
      <c r="AO16" s="181">
        <f t="shared" si="27"/>
        <v>12000</v>
      </c>
      <c r="AP16" s="47">
        <v>12</v>
      </c>
      <c r="AQ16" s="181">
        <f t="shared" si="28"/>
        <v>12000</v>
      </c>
      <c r="AR16" s="47">
        <v>12</v>
      </c>
      <c r="AS16" s="181">
        <f t="shared" si="29"/>
        <v>12000</v>
      </c>
      <c r="AT16" s="47">
        <v>12</v>
      </c>
      <c r="AU16" s="181">
        <f t="shared" si="30"/>
        <v>12000</v>
      </c>
      <c r="AV16" s="47">
        <v>12</v>
      </c>
      <c r="AW16" s="181">
        <f t="shared" si="31"/>
        <v>12000</v>
      </c>
      <c r="AX16" s="47">
        <v>12</v>
      </c>
      <c r="AY16" s="181">
        <f t="shared" si="32"/>
        <v>12000</v>
      </c>
      <c r="AZ16" s="47">
        <v>12</v>
      </c>
      <c r="BA16" s="181">
        <f t="shared" si="33"/>
        <v>12000</v>
      </c>
      <c r="BB16" s="47">
        <v>12</v>
      </c>
      <c r="BC16" s="181">
        <f t="shared" si="34"/>
        <v>12000</v>
      </c>
      <c r="BD16" s="47">
        <v>12</v>
      </c>
      <c r="BE16" s="181">
        <f t="shared" si="35"/>
        <v>12000</v>
      </c>
      <c r="BF16" s="47">
        <v>12</v>
      </c>
      <c r="BG16" s="181">
        <f t="shared" si="36"/>
        <v>12000</v>
      </c>
      <c r="BH16" s="47">
        <v>0</v>
      </c>
      <c r="BI16" s="181">
        <f t="shared" si="37"/>
        <v>0</v>
      </c>
      <c r="BJ16" s="47">
        <f t="shared" si="16"/>
        <v>204</v>
      </c>
      <c r="BK16" s="117">
        <f t="shared" si="16"/>
        <v>204000</v>
      </c>
      <c r="BL16" s="302" t="s">
        <v>472</v>
      </c>
      <c r="BN16" s="113"/>
      <c r="BO16" s="113"/>
      <c r="BP16" s="113"/>
      <c r="BQ16" s="113"/>
      <c r="BR16" s="113">
        <f t="shared" si="17"/>
        <v>0</v>
      </c>
      <c r="BS16" s="113"/>
      <c r="BT16" s="113">
        <f t="shared" si="18"/>
        <v>204000</v>
      </c>
      <c r="BU16" s="125">
        <f t="shared" si="19"/>
        <v>204000</v>
      </c>
      <c r="BV16" s="181">
        <f t="shared" si="0"/>
        <v>204000</v>
      </c>
    </row>
    <row r="17" spans="1:74" x14ac:dyDescent="0.25">
      <c r="A17" s="989"/>
      <c r="B17" s="38">
        <v>41106</v>
      </c>
      <c r="C17" s="38" t="s">
        <v>336</v>
      </c>
      <c r="D17" s="38" t="s">
        <v>241</v>
      </c>
      <c r="E17" s="375">
        <f>0*100000</f>
        <v>0</v>
      </c>
      <c r="F17" s="38">
        <f>BJ17</f>
        <v>0</v>
      </c>
      <c r="G17" s="85">
        <f t="shared" si="1"/>
        <v>0</v>
      </c>
      <c r="H17" s="85">
        <f t="shared" si="2"/>
        <v>0</v>
      </c>
      <c r="I17" s="85">
        <f t="shared" si="3"/>
        <v>0</v>
      </c>
      <c r="J17" s="85">
        <f t="shared" si="4"/>
        <v>0</v>
      </c>
      <c r="K17" s="85">
        <f t="shared" si="5"/>
        <v>0</v>
      </c>
      <c r="L17" s="85">
        <f t="shared" si="6"/>
        <v>0</v>
      </c>
      <c r="M17" s="85">
        <f t="shared" si="7"/>
        <v>0</v>
      </c>
      <c r="N17" s="85">
        <f t="shared" si="8"/>
        <v>0</v>
      </c>
      <c r="O17" s="85">
        <f t="shared" si="9"/>
        <v>0</v>
      </c>
      <c r="P17" s="85">
        <f t="shared" si="10"/>
        <v>0</v>
      </c>
      <c r="Q17" s="85">
        <f t="shared" si="11"/>
        <v>0</v>
      </c>
      <c r="R17" s="47">
        <f>F17*0.25</f>
        <v>0</v>
      </c>
      <c r="S17" s="47">
        <f>F17*0.25</f>
        <v>0</v>
      </c>
      <c r="T17" s="47">
        <f>F17*0.25</f>
        <v>0</v>
      </c>
      <c r="U17" s="47">
        <f>F17*0.25</f>
        <v>0</v>
      </c>
      <c r="V17" s="376">
        <f t="shared" si="12"/>
        <v>0</v>
      </c>
      <c r="W17" s="376">
        <f t="shared" si="13"/>
        <v>0</v>
      </c>
      <c r="X17" s="376">
        <f t="shared" si="14"/>
        <v>0</v>
      </c>
      <c r="Y17" s="376">
        <f t="shared" si="15"/>
        <v>0</v>
      </c>
      <c r="Z17" s="47">
        <v>0</v>
      </c>
      <c r="AA17" s="181">
        <f t="shared" si="20"/>
        <v>0</v>
      </c>
      <c r="AB17" s="47">
        <v>0</v>
      </c>
      <c r="AC17" s="181">
        <f t="shared" si="21"/>
        <v>0</v>
      </c>
      <c r="AD17" s="47">
        <v>0</v>
      </c>
      <c r="AE17" s="181">
        <f t="shared" si="22"/>
        <v>0</v>
      </c>
      <c r="AF17" s="47">
        <v>0</v>
      </c>
      <c r="AG17" s="181">
        <f t="shared" si="23"/>
        <v>0</v>
      </c>
      <c r="AH17" s="47">
        <v>0</v>
      </c>
      <c r="AI17" s="181">
        <f t="shared" si="24"/>
        <v>0</v>
      </c>
      <c r="AJ17" s="47">
        <v>0</v>
      </c>
      <c r="AK17" s="181">
        <f t="shared" si="25"/>
        <v>0</v>
      </c>
      <c r="AL17" s="47">
        <v>0</v>
      </c>
      <c r="AM17" s="181">
        <f t="shared" si="26"/>
        <v>0</v>
      </c>
      <c r="AN17" s="47">
        <v>0</v>
      </c>
      <c r="AO17" s="181">
        <f t="shared" si="27"/>
        <v>0</v>
      </c>
      <c r="AP17" s="47">
        <v>0</v>
      </c>
      <c r="AQ17" s="181">
        <f t="shared" si="28"/>
        <v>0</v>
      </c>
      <c r="AR17" s="47">
        <v>0</v>
      </c>
      <c r="AS17" s="181">
        <f t="shared" si="29"/>
        <v>0</v>
      </c>
      <c r="AT17" s="47">
        <v>0</v>
      </c>
      <c r="AU17" s="181">
        <f t="shared" si="30"/>
        <v>0</v>
      </c>
      <c r="AV17" s="47">
        <v>0</v>
      </c>
      <c r="AW17" s="181">
        <f t="shared" si="31"/>
        <v>0</v>
      </c>
      <c r="AX17" s="47">
        <v>0</v>
      </c>
      <c r="AY17" s="181">
        <f t="shared" si="32"/>
        <v>0</v>
      </c>
      <c r="AZ17" s="47">
        <v>0</v>
      </c>
      <c r="BA17" s="181">
        <f t="shared" si="33"/>
        <v>0</v>
      </c>
      <c r="BB17" s="47">
        <v>0</v>
      </c>
      <c r="BC17" s="181">
        <f t="shared" si="34"/>
        <v>0</v>
      </c>
      <c r="BD17" s="47">
        <v>0</v>
      </c>
      <c r="BE17" s="181">
        <f t="shared" si="35"/>
        <v>0</v>
      </c>
      <c r="BF17" s="47">
        <v>0</v>
      </c>
      <c r="BG17" s="181">
        <f t="shared" si="36"/>
        <v>0</v>
      </c>
      <c r="BH17" s="47">
        <v>0</v>
      </c>
      <c r="BI17" s="181">
        <f t="shared" si="37"/>
        <v>0</v>
      </c>
      <c r="BJ17" s="47">
        <f t="shared" si="16"/>
        <v>0</v>
      </c>
      <c r="BK17" s="117">
        <f t="shared" si="16"/>
        <v>0</v>
      </c>
      <c r="BL17" s="302" t="s">
        <v>472</v>
      </c>
      <c r="BN17" s="113"/>
      <c r="BO17" s="113"/>
      <c r="BP17" s="113"/>
      <c r="BQ17" s="113"/>
      <c r="BR17" s="113">
        <f t="shared" si="17"/>
        <v>0</v>
      </c>
      <c r="BS17" s="113"/>
      <c r="BT17" s="113">
        <f t="shared" si="18"/>
        <v>0</v>
      </c>
      <c r="BU17" s="125">
        <f t="shared" si="19"/>
        <v>0</v>
      </c>
      <c r="BV17" s="181">
        <f t="shared" si="0"/>
        <v>0</v>
      </c>
    </row>
    <row r="18" spans="1:74" s="67" customFormat="1" x14ac:dyDescent="0.25">
      <c r="A18" s="989"/>
      <c r="B18" s="377"/>
      <c r="C18" s="378" t="s">
        <v>246</v>
      </c>
      <c r="D18" s="379"/>
      <c r="E18" s="379"/>
      <c r="F18" s="379">
        <f>SUM(F12:F17)</f>
        <v>612</v>
      </c>
      <c r="G18" s="380">
        <f>SUM(G12:G17)</f>
        <v>9792000</v>
      </c>
      <c r="H18" s="380">
        <f t="shared" ref="H18:Q18" si="38">SUM(H12:H17)</f>
        <v>4896000</v>
      </c>
      <c r="I18" s="380">
        <f t="shared" si="38"/>
        <v>4896000</v>
      </c>
      <c r="J18" s="380">
        <f t="shared" si="38"/>
        <v>0</v>
      </c>
      <c r="K18" s="380">
        <f t="shared" si="38"/>
        <v>0</v>
      </c>
      <c r="L18" s="380">
        <f t="shared" si="38"/>
        <v>0</v>
      </c>
      <c r="M18" s="380">
        <f t="shared" si="38"/>
        <v>0</v>
      </c>
      <c r="N18" s="380">
        <f t="shared" si="38"/>
        <v>0</v>
      </c>
      <c r="O18" s="380">
        <f t="shared" si="38"/>
        <v>0</v>
      </c>
      <c r="P18" s="380">
        <f t="shared" si="38"/>
        <v>0</v>
      </c>
      <c r="Q18" s="380">
        <f t="shared" si="38"/>
        <v>0</v>
      </c>
      <c r="R18" s="379">
        <f t="shared" ref="R18:BK18" si="39">SUM(R12:R17)</f>
        <v>153</v>
      </c>
      <c r="S18" s="379">
        <f t="shared" si="39"/>
        <v>153</v>
      </c>
      <c r="T18" s="379">
        <f t="shared" si="39"/>
        <v>153</v>
      </c>
      <c r="U18" s="379">
        <f t="shared" si="39"/>
        <v>153</v>
      </c>
      <c r="V18" s="380">
        <f t="shared" si="39"/>
        <v>2448000</v>
      </c>
      <c r="W18" s="380">
        <f t="shared" si="39"/>
        <v>2448000</v>
      </c>
      <c r="X18" s="380">
        <f t="shared" si="39"/>
        <v>2448000</v>
      </c>
      <c r="Y18" s="380">
        <f t="shared" si="39"/>
        <v>2448000</v>
      </c>
      <c r="Z18" s="379">
        <f t="shared" si="39"/>
        <v>36</v>
      </c>
      <c r="AA18" s="379">
        <f t="shared" si="39"/>
        <v>576000</v>
      </c>
      <c r="AB18" s="379">
        <f t="shared" si="39"/>
        <v>36</v>
      </c>
      <c r="AC18" s="379">
        <f t="shared" si="39"/>
        <v>576000</v>
      </c>
      <c r="AD18" s="379">
        <f t="shared" si="39"/>
        <v>36</v>
      </c>
      <c r="AE18" s="379">
        <f t="shared" si="39"/>
        <v>576000</v>
      </c>
      <c r="AF18" s="379">
        <f t="shared" si="39"/>
        <v>36</v>
      </c>
      <c r="AG18" s="379">
        <f t="shared" si="39"/>
        <v>576000</v>
      </c>
      <c r="AH18" s="379">
        <f t="shared" si="39"/>
        <v>36</v>
      </c>
      <c r="AI18" s="379">
        <f t="shared" si="39"/>
        <v>576000</v>
      </c>
      <c r="AJ18" s="379">
        <f t="shared" si="39"/>
        <v>36</v>
      </c>
      <c r="AK18" s="379">
        <f t="shared" si="39"/>
        <v>576000</v>
      </c>
      <c r="AL18" s="379">
        <f t="shared" si="39"/>
        <v>36</v>
      </c>
      <c r="AM18" s="379">
        <f t="shared" si="39"/>
        <v>576000</v>
      </c>
      <c r="AN18" s="379">
        <f t="shared" si="39"/>
        <v>36</v>
      </c>
      <c r="AO18" s="379">
        <f t="shared" si="39"/>
        <v>576000</v>
      </c>
      <c r="AP18" s="379">
        <f t="shared" si="39"/>
        <v>36</v>
      </c>
      <c r="AQ18" s="379">
        <f t="shared" si="39"/>
        <v>576000</v>
      </c>
      <c r="AR18" s="379">
        <f t="shared" si="39"/>
        <v>36</v>
      </c>
      <c r="AS18" s="379">
        <f t="shared" si="39"/>
        <v>576000</v>
      </c>
      <c r="AT18" s="379">
        <f t="shared" si="39"/>
        <v>36</v>
      </c>
      <c r="AU18" s="379">
        <f t="shared" si="39"/>
        <v>576000</v>
      </c>
      <c r="AV18" s="379">
        <f t="shared" si="39"/>
        <v>36</v>
      </c>
      <c r="AW18" s="379">
        <f t="shared" si="39"/>
        <v>576000</v>
      </c>
      <c r="AX18" s="379">
        <f t="shared" si="39"/>
        <v>36</v>
      </c>
      <c r="AY18" s="379">
        <f t="shared" si="39"/>
        <v>576000</v>
      </c>
      <c r="AZ18" s="379">
        <f t="shared" si="39"/>
        <v>36</v>
      </c>
      <c r="BA18" s="379">
        <f t="shared" si="39"/>
        <v>576000</v>
      </c>
      <c r="BB18" s="379">
        <f t="shared" si="39"/>
        <v>36</v>
      </c>
      <c r="BC18" s="379">
        <f t="shared" si="39"/>
        <v>576000</v>
      </c>
      <c r="BD18" s="379">
        <f t="shared" si="39"/>
        <v>36</v>
      </c>
      <c r="BE18" s="379">
        <f t="shared" si="39"/>
        <v>576000</v>
      </c>
      <c r="BF18" s="379">
        <f t="shared" si="39"/>
        <v>36</v>
      </c>
      <c r="BG18" s="379">
        <f t="shared" si="39"/>
        <v>576000</v>
      </c>
      <c r="BH18" s="379">
        <f t="shared" si="39"/>
        <v>0</v>
      </c>
      <c r="BI18" s="379">
        <f t="shared" si="39"/>
        <v>0</v>
      </c>
      <c r="BJ18" s="379">
        <f t="shared" si="39"/>
        <v>612</v>
      </c>
      <c r="BK18" s="381">
        <f t="shared" si="39"/>
        <v>9792000</v>
      </c>
      <c r="BL18" s="118"/>
      <c r="BN18" s="382">
        <f t="shared" ref="BN18:BU18" si="40">SUM(BN12:BN17)</f>
        <v>0</v>
      </c>
      <c r="BO18" s="382">
        <f t="shared" si="40"/>
        <v>0</v>
      </c>
      <c r="BP18" s="382">
        <f t="shared" si="40"/>
        <v>0</v>
      </c>
      <c r="BQ18" s="382">
        <f t="shared" si="40"/>
        <v>0</v>
      </c>
      <c r="BR18" s="382">
        <f t="shared" si="40"/>
        <v>0</v>
      </c>
      <c r="BS18" s="382">
        <f t="shared" si="40"/>
        <v>0</v>
      </c>
      <c r="BT18" s="382">
        <f t="shared" si="40"/>
        <v>9792000</v>
      </c>
      <c r="BU18" s="382">
        <f t="shared" si="40"/>
        <v>9792000</v>
      </c>
      <c r="BV18" s="181">
        <f t="shared" si="0"/>
        <v>9792000</v>
      </c>
    </row>
    <row r="19" spans="1:74" x14ac:dyDescent="0.25">
      <c r="A19" s="989"/>
      <c r="B19" s="38">
        <v>41200</v>
      </c>
      <c r="C19" s="38" t="s">
        <v>247</v>
      </c>
      <c r="D19" s="38"/>
      <c r="E19" s="375"/>
      <c r="F19" s="38"/>
      <c r="G19" s="85"/>
      <c r="H19" s="85"/>
      <c r="I19" s="85"/>
      <c r="J19" s="85"/>
      <c r="K19" s="85"/>
      <c r="L19" s="85"/>
      <c r="M19" s="85"/>
      <c r="N19" s="85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181">
        <f t="shared" si="20"/>
        <v>0</v>
      </c>
      <c r="AB19" s="47"/>
      <c r="AC19" s="181">
        <f t="shared" si="21"/>
        <v>0</v>
      </c>
      <c r="AD19" s="47"/>
      <c r="AE19" s="181">
        <f t="shared" si="22"/>
        <v>0</v>
      </c>
      <c r="AF19" s="47"/>
      <c r="AG19" s="181">
        <f t="shared" si="23"/>
        <v>0</v>
      </c>
      <c r="AH19" s="47"/>
      <c r="AI19" s="181">
        <f t="shared" si="24"/>
        <v>0</v>
      </c>
      <c r="AJ19" s="47"/>
      <c r="AK19" s="181">
        <f t="shared" si="25"/>
        <v>0</v>
      </c>
      <c r="AL19" s="47"/>
      <c r="AM19" s="181">
        <f t="shared" si="26"/>
        <v>0</v>
      </c>
      <c r="AN19" s="47"/>
      <c r="AO19" s="181">
        <f t="shared" si="27"/>
        <v>0</v>
      </c>
      <c r="AP19" s="47"/>
      <c r="AQ19" s="181">
        <f t="shared" si="28"/>
        <v>0</v>
      </c>
      <c r="AR19" s="47"/>
      <c r="AS19" s="181">
        <f t="shared" si="29"/>
        <v>0</v>
      </c>
      <c r="AT19" s="47"/>
      <c r="AU19" s="181">
        <f t="shared" si="30"/>
        <v>0</v>
      </c>
      <c r="AV19" s="47"/>
      <c r="AW19" s="181">
        <f t="shared" si="31"/>
        <v>0</v>
      </c>
      <c r="AX19" s="47"/>
      <c r="AY19" s="181">
        <f t="shared" si="32"/>
        <v>0</v>
      </c>
      <c r="AZ19" s="47"/>
      <c r="BA19" s="181">
        <f t="shared" si="33"/>
        <v>0</v>
      </c>
      <c r="BB19" s="47"/>
      <c r="BC19" s="181">
        <f t="shared" si="34"/>
        <v>0</v>
      </c>
      <c r="BD19" s="47"/>
      <c r="BE19" s="181">
        <f t="shared" si="35"/>
        <v>0</v>
      </c>
      <c r="BF19" s="47"/>
      <c r="BG19" s="181">
        <f t="shared" si="36"/>
        <v>0</v>
      </c>
      <c r="BH19" s="47"/>
      <c r="BI19" s="181">
        <f t="shared" si="37"/>
        <v>0</v>
      </c>
      <c r="BJ19" s="47"/>
      <c r="BK19" s="124"/>
      <c r="BL19" s="47"/>
      <c r="BN19" s="113"/>
      <c r="BO19" s="113"/>
      <c r="BP19" s="113"/>
      <c r="BQ19" s="113"/>
      <c r="BR19" s="113"/>
      <c r="BS19" s="113"/>
      <c r="BT19" s="113"/>
      <c r="BU19" s="125"/>
      <c r="BV19" s="181">
        <f t="shared" si="0"/>
        <v>0</v>
      </c>
    </row>
    <row r="20" spans="1:74" x14ac:dyDescent="0.25">
      <c r="A20" s="989"/>
      <c r="B20" s="38">
        <v>41201</v>
      </c>
      <c r="C20" s="38" t="s">
        <v>726</v>
      </c>
      <c r="D20" s="38" t="s">
        <v>241</v>
      </c>
      <c r="E20" s="375">
        <f>0.75*100000</f>
        <v>75000</v>
      </c>
      <c r="F20" s="47">
        <v>0</v>
      </c>
      <c r="G20" s="85">
        <f t="shared" ref="G20:G45" si="41">E20*F20</f>
        <v>0</v>
      </c>
      <c r="H20" s="85">
        <f>G20*0.2</f>
        <v>0</v>
      </c>
      <c r="I20" s="85">
        <f>G20*0.8</f>
        <v>0</v>
      </c>
      <c r="J20" s="85">
        <f t="shared" ref="J20:J45" si="42">G20*0</f>
        <v>0</v>
      </c>
      <c r="K20" s="85">
        <f t="shared" ref="K20:K45" si="43">G20*0</f>
        <v>0</v>
      </c>
      <c r="L20" s="85">
        <f>G20*0</f>
        <v>0</v>
      </c>
      <c r="M20" s="85">
        <f t="shared" ref="M20:M45" si="44">G20*0</f>
        <v>0</v>
      </c>
      <c r="N20" s="85">
        <f t="shared" ref="N20:N45" si="45">G20*0</f>
        <v>0</v>
      </c>
      <c r="O20" s="85">
        <f t="shared" ref="O20:O45" si="46">G20*0</f>
        <v>0</v>
      </c>
      <c r="P20" s="85">
        <f t="shared" ref="P20:P45" si="47">G20*0</f>
        <v>0</v>
      </c>
      <c r="Q20" s="85">
        <f>G20*0</f>
        <v>0</v>
      </c>
      <c r="R20" s="47"/>
      <c r="S20" s="47">
        <f>F20</f>
        <v>0</v>
      </c>
      <c r="T20" s="47"/>
      <c r="U20" s="47"/>
      <c r="V20" s="376">
        <f>R20*E20</f>
        <v>0</v>
      </c>
      <c r="W20" s="376">
        <f>S20*E20</f>
        <v>0</v>
      </c>
      <c r="X20" s="376">
        <f>T20*E20</f>
        <v>0</v>
      </c>
      <c r="Y20" s="376">
        <f>U20*E20</f>
        <v>0</v>
      </c>
      <c r="Z20" s="47">
        <v>0</v>
      </c>
      <c r="AA20" s="181">
        <f t="shared" si="20"/>
        <v>0</v>
      </c>
      <c r="AB20" s="47">
        <v>0</v>
      </c>
      <c r="AC20" s="181">
        <f t="shared" si="21"/>
        <v>0</v>
      </c>
      <c r="AD20" s="47">
        <v>0</v>
      </c>
      <c r="AE20" s="181">
        <f t="shared" si="22"/>
        <v>0</v>
      </c>
      <c r="AF20" s="47">
        <v>0</v>
      </c>
      <c r="AG20" s="181">
        <f t="shared" si="23"/>
        <v>0</v>
      </c>
      <c r="AH20" s="47">
        <v>0</v>
      </c>
      <c r="AI20" s="181">
        <f t="shared" si="24"/>
        <v>0</v>
      </c>
      <c r="AJ20" s="47">
        <v>0</v>
      </c>
      <c r="AK20" s="181">
        <f t="shared" si="25"/>
        <v>0</v>
      </c>
      <c r="AL20" s="47">
        <v>0</v>
      </c>
      <c r="AM20" s="181">
        <f t="shared" si="26"/>
        <v>0</v>
      </c>
      <c r="AN20" s="47">
        <v>0</v>
      </c>
      <c r="AO20" s="181">
        <f t="shared" si="27"/>
        <v>0</v>
      </c>
      <c r="AP20" s="47">
        <v>0</v>
      </c>
      <c r="AQ20" s="181">
        <f t="shared" si="28"/>
        <v>0</v>
      </c>
      <c r="AR20" s="47">
        <v>0</v>
      </c>
      <c r="AS20" s="181">
        <f t="shared" si="29"/>
        <v>0</v>
      </c>
      <c r="AT20" s="47">
        <v>0</v>
      </c>
      <c r="AU20" s="181">
        <f t="shared" si="30"/>
        <v>0</v>
      </c>
      <c r="AV20" s="47">
        <v>0</v>
      </c>
      <c r="AW20" s="181">
        <f t="shared" si="31"/>
        <v>0</v>
      </c>
      <c r="AX20" s="47">
        <v>0</v>
      </c>
      <c r="AY20" s="181">
        <f t="shared" si="32"/>
        <v>0</v>
      </c>
      <c r="AZ20" s="47">
        <v>0</v>
      </c>
      <c r="BA20" s="181">
        <f t="shared" si="33"/>
        <v>0</v>
      </c>
      <c r="BB20" s="47">
        <v>0</v>
      </c>
      <c r="BC20" s="181">
        <f t="shared" si="34"/>
        <v>0</v>
      </c>
      <c r="BD20" s="47">
        <v>0</v>
      </c>
      <c r="BE20" s="181">
        <f t="shared" si="35"/>
        <v>0</v>
      </c>
      <c r="BF20" s="47">
        <v>0</v>
      </c>
      <c r="BG20" s="181">
        <f t="shared" si="36"/>
        <v>0</v>
      </c>
      <c r="BH20" s="47">
        <v>0</v>
      </c>
      <c r="BI20" s="181">
        <f t="shared" si="37"/>
        <v>0</v>
      </c>
      <c r="BJ20" s="47">
        <f t="shared" ref="BJ20:BK45" si="48">Z20+AB20+AD20+AF20+AH20+AJ20+AL20+AN20+AP20+AR20+AT20+AV20+AX20+AZ20+BB20+BD20+BF20+BH20</f>
        <v>0</v>
      </c>
      <c r="BK20" s="117">
        <f t="shared" si="48"/>
        <v>0</v>
      </c>
      <c r="BL20" s="302" t="s">
        <v>469</v>
      </c>
      <c r="BN20" s="113"/>
      <c r="BO20" s="113"/>
      <c r="BP20" s="263">
        <f t="shared" ref="BP20:BP35" si="49">G20</f>
        <v>0</v>
      </c>
      <c r="BQ20" s="113"/>
      <c r="BR20" s="113">
        <f>BN20+BO20+BP20+BQ20</f>
        <v>0</v>
      </c>
      <c r="BS20" s="113"/>
      <c r="BT20" s="113"/>
      <c r="BU20" s="125">
        <f>BS20+BT20</f>
        <v>0</v>
      </c>
      <c r="BV20" s="181">
        <f t="shared" si="0"/>
        <v>0</v>
      </c>
    </row>
    <row r="21" spans="1:74" x14ac:dyDescent="0.25">
      <c r="A21" s="989"/>
      <c r="B21" s="38">
        <v>41202</v>
      </c>
      <c r="C21" s="38" t="s">
        <v>248</v>
      </c>
      <c r="D21" s="38" t="s">
        <v>241</v>
      </c>
      <c r="E21" s="375">
        <f>0.5*100000</f>
        <v>50000</v>
      </c>
      <c r="F21" s="47">
        <v>0</v>
      </c>
      <c r="G21" s="85">
        <f t="shared" si="41"/>
        <v>0</v>
      </c>
      <c r="H21" s="85">
        <f t="shared" ref="H21:H45" si="50">G21*0.2</f>
        <v>0</v>
      </c>
      <c r="I21" s="85">
        <f t="shared" ref="I21:I45" si="51">G21*0.8</f>
        <v>0</v>
      </c>
      <c r="J21" s="85">
        <f t="shared" si="42"/>
        <v>0</v>
      </c>
      <c r="K21" s="85">
        <f t="shared" si="43"/>
        <v>0</v>
      </c>
      <c r="L21" s="85">
        <f t="shared" ref="L21:L45" si="52">G21*0</f>
        <v>0</v>
      </c>
      <c r="M21" s="85">
        <f t="shared" si="44"/>
        <v>0</v>
      </c>
      <c r="N21" s="85">
        <f t="shared" si="45"/>
        <v>0</v>
      </c>
      <c r="O21" s="85">
        <f t="shared" si="46"/>
        <v>0</v>
      </c>
      <c r="P21" s="85">
        <f t="shared" si="47"/>
        <v>0</v>
      </c>
      <c r="Q21" s="85">
        <f t="shared" ref="Q21:Q45" si="53">G21*0</f>
        <v>0</v>
      </c>
      <c r="R21" s="47"/>
      <c r="S21" s="47">
        <f t="shared" ref="S21:S45" si="54">F21</f>
        <v>0</v>
      </c>
      <c r="T21" s="47"/>
      <c r="U21" s="47"/>
      <c r="V21" s="376">
        <f t="shared" ref="V21:V45" si="55">R21*E21</f>
        <v>0</v>
      </c>
      <c r="W21" s="376">
        <f t="shared" ref="W21:W45" si="56">S21*E21</f>
        <v>0</v>
      </c>
      <c r="X21" s="376">
        <f t="shared" ref="X21:X45" si="57">T21*E21</f>
        <v>0</v>
      </c>
      <c r="Y21" s="376">
        <f t="shared" ref="Y21:Y45" si="58">U21*E21</f>
        <v>0</v>
      </c>
      <c r="Z21" s="47">
        <v>0</v>
      </c>
      <c r="AA21" s="181">
        <f t="shared" si="20"/>
        <v>0</v>
      </c>
      <c r="AB21" s="47">
        <v>0</v>
      </c>
      <c r="AC21" s="181">
        <f t="shared" si="21"/>
        <v>0</v>
      </c>
      <c r="AD21" s="47">
        <v>0</v>
      </c>
      <c r="AE21" s="181">
        <f t="shared" si="22"/>
        <v>0</v>
      </c>
      <c r="AF21" s="47">
        <v>0</v>
      </c>
      <c r="AG21" s="181">
        <f t="shared" si="23"/>
        <v>0</v>
      </c>
      <c r="AH21" s="47">
        <v>0</v>
      </c>
      <c r="AI21" s="181">
        <f t="shared" si="24"/>
        <v>0</v>
      </c>
      <c r="AJ21" s="47">
        <v>0</v>
      </c>
      <c r="AK21" s="181">
        <f t="shared" si="25"/>
        <v>0</v>
      </c>
      <c r="AL21" s="47">
        <v>0</v>
      </c>
      <c r="AM21" s="181">
        <f t="shared" si="26"/>
        <v>0</v>
      </c>
      <c r="AN21" s="47">
        <v>0</v>
      </c>
      <c r="AO21" s="181">
        <f t="shared" si="27"/>
        <v>0</v>
      </c>
      <c r="AP21" s="47">
        <v>0</v>
      </c>
      <c r="AQ21" s="181">
        <f t="shared" si="28"/>
        <v>0</v>
      </c>
      <c r="AR21" s="47">
        <v>0</v>
      </c>
      <c r="AS21" s="181">
        <f t="shared" si="29"/>
        <v>0</v>
      </c>
      <c r="AT21" s="47">
        <v>0</v>
      </c>
      <c r="AU21" s="181">
        <f t="shared" si="30"/>
        <v>0</v>
      </c>
      <c r="AV21" s="47">
        <v>0</v>
      </c>
      <c r="AW21" s="181">
        <f t="shared" si="31"/>
        <v>0</v>
      </c>
      <c r="AX21" s="47">
        <v>0</v>
      </c>
      <c r="AY21" s="181">
        <f t="shared" si="32"/>
        <v>0</v>
      </c>
      <c r="AZ21" s="47">
        <v>0</v>
      </c>
      <c r="BA21" s="181">
        <f t="shared" si="33"/>
        <v>0</v>
      </c>
      <c r="BB21" s="47">
        <v>0</v>
      </c>
      <c r="BC21" s="181">
        <f t="shared" si="34"/>
        <v>0</v>
      </c>
      <c r="BD21" s="47">
        <v>0</v>
      </c>
      <c r="BE21" s="181">
        <f t="shared" si="35"/>
        <v>0</v>
      </c>
      <c r="BF21" s="47">
        <v>0</v>
      </c>
      <c r="BG21" s="181">
        <f t="shared" si="36"/>
        <v>0</v>
      </c>
      <c r="BH21" s="47">
        <v>0</v>
      </c>
      <c r="BI21" s="181">
        <f t="shared" si="37"/>
        <v>0</v>
      </c>
      <c r="BJ21" s="47">
        <f t="shared" si="48"/>
        <v>0</v>
      </c>
      <c r="BK21" s="117">
        <f t="shared" si="48"/>
        <v>0</v>
      </c>
      <c r="BL21" s="302" t="s">
        <v>469</v>
      </c>
      <c r="BN21" s="113"/>
      <c r="BO21" s="113"/>
      <c r="BP21" s="263">
        <f t="shared" si="49"/>
        <v>0</v>
      </c>
      <c r="BQ21" s="113"/>
      <c r="BR21" s="113">
        <f t="shared" ref="BR21:BR45" si="59">BN21+BO21+BP21+BQ21</f>
        <v>0</v>
      </c>
      <c r="BS21" s="113"/>
      <c r="BT21" s="113"/>
      <c r="BU21" s="125">
        <f t="shared" ref="BU21:BU45" si="60">BS21+BT21</f>
        <v>0</v>
      </c>
      <c r="BV21" s="181">
        <f t="shared" si="0"/>
        <v>0</v>
      </c>
    </row>
    <row r="22" spans="1:74" s="106" customFormat="1" ht="31.5" x14ac:dyDescent="0.25">
      <c r="A22" s="989"/>
      <c r="B22" s="38">
        <v>41203</v>
      </c>
      <c r="C22" s="38" t="s">
        <v>249</v>
      </c>
      <c r="D22" s="38" t="s">
        <v>241</v>
      </c>
      <c r="E22" s="375">
        <f>0.75*100000</f>
        <v>75000</v>
      </c>
      <c r="F22" s="383">
        <f t="shared" ref="F22:F45" si="61">BJ22</f>
        <v>0</v>
      </c>
      <c r="G22" s="158">
        <f t="shared" si="41"/>
        <v>0</v>
      </c>
      <c r="H22" s="158">
        <f t="shared" si="50"/>
        <v>0</v>
      </c>
      <c r="I22" s="158">
        <f t="shared" si="51"/>
        <v>0</v>
      </c>
      <c r="J22" s="158">
        <f t="shared" si="42"/>
        <v>0</v>
      </c>
      <c r="K22" s="158">
        <f t="shared" si="43"/>
        <v>0</v>
      </c>
      <c r="L22" s="158">
        <f t="shared" si="52"/>
        <v>0</v>
      </c>
      <c r="M22" s="158">
        <f t="shared" si="44"/>
        <v>0</v>
      </c>
      <c r="N22" s="158">
        <f t="shared" si="45"/>
        <v>0</v>
      </c>
      <c r="O22" s="158">
        <f t="shared" si="46"/>
        <v>0</v>
      </c>
      <c r="P22" s="158">
        <f t="shared" si="47"/>
        <v>0</v>
      </c>
      <c r="Q22" s="158">
        <f t="shared" si="53"/>
        <v>0</v>
      </c>
      <c r="R22" s="383"/>
      <c r="S22" s="383">
        <f t="shared" si="54"/>
        <v>0</v>
      </c>
      <c r="T22" s="383"/>
      <c r="U22" s="383"/>
      <c r="V22" s="376">
        <f t="shared" si="55"/>
        <v>0</v>
      </c>
      <c r="W22" s="376">
        <f t="shared" si="56"/>
        <v>0</v>
      </c>
      <c r="X22" s="376">
        <f t="shared" si="57"/>
        <v>0</v>
      </c>
      <c r="Y22" s="376">
        <f t="shared" si="58"/>
        <v>0</v>
      </c>
      <c r="Z22" s="383">
        <v>0</v>
      </c>
      <c r="AA22" s="181">
        <f t="shared" si="20"/>
        <v>0</v>
      </c>
      <c r="AB22" s="383">
        <v>0</v>
      </c>
      <c r="AC22" s="181">
        <f t="shared" si="21"/>
        <v>0</v>
      </c>
      <c r="AD22" s="383">
        <v>0</v>
      </c>
      <c r="AE22" s="181">
        <f t="shared" si="22"/>
        <v>0</v>
      </c>
      <c r="AF22" s="383">
        <v>0</v>
      </c>
      <c r="AG22" s="181">
        <f t="shared" si="23"/>
        <v>0</v>
      </c>
      <c r="AH22" s="383">
        <v>0</v>
      </c>
      <c r="AI22" s="181">
        <f t="shared" si="24"/>
        <v>0</v>
      </c>
      <c r="AJ22" s="383">
        <v>0</v>
      </c>
      <c r="AK22" s="181">
        <f t="shared" si="25"/>
        <v>0</v>
      </c>
      <c r="AL22" s="383">
        <v>0</v>
      </c>
      <c r="AM22" s="181">
        <f t="shared" si="26"/>
        <v>0</v>
      </c>
      <c r="AN22" s="383">
        <v>0</v>
      </c>
      <c r="AO22" s="181">
        <f t="shared" si="27"/>
        <v>0</v>
      </c>
      <c r="AP22" s="383">
        <v>0</v>
      </c>
      <c r="AQ22" s="181">
        <f t="shared" si="28"/>
        <v>0</v>
      </c>
      <c r="AR22" s="383">
        <v>0</v>
      </c>
      <c r="AS22" s="181">
        <f t="shared" si="29"/>
        <v>0</v>
      </c>
      <c r="AT22" s="383">
        <v>0</v>
      </c>
      <c r="AU22" s="181">
        <f t="shared" si="30"/>
        <v>0</v>
      </c>
      <c r="AV22" s="383">
        <v>0</v>
      </c>
      <c r="AW22" s="181">
        <f t="shared" si="31"/>
        <v>0</v>
      </c>
      <c r="AX22" s="383">
        <v>0</v>
      </c>
      <c r="AY22" s="181">
        <f t="shared" si="32"/>
        <v>0</v>
      </c>
      <c r="AZ22" s="383">
        <v>0</v>
      </c>
      <c r="BA22" s="181">
        <f t="shared" si="33"/>
        <v>0</v>
      </c>
      <c r="BB22" s="383">
        <v>0</v>
      </c>
      <c r="BC22" s="181">
        <f t="shared" si="34"/>
        <v>0</v>
      </c>
      <c r="BD22" s="383">
        <v>0</v>
      </c>
      <c r="BE22" s="181">
        <f t="shared" si="35"/>
        <v>0</v>
      </c>
      <c r="BF22" s="383">
        <v>0</v>
      </c>
      <c r="BG22" s="181">
        <f t="shared" si="36"/>
        <v>0</v>
      </c>
      <c r="BH22" s="383">
        <v>0</v>
      </c>
      <c r="BI22" s="181">
        <f t="shared" si="37"/>
        <v>0</v>
      </c>
      <c r="BJ22" s="383">
        <f t="shared" si="48"/>
        <v>0</v>
      </c>
      <c r="BK22" s="384">
        <f t="shared" si="48"/>
        <v>0</v>
      </c>
      <c r="BL22" s="306" t="s">
        <v>469</v>
      </c>
      <c r="BN22" s="385"/>
      <c r="BO22" s="385"/>
      <c r="BP22" s="276">
        <f t="shared" si="49"/>
        <v>0</v>
      </c>
      <c r="BQ22" s="385"/>
      <c r="BR22" s="385">
        <f t="shared" si="59"/>
        <v>0</v>
      </c>
      <c r="BS22" s="385"/>
      <c r="BT22" s="385"/>
      <c r="BU22" s="386">
        <f t="shared" si="60"/>
        <v>0</v>
      </c>
      <c r="BV22" s="387">
        <f t="shared" si="0"/>
        <v>0</v>
      </c>
    </row>
    <row r="23" spans="1:74" ht="31.5" x14ac:dyDescent="0.25">
      <c r="A23" s="989"/>
      <c r="B23" s="210">
        <v>41204</v>
      </c>
      <c r="C23" s="210" t="s">
        <v>250</v>
      </c>
      <c r="D23" s="210" t="s">
        <v>241</v>
      </c>
      <c r="E23" s="388">
        <f>0.15*100000</f>
        <v>15000</v>
      </c>
      <c r="F23" s="47">
        <v>0</v>
      </c>
      <c r="G23" s="85">
        <f t="shared" si="41"/>
        <v>0</v>
      </c>
      <c r="H23" s="85">
        <f t="shared" si="50"/>
        <v>0</v>
      </c>
      <c r="I23" s="85">
        <f t="shared" si="51"/>
        <v>0</v>
      </c>
      <c r="J23" s="85">
        <f t="shared" si="42"/>
        <v>0</v>
      </c>
      <c r="K23" s="85">
        <f t="shared" si="43"/>
        <v>0</v>
      </c>
      <c r="L23" s="85">
        <f t="shared" si="52"/>
        <v>0</v>
      </c>
      <c r="M23" s="85">
        <f t="shared" si="44"/>
        <v>0</v>
      </c>
      <c r="N23" s="85">
        <f t="shared" si="45"/>
        <v>0</v>
      </c>
      <c r="O23" s="85">
        <f t="shared" si="46"/>
        <v>0</v>
      </c>
      <c r="P23" s="85">
        <f t="shared" si="47"/>
        <v>0</v>
      </c>
      <c r="Q23" s="85">
        <f t="shared" si="53"/>
        <v>0</v>
      </c>
      <c r="R23" s="47"/>
      <c r="S23" s="47">
        <f t="shared" si="54"/>
        <v>0</v>
      </c>
      <c r="T23" s="47"/>
      <c r="U23" s="47"/>
      <c r="V23" s="376">
        <f t="shared" si="55"/>
        <v>0</v>
      </c>
      <c r="W23" s="376">
        <f t="shared" si="56"/>
        <v>0</v>
      </c>
      <c r="X23" s="376">
        <f t="shared" si="57"/>
        <v>0</v>
      </c>
      <c r="Y23" s="376">
        <f t="shared" si="58"/>
        <v>0</v>
      </c>
      <c r="Z23" s="47">
        <v>0</v>
      </c>
      <c r="AA23" s="181">
        <f t="shared" si="20"/>
        <v>0</v>
      </c>
      <c r="AB23" s="47">
        <v>0</v>
      </c>
      <c r="AC23" s="181">
        <f t="shared" si="21"/>
        <v>0</v>
      </c>
      <c r="AD23" s="47">
        <v>0</v>
      </c>
      <c r="AE23" s="181">
        <f t="shared" si="22"/>
        <v>0</v>
      </c>
      <c r="AF23" s="47">
        <v>0</v>
      </c>
      <c r="AG23" s="181">
        <f t="shared" si="23"/>
        <v>0</v>
      </c>
      <c r="AH23" s="47">
        <v>0</v>
      </c>
      <c r="AI23" s="181">
        <f t="shared" si="24"/>
        <v>0</v>
      </c>
      <c r="AJ23" s="47">
        <v>0</v>
      </c>
      <c r="AK23" s="181">
        <f t="shared" si="25"/>
        <v>0</v>
      </c>
      <c r="AL23" s="47">
        <v>0</v>
      </c>
      <c r="AM23" s="181">
        <f t="shared" si="26"/>
        <v>0</v>
      </c>
      <c r="AN23" s="47">
        <v>0</v>
      </c>
      <c r="AO23" s="181">
        <f t="shared" si="27"/>
        <v>0</v>
      </c>
      <c r="AP23" s="47">
        <v>0</v>
      </c>
      <c r="AQ23" s="181">
        <f t="shared" si="28"/>
        <v>0</v>
      </c>
      <c r="AR23" s="47">
        <v>0</v>
      </c>
      <c r="AS23" s="181">
        <f t="shared" si="29"/>
        <v>0</v>
      </c>
      <c r="AT23" s="47">
        <v>0</v>
      </c>
      <c r="AU23" s="181">
        <f t="shared" si="30"/>
        <v>0</v>
      </c>
      <c r="AV23" s="47">
        <v>0</v>
      </c>
      <c r="AW23" s="181">
        <f t="shared" si="31"/>
        <v>0</v>
      </c>
      <c r="AX23" s="47">
        <v>0</v>
      </c>
      <c r="AY23" s="181">
        <f t="shared" si="32"/>
        <v>0</v>
      </c>
      <c r="AZ23" s="47">
        <v>0</v>
      </c>
      <c r="BA23" s="181">
        <f t="shared" si="33"/>
        <v>0</v>
      </c>
      <c r="BB23" s="47">
        <v>0</v>
      </c>
      <c r="BC23" s="181">
        <f t="shared" si="34"/>
        <v>0</v>
      </c>
      <c r="BD23" s="47">
        <v>0</v>
      </c>
      <c r="BE23" s="181">
        <f t="shared" si="35"/>
        <v>0</v>
      </c>
      <c r="BF23" s="47">
        <v>0</v>
      </c>
      <c r="BG23" s="181">
        <f t="shared" si="36"/>
        <v>0</v>
      </c>
      <c r="BH23" s="47">
        <v>0</v>
      </c>
      <c r="BI23" s="181">
        <f t="shared" si="37"/>
        <v>0</v>
      </c>
      <c r="BJ23" s="47">
        <f t="shared" si="48"/>
        <v>0</v>
      </c>
      <c r="BK23" s="117">
        <f t="shared" si="48"/>
        <v>0</v>
      </c>
      <c r="BL23" s="302" t="s">
        <v>469</v>
      </c>
      <c r="BN23" s="113"/>
      <c r="BO23" s="113"/>
      <c r="BP23" s="263">
        <f t="shared" si="49"/>
        <v>0</v>
      </c>
      <c r="BQ23" s="113"/>
      <c r="BR23" s="113">
        <f t="shared" si="59"/>
        <v>0</v>
      </c>
      <c r="BS23" s="113"/>
      <c r="BT23" s="113"/>
      <c r="BU23" s="125">
        <f t="shared" si="60"/>
        <v>0</v>
      </c>
      <c r="BV23" s="181">
        <f t="shared" si="0"/>
        <v>0</v>
      </c>
    </row>
    <row r="24" spans="1:74" x14ac:dyDescent="0.25">
      <c r="A24" s="989"/>
      <c r="B24" s="38">
        <v>41205</v>
      </c>
      <c r="C24" s="38" t="s">
        <v>251</v>
      </c>
      <c r="D24" s="38" t="s">
        <v>241</v>
      </c>
      <c r="E24" s="375">
        <f>0.1*100000</f>
        <v>10000</v>
      </c>
      <c r="F24" s="47">
        <v>0</v>
      </c>
      <c r="G24" s="85">
        <f t="shared" si="41"/>
        <v>0</v>
      </c>
      <c r="H24" s="85">
        <f t="shared" si="50"/>
        <v>0</v>
      </c>
      <c r="I24" s="85">
        <f t="shared" si="51"/>
        <v>0</v>
      </c>
      <c r="J24" s="85">
        <f t="shared" si="42"/>
        <v>0</v>
      </c>
      <c r="K24" s="85">
        <f t="shared" si="43"/>
        <v>0</v>
      </c>
      <c r="L24" s="85">
        <f t="shared" si="52"/>
        <v>0</v>
      </c>
      <c r="M24" s="85">
        <f t="shared" si="44"/>
        <v>0</v>
      </c>
      <c r="N24" s="85">
        <f t="shared" si="45"/>
        <v>0</v>
      </c>
      <c r="O24" s="85">
        <f t="shared" si="46"/>
        <v>0</v>
      </c>
      <c r="P24" s="85">
        <f t="shared" si="47"/>
        <v>0</v>
      </c>
      <c r="Q24" s="85">
        <f t="shared" si="53"/>
        <v>0</v>
      </c>
      <c r="R24" s="47"/>
      <c r="S24" s="47">
        <f t="shared" si="54"/>
        <v>0</v>
      </c>
      <c r="T24" s="47"/>
      <c r="U24" s="47"/>
      <c r="V24" s="376">
        <f t="shared" si="55"/>
        <v>0</v>
      </c>
      <c r="W24" s="376">
        <f t="shared" si="56"/>
        <v>0</v>
      </c>
      <c r="X24" s="376">
        <f t="shared" si="57"/>
        <v>0</v>
      </c>
      <c r="Y24" s="376">
        <f t="shared" si="58"/>
        <v>0</v>
      </c>
      <c r="Z24" s="47">
        <v>0</v>
      </c>
      <c r="AA24" s="181">
        <f t="shared" si="20"/>
        <v>0</v>
      </c>
      <c r="AB24" s="47">
        <v>0</v>
      </c>
      <c r="AC24" s="181">
        <f t="shared" si="21"/>
        <v>0</v>
      </c>
      <c r="AD24" s="47">
        <v>0</v>
      </c>
      <c r="AE24" s="181">
        <f t="shared" si="22"/>
        <v>0</v>
      </c>
      <c r="AF24" s="47">
        <v>0</v>
      </c>
      <c r="AG24" s="181">
        <f t="shared" si="23"/>
        <v>0</v>
      </c>
      <c r="AH24" s="47">
        <v>0</v>
      </c>
      <c r="AI24" s="181">
        <f t="shared" si="24"/>
        <v>0</v>
      </c>
      <c r="AJ24" s="47">
        <v>0</v>
      </c>
      <c r="AK24" s="181">
        <f t="shared" si="25"/>
        <v>0</v>
      </c>
      <c r="AL24" s="47">
        <v>0</v>
      </c>
      <c r="AM24" s="181">
        <f t="shared" si="26"/>
        <v>0</v>
      </c>
      <c r="AN24" s="47">
        <v>0</v>
      </c>
      <c r="AO24" s="181">
        <f t="shared" si="27"/>
        <v>0</v>
      </c>
      <c r="AP24" s="47">
        <v>0</v>
      </c>
      <c r="AQ24" s="181">
        <f t="shared" si="28"/>
        <v>0</v>
      </c>
      <c r="AR24" s="47">
        <v>0</v>
      </c>
      <c r="AS24" s="181">
        <f t="shared" si="29"/>
        <v>0</v>
      </c>
      <c r="AT24" s="47">
        <v>0</v>
      </c>
      <c r="AU24" s="181">
        <f t="shared" si="30"/>
        <v>0</v>
      </c>
      <c r="AV24" s="47">
        <v>0</v>
      </c>
      <c r="AW24" s="181">
        <f t="shared" si="31"/>
        <v>0</v>
      </c>
      <c r="AX24" s="47">
        <v>0</v>
      </c>
      <c r="AY24" s="181">
        <f t="shared" si="32"/>
        <v>0</v>
      </c>
      <c r="AZ24" s="47">
        <v>0</v>
      </c>
      <c r="BA24" s="181">
        <f t="shared" si="33"/>
        <v>0</v>
      </c>
      <c r="BB24" s="47">
        <v>0</v>
      </c>
      <c r="BC24" s="181">
        <f t="shared" si="34"/>
        <v>0</v>
      </c>
      <c r="BD24" s="47">
        <v>0</v>
      </c>
      <c r="BE24" s="181">
        <f t="shared" si="35"/>
        <v>0</v>
      </c>
      <c r="BF24" s="47">
        <v>0</v>
      </c>
      <c r="BG24" s="181">
        <f t="shared" si="36"/>
        <v>0</v>
      </c>
      <c r="BH24" s="47">
        <v>0</v>
      </c>
      <c r="BI24" s="181">
        <f t="shared" si="37"/>
        <v>0</v>
      </c>
      <c r="BJ24" s="47">
        <f t="shared" si="48"/>
        <v>0</v>
      </c>
      <c r="BK24" s="117">
        <f t="shared" si="48"/>
        <v>0</v>
      </c>
      <c r="BL24" s="302" t="s">
        <v>469</v>
      </c>
      <c r="BN24" s="113"/>
      <c r="BO24" s="113"/>
      <c r="BP24" s="263">
        <f t="shared" si="49"/>
        <v>0</v>
      </c>
      <c r="BQ24" s="113"/>
      <c r="BR24" s="113">
        <f t="shared" si="59"/>
        <v>0</v>
      </c>
      <c r="BS24" s="113"/>
      <c r="BT24" s="113"/>
      <c r="BU24" s="125">
        <f t="shared" si="60"/>
        <v>0</v>
      </c>
      <c r="BV24" s="181">
        <f t="shared" si="0"/>
        <v>0</v>
      </c>
    </row>
    <row r="25" spans="1:74" x14ac:dyDescent="0.25">
      <c r="A25" s="989"/>
      <c r="B25" s="38">
        <v>41206</v>
      </c>
      <c r="C25" s="657" t="s">
        <v>252</v>
      </c>
      <c r="D25" s="38" t="s">
        <v>241</v>
      </c>
      <c r="E25" s="375">
        <f>0.7*100000</f>
        <v>70000</v>
      </c>
      <c r="F25" s="47">
        <f t="shared" si="61"/>
        <v>12</v>
      </c>
      <c r="G25" s="85">
        <f>E25*F25</f>
        <v>840000</v>
      </c>
      <c r="H25" s="85">
        <f t="shared" si="50"/>
        <v>168000</v>
      </c>
      <c r="I25" s="85">
        <f t="shared" si="51"/>
        <v>672000</v>
      </c>
      <c r="J25" s="85">
        <f t="shared" si="42"/>
        <v>0</v>
      </c>
      <c r="K25" s="85">
        <f t="shared" si="43"/>
        <v>0</v>
      </c>
      <c r="L25" s="85">
        <f t="shared" si="52"/>
        <v>0</v>
      </c>
      <c r="M25" s="85">
        <f t="shared" si="44"/>
        <v>0</v>
      </c>
      <c r="N25" s="85">
        <f t="shared" si="45"/>
        <v>0</v>
      </c>
      <c r="O25" s="85">
        <f t="shared" si="46"/>
        <v>0</v>
      </c>
      <c r="P25" s="85">
        <f t="shared" si="47"/>
        <v>0</v>
      </c>
      <c r="Q25" s="85">
        <f t="shared" si="53"/>
        <v>0</v>
      </c>
      <c r="R25" s="47"/>
      <c r="S25" s="47">
        <f t="shared" si="54"/>
        <v>12</v>
      </c>
      <c r="T25" s="47"/>
      <c r="U25" s="47"/>
      <c r="V25" s="376">
        <f t="shared" si="55"/>
        <v>0</v>
      </c>
      <c r="W25" s="376">
        <f t="shared" si="56"/>
        <v>840000</v>
      </c>
      <c r="X25" s="376">
        <f t="shared" si="57"/>
        <v>0</v>
      </c>
      <c r="Y25" s="376">
        <f t="shared" si="58"/>
        <v>0</v>
      </c>
      <c r="Z25" s="47">
        <v>1</v>
      </c>
      <c r="AA25" s="181">
        <f t="shared" si="20"/>
        <v>70000</v>
      </c>
      <c r="AB25" s="47">
        <v>1</v>
      </c>
      <c r="AC25" s="181">
        <f t="shared" si="21"/>
        <v>70000</v>
      </c>
      <c r="AD25" s="47">
        <v>1</v>
      </c>
      <c r="AE25" s="181">
        <f t="shared" si="22"/>
        <v>70000</v>
      </c>
      <c r="AF25" s="47">
        <v>0</v>
      </c>
      <c r="AG25" s="181">
        <f t="shared" si="23"/>
        <v>0</v>
      </c>
      <c r="AH25" s="47">
        <v>0</v>
      </c>
      <c r="AI25" s="181">
        <f t="shared" si="24"/>
        <v>0</v>
      </c>
      <c r="AJ25" s="47">
        <v>1</v>
      </c>
      <c r="AK25" s="181">
        <f t="shared" si="25"/>
        <v>70000</v>
      </c>
      <c r="AL25" s="47">
        <v>1</v>
      </c>
      <c r="AM25" s="181">
        <f t="shared" si="26"/>
        <v>70000</v>
      </c>
      <c r="AN25" s="47">
        <v>1</v>
      </c>
      <c r="AO25" s="181">
        <f t="shared" si="27"/>
        <v>70000</v>
      </c>
      <c r="AP25" s="47">
        <v>0</v>
      </c>
      <c r="AQ25" s="181">
        <f t="shared" si="28"/>
        <v>0</v>
      </c>
      <c r="AR25" s="47">
        <v>1</v>
      </c>
      <c r="AS25" s="181">
        <f t="shared" si="29"/>
        <v>70000</v>
      </c>
      <c r="AT25" s="47">
        <v>1</v>
      </c>
      <c r="AU25" s="181">
        <f t="shared" si="30"/>
        <v>70000</v>
      </c>
      <c r="AV25" s="47">
        <v>0</v>
      </c>
      <c r="AW25" s="191">
        <f t="shared" si="31"/>
        <v>0</v>
      </c>
      <c r="AX25" s="47">
        <v>0</v>
      </c>
      <c r="AY25" s="181">
        <f t="shared" si="32"/>
        <v>0</v>
      </c>
      <c r="AZ25" s="47">
        <v>1</v>
      </c>
      <c r="BA25" s="181">
        <f t="shared" si="33"/>
        <v>70000</v>
      </c>
      <c r="BB25" s="47">
        <v>1</v>
      </c>
      <c r="BC25" s="181">
        <f t="shared" si="34"/>
        <v>70000</v>
      </c>
      <c r="BD25" s="47">
        <v>1</v>
      </c>
      <c r="BE25" s="181">
        <f t="shared" si="35"/>
        <v>70000</v>
      </c>
      <c r="BF25" s="47">
        <v>1</v>
      </c>
      <c r="BG25" s="181">
        <f t="shared" si="36"/>
        <v>70000</v>
      </c>
      <c r="BH25" s="47">
        <v>0</v>
      </c>
      <c r="BI25" s="181">
        <f t="shared" si="37"/>
        <v>0</v>
      </c>
      <c r="BJ25" s="47">
        <f t="shared" si="48"/>
        <v>12</v>
      </c>
      <c r="BK25" s="728">
        <f t="shared" si="48"/>
        <v>840000</v>
      </c>
      <c r="BL25" s="302" t="s">
        <v>469</v>
      </c>
      <c r="BN25" s="113"/>
      <c r="BO25" s="113"/>
      <c r="BP25" s="263">
        <f t="shared" si="49"/>
        <v>840000</v>
      </c>
      <c r="BQ25" s="113"/>
      <c r="BR25" s="113">
        <f t="shared" si="59"/>
        <v>840000</v>
      </c>
      <c r="BS25" s="113"/>
      <c r="BT25" s="113"/>
      <c r="BU25" s="125">
        <f t="shared" si="60"/>
        <v>0</v>
      </c>
      <c r="BV25" s="181">
        <f t="shared" si="0"/>
        <v>840000</v>
      </c>
    </row>
    <row r="26" spans="1:74" x14ac:dyDescent="0.25">
      <c r="A26" s="989"/>
      <c r="B26" s="38">
        <v>41207</v>
      </c>
      <c r="C26" s="38" t="s">
        <v>253</v>
      </c>
      <c r="D26" s="38" t="s">
        <v>241</v>
      </c>
      <c r="E26" s="375">
        <f>0.3*100000</f>
        <v>30000</v>
      </c>
      <c r="F26" s="47">
        <f t="shared" si="61"/>
        <v>0</v>
      </c>
      <c r="G26" s="85">
        <f t="shared" si="41"/>
        <v>0</v>
      </c>
      <c r="H26" s="85">
        <f t="shared" si="50"/>
        <v>0</v>
      </c>
      <c r="I26" s="85">
        <f t="shared" si="51"/>
        <v>0</v>
      </c>
      <c r="J26" s="85">
        <f t="shared" si="42"/>
        <v>0</v>
      </c>
      <c r="K26" s="85">
        <f t="shared" si="43"/>
        <v>0</v>
      </c>
      <c r="L26" s="85">
        <f t="shared" si="52"/>
        <v>0</v>
      </c>
      <c r="M26" s="85">
        <f t="shared" si="44"/>
        <v>0</v>
      </c>
      <c r="N26" s="85">
        <f t="shared" si="45"/>
        <v>0</v>
      </c>
      <c r="O26" s="85">
        <f t="shared" si="46"/>
        <v>0</v>
      </c>
      <c r="P26" s="85">
        <f t="shared" si="47"/>
        <v>0</v>
      </c>
      <c r="Q26" s="85">
        <f t="shared" si="53"/>
        <v>0</v>
      </c>
      <c r="R26" s="47"/>
      <c r="S26" s="47">
        <f t="shared" si="54"/>
        <v>0</v>
      </c>
      <c r="T26" s="47"/>
      <c r="U26" s="47"/>
      <c r="V26" s="376">
        <f t="shared" si="55"/>
        <v>0</v>
      </c>
      <c r="W26" s="376">
        <f t="shared" si="56"/>
        <v>0</v>
      </c>
      <c r="X26" s="376">
        <f t="shared" si="57"/>
        <v>0</v>
      </c>
      <c r="Y26" s="376">
        <f t="shared" si="58"/>
        <v>0</v>
      </c>
      <c r="Z26" s="47">
        <v>0</v>
      </c>
      <c r="AA26" s="181">
        <f t="shared" si="20"/>
        <v>0</v>
      </c>
      <c r="AB26" s="47">
        <v>0</v>
      </c>
      <c r="AC26" s="181">
        <f t="shared" si="21"/>
        <v>0</v>
      </c>
      <c r="AD26" s="47">
        <v>0</v>
      </c>
      <c r="AE26" s="181">
        <f t="shared" si="22"/>
        <v>0</v>
      </c>
      <c r="AF26" s="47">
        <v>0</v>
      </c>
      <c r="AG26" s="181">
        <f t="shared" si="23"/>
        <v>0</v>
      </c>
      <c r="AH26" s="47">
        <v>0</v>
      </c>
      <c r="AI26" s="181">
        <f t="shared" si="24"/>
        <v>0</v>
      </c>
      <c r="AJ26" s="47">
        <v>0</v>
      </c>
      <c r="AK26" s="181">
        <f t="shared" si="25"/>
        <v>0</v>
      </c>
      <c r="AL26" s="47">
        <v>0</v>
      </c>
      <c r="AM26" s="181">
        <f t="shared" si="26"/>
        <v>0</v>
      </c>
      <c r="AN26" s="47">
        <v>0</v>
      </c>
      <c r="AO26" s="181">
        <f t="shared" si="27"/>
        <v>0</v>
      </c>
      <c r="AP26" s="47">
        <v>0</v>
      </c>
      <c r="AQ26" s="181">
        <f t="shared" si="28"/>
        <v>0</v>
      </c>
      <c r="AR26" s="47">
        <v>0</v>
      </c>
      <c r="AS26" s="181">
        <f t="shared" si="29"/>
        <v>0</v>
      </c>
      <c r="AT26" s="47">
        <v>0</v>
      </c>
      <c r="AU26" s="181">
        <f t="shared" si="30"/>
        <v>0</v>
      </c>
      <c r="AV26" s="47">
        <v>0</v>
      </c>
      <c r="AW26" s="191">
        <f t="shared" si="31"/>
        <v>0</v>
      </c>
      <c r="AX26" s="47">
        <v>0</v>
      </c>
      <c r="AY26" s="181">
        <f t="shared" si="32"/>
        <v>0</v>
      </c>
      <c r="AZ26" s="47">
        <v>0</v>
      </c>
      <c r="BA26" s="181">
        <f t="shared" si="33"/>
        <v>0</v>
      </c>
      <c r="BB26" s="47">
        <v>0</v>
      </c>
      <c r="BC26" s="181">
        <f t="shared" si="34"/>
        <v>0</v>
      </c>
      <c r="BD26" s="47">
        <v>0</v>
      </c>
      <c r="BE26" s="181">
        <f t="shared" si="35"/>
        <v>0</v>
      </c>
      <c r="BF26" s="47">
        <v>0</v>
      </c>
      <c r="BG26" s="181">
        <f t="shared" si="36"/>
        <v>0</v>
      </c>
      <c r="BH26" s="47">
        <v>0</v>
      </c>
      <c r="BI26" s="181">
        <f t="shared" si="37"/>
        <v>0</v>
      </c>
      <c r="BJ26" s="47">
        <f t="shared" si="48"/>
        <v>0</v>
      </c>
      <c r="BK26" s="117">
        <f t="shared" si="48"/>
        <v>0</v>
      </c>
      <c r="BL26" s="302" t="s">
        <v>469</v>
      </c>
      <c r="BN26" s="113"/>
      <c r="BO26" s="113"/>
      <c r="BP26" s="263">
        <f t="shared" si="49"/>
        <v>0</v>
      </c>
      <c r="BQ26" s="113"/>
      <c r="BR26" s="113">
        <f t="shared" si="59"/>
        <v>0</v>
      </c>
      <c r="BS26" s="113"/>
      <c r="BT26" s="113"/>
      <c r="BU26" s="125">
        <f t="shared" si="60"/>
        <v>0</v>
      </c>
      <c r="BV26" s="181">
        <f t="shared" si="0"/>
        <v>0</v>
      </c>
    </row>
    <row r="27" spans="1:74" x14ac:dyDescent="0.25">
      <c r="A27" s="989"/>
      <c r="B27" s="38">
        <v>41208</v>
      </c>
      <c r="C27" s="657" t="s">
        <v>254</v>
      </c>
      <c r="D27" s="38" t="s">
        <v>241</v>
      </c>
      <c r="E27" s="375">
        <v>50000</v>
      </c>
      <c r="F27" s="47">
        <f t="shared" si="61"/>
        <v>13</v>
      </c>
      <c r="G27" s="85">
        <f>E27*F27</f>
        <v>650000</v>
      </c>
      <c r="H27" s="85">
        <f t="shared" si="50"/>
        <v>130000</v>
      </c>
      <c r="I27" s="85">
        <f t="shared" si="51"/>
        <v>520000</v>
      </c>
      <c r="J27" s="85">
        <f t="shared" si="42"/>
        <v>0</v>
      </c>
      <c r="K27" s="85">
        <f t="shared" si="43"/>
        <v>0</v>
      </c>
      <c r="L27" s="85">
        <f t="shared" si="52"/>
        <v>0</v>
      </c>
      <c r="M27" s="85">
        <f t="shared" si="44"/>
        <v>0</v>
      </c>
      <c r="N27" s="85">
        <f t="shared" si="45"/>
        <v>0</v>
      </c>
      <c r="O27" s="85">
        <f t="shared" si="46"/>
        <v>0</v>
      </c>
      <c r="P27" s="85">
        <f t="shared" si="47"/>
        <v>0</v>
      </c>
      <c r="Q27" s="85">
        <f t="shared" si="53"/>
        <v>0</v>
      </c>
      <c r="R27" s="47"/>
      <c r="S27" s="47">
        <f t="shared" si="54"/>
        <v>13</v>
      </c>
      <c r="T27" s="47"/>
      <c r="U27" s="47"/>
      <c r="V27" s="376">
        <f t="shared" si="55"/>
        <v>0</v>
      </c>
      <c r="W27" s="376">
        <f t="shared" si="56"/>
        <v>650000</v>
      </c>
      <c r="X27" s="376">
        <f t="shared" si="57"/>
        <v>0</v>
      </c>
      <c r="Y27" s="376">
        <f t="shared" si="58"/>
        <v>0</v>
      </c>
      <c r="Z27" s="47">
        <v>1</v>
      </c>
      <c r="AA27" s="181">
        <f t="shared" si="20"/>
        <v>50000</v>
      </c>
      <c r="AB27" s="47">
        <v>1</v>
      </c>
      <c r="AC27" s="181">
        <f t="shared" si="21"/>
        <v>50000</v>
      </c>
      <c r="AD27" s="47">
        <v>1</v>
      </c>
      <c r="AE27" s="181">
        <f t="shared" si="22"/>
        <v>50000</v>
      </c>
      <c r="AF27" s="641">
        <v>0</v>
      </c>
      <c r="AG27" s="181">
        <f t="shared" si="23"/>
        <v>0</v>
      </c>
      <c r="AH27" s="47">
        <v>0</v>
      </c>
      <c r="AI27" s="181">
        <f t="shared" si="24"/>
        <v>0</v>
      </c>
      <c r="AJ27" s="47">
        <v>1</v>
      </c>
      <c r="AK27" s="181">
        <f t="shared" si="25"/>
        <v>50000</v>
      </c>
      <c r="AL27" s="47">
        <v>1</v>
      </c>
      <c r="AM27" s="181">
        <f t="shared" si="26"/>
        <v>50000</v>
      </c>
      <c r="AN27" s="47">
        <v>1</v>
      </c>
      <c r="AO27" s="181">
        <f t="shared" si="27"/>
        <v>50000</v>
      </c>
      <c r="AP27" s="47">
        <v>0</v>
      </c>
      <c r="AQ27" s="181">
        <f t="shared" si="28"/>
        <v>0</v>
      </c>
      <c r="AR27" s="47">
        <v>1</v>
      </c>
      <c r="AS27" s="181">
        <f t="shared" si="29"/>
        <v>50000</v>
      </c>
      <c r="AT27" s="47">
        <v>1</v>
      </c>
      <c r="AU27" s="181">
        <f t="shared" si="30"/>
        <v>50000</v>
      </c>
      <c r="AV27" s="47">
        <v>1</v>
      </c>
      <c r="AW27" s="191">
        <f t="shared" si="31"/>
        <v>50000</v>
      </c>
      <c r="AX27" s="47">
        <v>0</v>
      </c>
      <c r="AY27" s="181">
        <f t="shared" si="32"/>
        <v>0</v>
      </c>
      <c r="AZ27" s="47">
        <v>1</v>
      </c>
      <c r="BA27" s="181">
        <f t="shared" si="33"/>
        <v>50000</v>
      </c>
      <c r="BB27" s="47">
        <v>1</v>
      </c>
      <c r="BC27" s="181">
        <f t="shared" si="34"/>
        <v>50000</v>
      </c>
      <c r="BD27" s="47">
        <v>1</v>
      </c>
      <c r="BE27" s="181">
        <f t="shared" si="35"/>
        <v>50000</v>
      </c>
      <c r="BF27" s="47">
        <v>1</v>
      </c>
      <c r="BG27" s="181">
        <f t="shared" si="36"/>
        <v>50000</v>
      </c>
      <c r="BH27" s="47">
        <v>0</v>
      </c>
      <c r="BI27" s="181">
        <f t="shared" si="37"/>
        <v>0</v>
      </c>
      <c r="BJ27" s="47">
        <f t="shared" si="48"/>
        <v>13</v>
      </c>
      <c r="BK27" s="728">
        <f>AA27+AC27+AE27+AG27+AI27+AK27+AM27+AO27+AQ27+AS27+AU27+AW27+AY27+BA27+BC27+BE27+BG27+BI27</f>
        <v>650000</v>
      </c>
      <c r="BL27" s="302" t="s">
        <v>469</v>
      </c>
      <c r="BN27" s="113"/>
      <c r="BO27" s="113"/>
      <c r="BP27" s="263">
        <f t="shared" si="49"/>
        <v>650000</v>
      </c>
      <c r="BQ27" s="113"/>
      <c r="BR27" s="113">
        <f t="shared" si="59"/>
        <v>650000</v>
      </c>
      <c r="BS27" s="113"/>
      <c r="BT27" s="113"/>
      <c r="BU27" s="125">
        <f t="shared" si="60"/>
        <v>0</v>
      </c>
      <c r="BV27" s="181">
        <f t="shared" si="0"/>
        <v>650000</v>
      </c>
    </row>
    <row r="28" spans="1:74" s="165" customFormat="1" x14ac:dyDescent="0.25">
      <c r="A28" s="989"/>
      <c r="B28" s="171">
        <v>41209</v>
      </c>
      <c r="C28" s="657" t="s">
        <v>337</v>
      </c>
      <c r="D28" s="171" t="s">
        <v>241</v>
      </c>
      <c r="E28" s="180">
        <v>2500</v>
      </c>
      <c r="F28" s="136">
        <f t="shared" si="61"/>
        <v>161</v>
      </c>
      <c r="G28" s="134">
        <f>E28*F28</f>
        <v>402500</v>
      </c>
      <c r="H28" s="134">
        <f t="shared" si="50"/>
        <v>80500</v>
      </c>
      <c r="I28" s="134">
        <f t="shared" si="51"/>
        <v>322000</v>
      </c>
      <c r="J28" s="134">
        <f t="shared" si="42"/>
        <v>0</v>
      </c>
      <c r="K28" s="134">
        <f t="shared" si="43"/>
        <v>0</v>
      </c>
      <c r="L28" s="134">
        <f t="shared" si="52"/>
        <v>0</v>
      </c>
      <c r="M28" s="134">
        <f t="shared" si="44"/>
        <v>0</v>
      </c>
      <c r="N28" s="134">
        <f t="shared" si="45"/>
        <v>0</v>
      </c>
      <c r="O28" s="134">
        <f t="shared" si="46"/>
        <v>0</v>
      </c>
      <c r="P28" s="134">
        <f t="shared" si="47"/>
        <v>0</v>
      </c>
      <c r="Q28" s="134">
        <f t="shared" si="53"/>
        <v>0</v>
      </c>
      <c r="R28" s="136"/>
      <c r="S28" s="136">
        <f t="shared" si="54"/>
        <v>161</v>
      </c>
      <c r="T28" s="136"/>
      <c r="U28" s="136"/>
      <c r="V28" s="376">
        <f t="shared" si="55"/>
        <v>0</v>
      </c>
      <c r="W28" s="376">
        <f t="shared" si="56"/>
        <v>402500</v>
      </c>
      <c r="X28" s="376">
        <f t="shared" si="57"/>
        <v>0</v>
      </c>
      <c r="Y28" s="376">
        <f t="shared" si="58"/>
        <v>0</v>
      </c>
      <c r="Z28" s="136">
        <v>16</v>
      </c>
      <c r="AA28" s="181">
        <f t="shared" si="20"/>
        <v>40000</v>
      </c>
      <c r="AB28" s="136">
        <v>16</v>
      </c>
      <c r="AC28" s="181">
        <f t="shared" si="21"/>
        <v>40000</v>
      </c>
      <c r="AD28" s="136">
        <v>8</v>
      </c>
      <c r="AE28" s="181">
        <f t="shared" si="22"/>
        <v>20000</v>
      </c>
      <c r="AF28" s="650">
        <v>0</v>
      </c>
      <c r="AG28" s="181">
        <f t="shared" si="23"/>
        <v>0</v>
      </c>
      <c r="AH28" s="136">
        <v>0</v>
      </c>
      <c r="AI28" s="181">
        <f t="shared" si="24"/>
        <v>0</v>
      </c>
      <c r="AJ28" s="136">
        <v>16</v>
      </c>
      <c r="AK28" s="181">
        <f t="shared" si="25"/>
        <v>40000</v>
      </c>
      <c r="AL28" s="136">
        <v>16</v>
      </c>
      <c r="AM28" s="181">
        <f t="shared" si="26"/>
        <v>40000</v>
      </c>
      <c r="AN28" s="136">
        <v>16</v>
      </c>
      <c r="AO28" s="181">
        <f t="shared" si="27"/>
        <v>40000</v>
      </c>
      <c r="AP28" s="136">
        <v>0</v>
      </c>
      <c r="AQ28" s="181">
        <f t="shared" si="28"/>
        <v>0</v>
      </c>
      <c r="AR28" s="136">
        <v>8</v>
      </c>
      <c r="AS28" s="181">
        <f t="shared" si="29"/>
        <v>20000</v>
      </c>
      <c r="AT28" s="136">
        <v>8</v>
      </c>
      <c r="AU28" s="181">
        <f t="shared" si="30"/>
        <v>20000</v>
      </c>
      <c r="AV28" s="136">
        <v>16</v>
      </c>
      <c r="AW28" s="191">
        <f t="shared" si="31"/>
        <v>40000</v>
      </c>
      <c r="AX28" s="136">
        <v>0</v>
      </c>
      <c r="AY28" s="181">
        <f t="shared" si="32"/>
        <v>0</v>
      </c>
      <c r="AZ28" s="136">
        <v>8</v>
      </c>
      <c r="BA28" s="181">
        <f t="shared" si="33"/>
        <v>20000</v>
      </c>
      <c r="BB28" s="136">
        <v>1</v>
      </c>
      <c r="BC28" s="181">
        <f t="shared" si="34"/>
        <v>2500</v>
      </c>
      <c r="BD28" s="136">
        <v>16</v>
      </c>
      <c r="BE28" s="181">
        <f t="shared" si="35"/>
        <v>40000</v>
      </c>
      <c r="BF28" s="136">
        <v>16</v>
      </c>
      <c r="BG28" s="181">
        <f t="shared" si="36"/>
        <v>40000</v>
      </c>
      <c r="BH28" s="136">
        <v>0</v>
      </c>
      <c r="BI28" s="181">
        <f t="shared" si="37"/>
        <v>0</v>
      </c>
      <c r="BJ28" s="136">
        <f t="shared" si="48"/>
        <v>161</v>
      </c>
      <c r="BK28" s="729">
        <f>AA28+AC28+AE28+AG28+AI28+AK28+AM28+AO28+AQ28+AS28+AU28+AW28+AY28+BA28+BC28+BE28+BG28+BI28</f>
        <v>402500</v>
      </c>
      <c r="BL28" s="307" t="s">
        <v>469</v>
      </c>
      <c r="BN28" s="178"/>
      <c r="BO28" s="178"/>
      <c r="BP28" s="389">
        <f t="shared" si="49"/>
        <v>402500</v>
      </c>
      <c r="BQ28" s="178"/>
      <c r="BR28" s="178">
        <f t="shared" si="59"/>
        <v>402500</v>
      </c>
      <c r="BS28" s="178"/>
      <c r="BT28" s="178"/>
      <c r="BU28" s="166">
        <f t="shared" si="60"/>
        <v>0</v>
      </c>
      <c r="BV28" s="191">
        <f t="shared" si="0"/>
        <v>402500</v>
      </c>
    </row>
    <row r="29" spans="1:74" x14ac:dyDescent="0.25">
      <c r="A29" s="989"/>
      <c r="B29" s="38">
        <v>41210</v>
      </c>
      <c r="C29" s="657" t="s">
        <v>256</v>
      </c>
      <c r="D29" s="38" t="s">
        <v>241</v>
      </c>
      <c r="E29" s="375">
        <f>3*100000</f>
        <v>300000</v>
      </c>
      <c r="F29" s="47">
        <f t="shared" si="61"/>
        <v>12</v>
      </c>
      <c r="G29" s="85">
        <f>E29*F29</f>
        <v>3600000</v>
      </c>
      <c r="H29" s="85">
        <f t="shared" si="50"/>
        <v>720000</v>
      </c>
      <c r="I29" s="85">
        <f t="shared" si="51"/>
        <v>2880000</v>
      </c>
      <c r="J29" s="85">
        <f t="shared" si="42"/>
        <v>0</v>
      </c>
      <c r="K29" s="85">
        <f t="shared" si="43"/>
        <v>0</v>
      </c>
      <c r="L29" s="85">
        <f t="shared" si="52"/>
        <v>0</v>
      </c>
      <c r="M29" s="85">
        <f t="shared" si="44"/>
        <v>0</v>
      </c>
      <c r="N29" s="85">
        <f t="shared" si="45"/>
        <v>0</v>
      </c>
      <c r="O29" s="85">
        <f t="shared" si="46"/>
        <v>0</v>
      </c>
      <c r="P29" s="85">
        <f t="shared" si="47"/>
        <v>0</v>
      </c>
      <c r="Q29" s="85">
        <f t="shared" si="53"/>
        <v>0</v>
      </c>
      <c r="R29" s="47"/>
      <c r="S29" s="47">
        <f t="shared" si="54"/>
        <v>12</v>
      </c>
      <c r="T29" s="47"/>
      <c r="U29" s="47"/>
      <c r="V29" s="376">
        <f t="shared" si="55"/>
        <v>0</v>
      </c>
      <c r="W29" s="376">
        <f t="shared" si="56"/>
        <v>3600000</v>
      </c>
      <c r="X29" s="376">
        <f t="shared" si="57"/>
        <v>0</v>
      </c>
      <c r="Y29" s="376">
        <f t="shared" si="58"/>
        <v>0</v>
      </c>
      <c r="Z29" s="47">
        <v>1</v>
      </c>
      <c r="AA29" s="181">
        <f t="shared" si="20"/>
        <v>300000</v>
      </c>
      <c r="AB29" s="47">
        <v>1</v>
      </c>
      <c r="AC29" s="181">
        <f t="shared" si="21"/>
        <v>300000</v>
      </c>
      <c r="AD29" s="47">
        <v>1</v>
      </c>
      <c r="AE29" s="181">
        <f t="shared" si="22"/>
        <v>300000</v>
      </c>
      <c r="AF29" s="641">
        <v>0</v>
      </c>
      <c r="AG29" s="181">
        <f t="shared" si="23"/>
        <v>0</v>
      </c>
      <c r="AH29" s="47">
        <v>0</v>
      </c>
      <c r="AI29" s="181">
        <f t="shared" si="24"/>
        <v>0</v>
      </c>
      <c r="AJ29" s="47">
        <v>1</v>
      </c>
      <c r="AK29" s="181">
        <f t="shared" si="25"/>
        <v>300000</v>
      </c>
      <c r="AL29" s="47">
        <v>1</v>
      </c>
      <c r="AM29" s="181">
        <f t="shared" si="26"/>
        <v>300000</v>
      </c>
      <c r="AN29" s="47">
        <v>1</v>
      </c>
      <c r="AO29" s="181">
        <f t="shared" si="27"/>
        <v>300000</v>
      </c>
      <c r="AP29" s="47">
        <v>0</v>
      </c>
      <c r="AQ29" s="181">
        <f t="shared" si="28"/>
        <v>0</v>
      </c>
      <c r="AR29" s="47">
        <v>1</v>
      </c>
      <c r="AS29" s="181">
        <f t="shared" si="29"/>
        <v>300000</v>
      </c>
      <c r="AT29" s="47">
        <v>1</v>
      </c>
      <c r="AU29" s="181">
        <f t="shared" si="30"/>
        <v>300000</v>
      </c>
      <c r="AV29" s="47">
        <v>0</v>
      </c>
      <c r="AW29" s="191">
        <f t="shared" si="31"/>
        <v>0</v>
      </c>
      <c r="AX29" s="47">
        <v>0</v>
      </c>
      <c r="AY29" s="181">
        <f t="shared" si="32"/>
        <v>0</v>
      </c>
      <c r="AZ29" s="47">
        <v>1</v>
      </c>
      <c r="BA29" s="181">
        <f t="shared" si="33"/>
        <v>300000</v>
      </c>
      <c r="BB29" s="47">
        <v>1</v>
      </c>
      <c r="BC29" s="181">
        <f t="shared" si="34"/>
        <v>300000</v>
      </c>
      <c r="BD29" s="47">
        <v>1</v>
      </c>
      <c r="BE29" s="181">
        <f t="shared" si="35"/>
        <v>300000</v>
      </c>
      <c r="BF29" s="47">
        <v>1</v>
      </c>
      <c r="BG29" s="181">
        <f t="shared" si="36"/>
        <v>300000</v>
      </c>
      <c r="BH29" s="47">
        <v>0</v>
      </c>
      <c r="BI29" s="181">
        <f t="shared" si="37"/>
        <v>0</v>
      </c>
      <c r="BJ29" s="47">
        <f t="shared" si="48"/>
        <v>12</v>
      </c>
      <c r="BK29" s="117">
        <f t="shared" si="48"/>
        <v>3600000</v>
      </c>
      <c r="BL29" s="302" t="s">
        <v>469</v>
      </c>
      <c r="BN29" s="113"/>
      <c r="BO29" s="113"/>
      <c r="BP29" s="263">
        <f t="shared" si="49"/>
        <v>3600000</v>
      </c>
      <c r="BQ29" s="113"/>
      <c r="BR29" s="113">
        <f t="shared" si="59"/>
        <v>3600000</v>
      </c>
      <c r="BS29" s="113"/>
      <c r="BT29" s="113"/>
      <c r="BU29" s="125">
        <f t="shared" si="60"/>
        <v>0</v>
      </c>
      <c r="BV29" s="181">
        <f t="shared" si="0"/>
        <v>3600000</v>
      </c>
    </row>
    <row r="30" spans="1:74" x14ac:dyDescent="0.25">
      <c r="A30" s="989"/>
      <c r="B30" s="38">
        <v>41211</v>
      </c>
      <c r="C30" s="657" t="s">
        <v>257</v>
      </c>
      <c r="D30" s="38" t="s">
        <v>241</v>
      </c>
      <c r="E30" s="375">
        <v>250000</v>
      </c>
      <c r="F30" s="47">
        <f t="shared" si="61"/>
        <v>13</v>
      </c>
      <c r="G30" s="85">
        <f>E30*F30</f>
        <v>3250000</v>
      </c>
      <c r="H30" s="85">
        <f t="shared" si="50"/>
        <v>650000</v>
      </c>
      <c r="I30" s="85">
        <f t="shared" si="51"/>
        <v>2600000</v>
      </c>
      <c r="J30" s="85">
        <f t="shared" si="42"/>
        <v>0</v>
      </c>
      <c r="K30" s="85">
        <f t="shared" si="43"/>
        <v>0</v>
      </c>
      <c r="L30" s="85">
        <f t="shared" si="52"/>
        <v>0</v>
      </c>
      <c r="M30" s="85">
        <f t="shared" si="44"/>
        <v>0</v>
      </c>
      <c r="N30" s="85">
        <f t="shared" si="45"/>
        <v>0</v>
      </c>
      <c r="O30" s="85">
        <f t="shared" si="46"/>
        <v>0</v>
      </c>
      <c r="P30" s="85">
        <f t="shared" si="47"/>
        <v>0</v>
      </c>
      <c r="Q30" s="85">
        <f t="shared" si="53"/>
        <v>0</v>
      </c>
      <c r="R30" s="47"/>
      <c r="S30" s="47">
        <f t="shared" si="54"/>
        <v>13</v>
      </c>
      <c r="T30" s="47"/>
      <c r="U30" s="47"/>
      <c r="V30" s="376">
        <f t="shared" si="55"/>
        <v>0</v>
      </c>
      <c r="W30" s="376">
        <f t="shared" si="56"/>
        <v>3250000</v>
      </c>
      <c r="X30" s="376">
        <f t="shared" si="57"/>
        <v>0</v>
      </c>
      <c r="Y30" s="376">
        <f t="shared" si="58"/>
        <v>0</v>
      </c>
      <c r="Z30" s="47">
        <v>1</v>
      </c>
      <c r="AA30" s="181">
        <f t="shared" si="20"/>
        <v>250000</v>
      </c>
      <c r="AB30" s="47">
        <v>1</v>
      </c>
      <c r="AC30" s="181">
        <f t="shared" si="21"/>
        <v>250000</v>
      </c>
      <c r="AD30" s="47">
        <v>1</v>
      </c>
      <c r="AE30" s="181">
        <f t="shared" si="22"/>
        <v>250000</v>
      </c>
      <c r="AF30" s="641">
        <v>0</v>
      </c>
      <c r="AG30" s="181">
        <f t="shared" si="23"/>
        <v>0</v>
      </c>
      <c r="AH30" s="47">
        <v>0</v>
      </c>
      <c r="AI30" s="181">
        <f t="shared" si="24"/>
        <v>0</v>
      </c>
      <c r="AJ30" s="47">
        <v>1</v>
      </c>
      <c r="AK30" s="181">
        <f t="shared" si="25"/>
        <v>250000</v>
      </c>
      <c r="AL30" s="47">
        <v>1</v>
      </c>
      <c r="AM30" s="181">
        <f t="shared" si="26"/>
        <v>250000</v>
      </c>
      <c r="AN30" s="47">
        <v>1</v>
      </c>
      <c r="AO30" s="181">
        <f t="shared" si="27"/>
        <v>250000</v>
      </c>
      <c r="AP30" s="47">
        <v>1</v>
      </c>
      <c r="AQ30" s="181">
        <f t="shared" si="28"/>
        <v>250000</v>
      </c>
      <c r="AR30" s="47">
        <v>1</v>
      </c>
      <c r="AS30" s="181">
        <f t="shared" si="29"/>
        <v>250000</v>
      </c>
      <c r="AT30" s="47">
        <v>1</v>
      </c>
      <c r="AU30" s="181">
        <f t="shared" si="30"/>
        <v>250000</v>
      </c>
      <c r="AV30" s="47">
        <v>0</v>
      </c>
      <c r="AW30" s="191">
        <f t="shared" si="31"/>
        <v>0</v>
      </c>
      <c r="AX30" s="47">
        <v>0</v>
      </c>
      <c r="AY30" s="181">
        <f t="shared" si="32"/>
        <v>0</v>
      </c>
      <c r="AZ30" s="47">
        <v>1</v>
      </c>
      <c r="BA30" s="181">
        <f t="shared" si="33"/>
        <v>250000</v>
      </c>
      <c r="BB30" s="47">
        <v>1</v>
      </c>
      <c r="BC30" s="181">
        <f t="shared" si="34"/>
        <v>250000</v>
      </c>
      <c r="BD30" s="47">
        <v>1</v>
      </c>
      <c r="BE30" s="181">
        <f t="shared" si="35"/>
        <v>250000</v>
      </c>
      <c r="BF30" s="47">
        <v>1</v>
      </c>
      <c r="BG30" s="181">
        <f t="shared" si="36"/>
        <v>250000</v>
      </c>
      <c r="BH30" s="47">
        <v>0</v>
      </c>
      <c r="BI30" s="181">
        <f t="shared" si="37"/>
        <v>0</v>
      </c>
      <c r="BJ30" s="47">
        <f t="shared" si="48"/>
        <v>13</v>
      </c>
      <c r="BK30" s="728">
        <f t="shared" si="48"/>
        <v>3250000</v>
      </c>
      <c r="BL30" s="302" t="s">
        <v>469</v>
      </c>
      <c r="BN30" s="113"/>
      <c r="BO30" s="113"/>
      <c r="BP30" s="263">
        <f t="shared" si="49"/>
        <v>3250000</v>
      </c>
      <c r="BQ30" s="113"/>
      <c r="BR30" s="113">
        <f t="shared" si="59"/>
        <v>3250000</v>
      </c>
      <c r="BS30" s="113"/>
      <c r="BT30" s="113"/>
      <c r="BU30" s="125">
        <f t="shared" si="60"/>
        <v>0</v>
      </c>
      <c r="BV30" s="181">
        <f t="shared" si="0"/>
        <v>3250000</v>
      </c>
    </row>
    <row r="31" spans="1:74" s="165" customFormat="1" x14ac:dyDescent="0.25">
      <c r="A31" s="989"/>
      <c r="B31" s="171"/>
      <c r="C31" s="38" t="s">
        <v>705</v>
      </c>
      <c r="D31" s="171" t="s">
        <v>241</v>
      </c>
      <c r="E31" s="180">
        <v>20000</v>
      </c>
      <c r="F31" s="136">
        <f t="shared" si="61"/>
        <v>0</v>
      </c>
      <c r="G31" s="134">
        <f>F31*E31</f>
        <v>0</v>
      </c>
      <c r="H31" s="134">
        <f t="shared" si="50"/>
        <v>0</v>
      </c>
      <c r="I31" s="134">
        <f t="shared" si="51"/>
        <v>0</v>
      </c>
      <c r="J31" s="134">
        <f t="shared" si="42"/>
        <v>0</v>
      </c>
      <c r="K31" s="134">
        <f t="shared" si="43"/>
        <v>0</v>
      </c>
      <c r="L31" s="134">
        <f t="shared" si="52"/>
        <v>0</v>
      </c>
      <c r="M31" s="134">
        <f t="shared" si="44"/>
        <v>0</v>
      </c>
      <c r="N31" s="134">
        <f t="shared" si="45"/>
        <v>0</v>
      </c>
      <c r="O31" s="134">
        <f t="shared" si="46"/>
        <v>0</v>
      </c>
      <c r="P31" s="134">
        <f t="shared" si="47"/>
        <v>0</v>
      </c>
      <c r="Q31" s="134">
        <f t="shared" si="53"/>
        <v>0</v>
      </c>
      <c r="R31" s="136"/>
      <c r="S31" s="136">
        <f t="shared" si="54"/>
        <v>0</v>
      </c>
      <c r="T31" s="136"/>
      <c r="U31" s="136"/>
      <c r="V31" s="376">
        <f t="shared" si="55"/>
        <v>0</v>
      </c>
      <c r="W31" s="376">
        <f t="shared" si="56"/>
        <v>0</v>
      </c>
      <c r="X31" s="376">
        <f t="shared" si="57"/>
        <v>0</v>
      </c>
      <c r="Y31" s="376">
        <f t="shared" si="58"/>
        <v>0</v>
      </c>
      <c r="Z31" s="136">
        <v>0</v>
      </c>
      <c r="AA31" s="181">
        <f t="shared" si="20"/>
        <v>0</v>
      </c>
      <c r="AB31" s="136">
        <v>0</v>
      </c>
      <c r="AC31" s="181">
        <f t="shared" si="21"/>
        <v>0</v>
      </c>
      <c r="AD31" s="136">
        <v>0</v>
      </c>
      <c r="AE31" s="181">
        <f t="shared" si="22"/>
        <v>0</v>
      </c>
      <c r="AF31" s="136">
        <v>0</v>
      </c>
      <c r="AG31" s="181">
        <f t="shared" si="23"/>
        <v>0</v>
      </c>
      <c r="AH31" s="136">
        <v>0</v>
      </c>
      <c r="AI31" s="181">
        <f t="shared" si="24"/>
        <v>0</v>
      </c>
      <c r="AJ31" s="136">
        <v>0</v>
      </c>
      <c r="AK31" s="181">
        <f t="shared" si="25"/>
        <v>0</v>
      </c>
      <c r="AL31" s="136">
        <v>0</v>
      </c>
      <c r="AM31" s="181">
        <f t="shared" si="26"/>
        <v>0</v>
      </c>
      <c r="AN31" s="136">
        <v>0</v>
      </c>
      <c r="AO31" s="181">
        <f t="shared" si="27"/>
        <v>0</v>
      </c>
      <c r="AP31" s="136">
        <v>0</v>
      </c>
      <c r="AQ31" s="181">
        <f t="shared" si="28"/>
        <v>0</v>
      </c>
      <c r="AR31" s="136">
        <v>0</v>
      </c>
      <c r="AS31" s="181">
        <f t="shared" si="29"/>
        <v>0</v>
      </c>
      <c r="AT31" s="136">
        <v>0</v>
      </c>
      <c r="AU31" s="181">
        <f t="shared" si="30"/>
        <v>0</v>
      </c>
      <c r="AV31" s="136">
        <v>0</v>
      </c>
      <c r="AW31" s="181">
        <f t="shared" si="31"/>
        <v>0</v>
      </c>
      <c r="AX31" s="136">
        <v>0</v>
      </c>
      <c r="AY31" s="181">
        <f t="shared" si="32"/>
        <v>0</v>
      </c>
      <c r="AZ31" s="136">
        <v>0</v>
      </c>
      <c r="BA31" s="181">
        <f t="shared" si="33"/>
        <v>0</v>
      </c>
      <c r="BB31" s="136">
        <v>0</v>
      </c>
      <c r="BC31" s="181">
        <f t="shared" si="34"/>
        <v>0</v>
      </c>
      <c r="BD31" s="136">
        <v>0</v>
      </c>
      <c r="BE31" s="181">
        <f t="shared" si="35"/>
        <v>0</v>
      </c>
      <c r="BF31" s="136">
        <v>0</v>
      </c>
      <c r="BG31" s="181">
        <f t="shared" si="36"/>
        <v>0</v>
      </c>
      <c r="BH31" s="136"/>
      <c r="BI31" s="181">
        <f t="shared" si="37"/>
        <v>0</v>
      </c>
      <c r="BJ31" s="136">
        <f t="shared" si="48"/>
        <v>0</v>
      </c>
      <c r="BK31" s="331">
        <f>AA31+AC31+AE31+AG31+AI31+AK31+AM31+AO31+AQ31+AS31+AU31+AW31+AY31+BA31+BC31+BE31+BG31+BI31</f>
        <v>0</v>
      </c>
      <c r="BL31" s="307"/>
      <c r="BN31" s="178"/>
      <c r="BO31" s="178"/>
      <c r="BP31" s="389">
        <f t="shared" si="49"/>
        <v>0</v>
      </c>
      <c r="BQ31" s="178"/>
      <c r="BR31" s="178">
        <f t="shared" si="59"/>
        <v>0</v>
      </c>
      <c r="BS31" s="178"/>
      <c r="BT31" s="178"/>
      <c r="BU31" s="166"/>
      <c r="BV31" s="191"/>
    </row>
    <row r="32" spans="1:74" s="165" customFormat="1" x14ac:dyDescent="0.25">
      <c r="A32" s="989"/>
      <c r="B32" s="171">
        <v>41212</v>
      </c>
      <c r="C32" s="38" t="s">
        <v>728</v>
      </c>
      <c r="D32" s="171" t="s">
        <v>241</v>
      </c>
      <c r="E32" s="180">
        <v>30000</v>
      </c>
      <c r="F32" s="136">
        <f t="shared" si="61"/>
        <v>1</v>
      </c>
      <c r="G32" s="134">
        <f t="shared" si="41"/>
        <v>30000</v>
      </c>
      <c r="H32" s="134">
        <f t="shared" si="50"/>
        <v>6000</v>
      </c>
      <c r="I32" s="134">
        <f t="shared" si="51"/>
        <v>24000</v>
      </c>
      <c r="J32" s="134">
        <f t="shared" si="42"/>
        <v>0</v>
      </c>
      <c r="K32" s="134">
        <f t="shared" si="43"/>
        <v>0</v>
      </c>
      <c r="L32" s="134">
        <f t="shared" si="52"/>
        <v>0</v>
      </c>
      <c r="M32" s="134">
        <f t="shared" si="44"/>
        <v>0</v>
      </c>
      <c r="N32" s="134">
        <f t="shared" si="45"/>
        <v>0</v>
      </c>
      <c r="O32" s="134">
        <f t="shared" si="46"/>
        <v>0</v>
      </c>
      <c r="P32" s="134">
        <f t="shared" si="47"/>
        <v>0</v>
      </c>
      <c r="Q32" s="134">
        <f t="shared" si="53"/>
        <v>0</v>
      </c>
      <c r="R32" s="136"/>
      <c r="S32" s="136">
        <f t="shared" si="54"/>
        <v>1</v>
      </c>
      <c r="T32" s="136"/>
      <c r="U32" s="136"/>
      <c r="V32" s="376">
        <f t="shared" si="55"/>
        <v>0</v>
      </c>
      <c r="W32" s="376">
        <f t="shared" si="56"/>
        <v>30000</v>
      </c>
      <c r="X32" s="376">
        <f t="shared" si="57"/>
        <v>0</v>
      </c>
      <c r="Y32" s="376">
        <f t="shared" si="58"/>
        <v>0</v>
      </c>
      <c r="Z32" s="136">
        <v>0</v>
      </c>
      <c r="AA32" s="181">
        <f t="shared" si="20"/>
        <v>0</v>
      </c>
      <c r="AB32" s="136">
        <v>0</v>
      </c>
      <c r="AC32" s="181">
        <f t="shared" si="21"/>
        <v>0</v>
      </c>
      <c r="AD32" s="136">
        <v>0</v>
      </c>
      <c r="AE32" s="181">
        <f t="shared" si="22"/>
        <v>0</v>
      </c>
      <c r="AF32" s="136">
        <v>0</v>
      </c>
      <c r="AG32" s="181">
        <f t="shared" si="23"/>
        <v>0</v>
      </c>
      <c r="AH32" s="136">
        <v>1</v>
      </c>
      <c r="AI32" s="721">
        <f t="shared" si="24"/>
        <v>30000</v>
      </c>
      <c r="AJ32" s="136">
        <v>0</v>
      </c>
      <c r="AK32" s="181">
        <f t="shared" si="25"/>
        <v>0</v>
      </c>
      <c r="AL32" s="136">
        <v>0</v>
      </c>
      <c r="AM32" s="181">
        <f t="shared" si="26"/>
        <v>0</v>
      </c>
      <c r="AN32" s="136">
        <v>0</v>
      </c>
      <c r="AO32" s="181">
        <f t="shared" si="27"/>
        <v>0</v>
      </c>
      <c r="AP32" s="136">
        <v>0</v>
      </c>
      <c r="AQ32" s="181">
        <f t="shared" si="28"/>
        <v>0</v>
      </c>
      <c r="AR32" s="136">
        <v>0</v>
      </c>
      <c r="AS32" s="181">
        <f t="shared" si="29"/>
        <v>0</v>
      </c>
      <c r="AT32" s="136">
        <v>0</v>
      </c>
      <c r="AU32" s="181">
        <f t="shared" si="30"/>
        <v>0</v>
      </c>
      <c r="AV32" s="136">
        <v>0</v>
      </c>
      <c r="AW32" s="181">
        <f t="shared" si="31"/>
        <v>0</v>
      </c>
      <c r="AX32" s="136">
        <v>0</v>
      </c>
      <c r="AY32" s="181">
        <f t="shared" si="32"/>
        <v>0</v>
      </c>
      <c r="AZ32" s="136">
        <v>0</v>
      </c>
      <c r="BA32" s="181">
        <f t="shared" si="33"/>
        <v>0</v>
      </c>
      <c r="BB32" s="136">
        <v>0</v>
      </c>
      <c r="BC32" s="181">
        <f t="shared" si="34"/>
        <v>0</v>
      </c>
      <c r="BD32" s="136">
        <v>0</v>
      </c>
      <c r="BE32" s="181">
        <f t="shared" si="35"/>
        <v>0</v>
      </c>
      <c r="BF32" s="136">
        <v>0</v>
      </c>
      <c r="BG32" s="181">
        <f t="shared" si="36"/>
        <v>0</v>
      </c>
      <c r="BH32" s="136">
        <v>0</v>
      </c>
      <c r="BI32" s="181">
        <f t="shared" si="37"/>
        <v>0</v>
      </c>
      <c r="BJ32" s="136">
        <f t="shared" si="48"/>
        <v>1</v>
      </c>
      <c r="BK32" s="331">
        <f t="shared" si="48"/>
        <v>30000</v>
      </c>
      <c r="BL32" s="307" t="s">
        <v>469</v>
      </c>
      <c r="BN32" s="178"/>
      <c r="BO32" s="178"/>
      <c r="BP32" s="389">
        <f t="shared" si="49"/>
        <v>30000</v>
      </c>
      <c r="BQ32" s="178"/>
      <c r="BR32" s="178">
        <f t="shared" si="59"/>
        <v>30000</v>
      </c>
      <c r="BS32" s="178"/>
      <c r="BT32" s="178"/>
      <c r="BU32" s="166">
        <f t="shared" si="60"/>
        <v>0</v>
      </c>
      <c r="BV32" s="191">
        <f t="shared" si="0"/>
        <v>30000</v>
      </c>
    </row>
    <row r="33" spans="1:74" s="165" customFormat="1" x14ac:dyDescent="0.25">
      <c r="A33" s="989"/>
      <c r="B33" s="171"/>
      <c r="C33" s="38" t="s">
        <v>737</v>
      </c>
      <c r="D33" s="171" t="s">
        <v>241</v>
      </c>
      <c r="E33" s="180">
        <v>20000</v>
      </c>
      <c r="F33" s="136">
        <v>0</v>
      </c>
      <c r="G33" s="134">
        <f t="shared" si="41"/>
        <v>0</v>
      </c>
      <c r="H33" s="134">
        <f t="shared" si="50"/>
        <v>0</v>
      </c>
      <c r="I33" s="134">
        <f t="shared" si="51"/>
        <v>0</v>
      </c>
      <c r="J33" s="134">
        <f>G33*0</f>
        <v>0</v>
      </c>
      <c r="K33" s="134">
        <f>G33*0</f>
        <v>0</v>
      </c>
      <c r="L33" s="134">
        <f>G33*0</f>
        <v>0</v>
      </c>
      <c r="M33" s="134">
        <f>G33*0</f>
        <v>0</v>
      </c>
      <c r="N33" s="134">
        <f>G33*0</f>
        <v>0</v>
      </c>
      <c r="O33" s="134">
        <f>G33*0</f>
        <v>0</v>
      </c>
      <c r="P33" s="134">
        <f>G33*0</f>
        <v>0</v>
      </c>
      <c r="Q33" s="134">
        <f>G33*0</f>
        <v>0</v>
      </c>
      <c r="R33" s="136"/>
      <c r="S33" s="136">
        <v>0</v>
      </c>
      <c r="T33" s="136"/>
      <c r="U33" s="136"/>
      <c r="V33" s="376">
        <f t="shared" si="55"/>
        <v>0</v>
      </c>
      <c r="W33" s="376">
        <f t="shared" si="56"/>
        <v>0</v>
      </c>
      <c r="X33" s="376">
        <f t="shared" si="57"/>
        <v>0</v>
      </c>
      <c r="Y33" s="376">
        <f t="shared" si="58"/>
        <v>0</v>
      </c>
      <c r="Z33" s="136">
        <v>0</v>
      </c>
      <c r="AA33" s="181">
        <f t="shared" si="20"/>
        <v>0</v>
      </c>
      <c r="AB33" s="136">
        <v>0</v>
      </c>
      <c r="AC33" s="181">
        <f t="shared" si="21"/>
        <v>0</v>
      </c>
      <c r="AD33" s="136">
        <v>0</v>
      </c>
      <c r="AE33" s="181">
        <f t="shared" si="22"/>
        <v>0</v>
      </c>
      <c r="AF33" s="136">
        <v>0</v>
      </c>
      <c r="AG33" s="181">
        <f t="shared" si="23"/>
        <v>0</v>
      </c>
      <c r="AH33" s="136">
        <v>0</v>
      </c>
      <c r="AI33" s="181">
        <f t="shared" si="24"/>
        <v>0</v>
      </c>
      <c r="AJ33" s="136">
        <v>0</v>
      </c>
      <c r="AK33" s="181">
        <f t="shared" si="25"/>
        <v>0</v>
      </c>
      <c r="AL33" s="136">
        <v>0</v>
      </c>
      <c r="AM33" s="181">
        <f t="shared" si="26"/>
        <v>0</v>
      </c>
      <c r="AN33" s="136">
        <v>0</v>
      </c>
      <c r="AO33" s="181">
        <f t="shared" si="27"/>
        <v>0</v>
      </c>
      <c r="AP33" s="136">
        <v>0</v>
      </c>
      <c r="AQ33" s="181">
        <f t="shared" si="28"/>
        <v>0</v>
      </c>
      <c r="AR33" s="136">
        <v>0</v>
      </c>
      <c r="AS33" s="181">
        <f t="shared" si="29"/>
        <v>0</v>
      </c>
      <c r="AT33" s="136">
        <v>0</v>
      </c>
      <c r="AU33" s="181">
        <f t="shared" si="30"/>
        <v>0</v>
      </c>
      <c r="AV33" s="136">
        <v>0</v>
      </c>
      <c r="AW33" s="181">
        <f t="shared" si="31"/>
        <v>0</v>
      </c>
      <c r="AX33" s="136">
        <v>0</v>
      </c>
      <c r="AY33" s="181">
        <f t="shared" si="32"/>
        <v>0</v>
      </c>
      <c r="AZ33" s="136">
        <v>0</v>
      </c>
      <c r="BA33" s="181">
        <f t="shared" si="33"/>
        <v>0</v>
      </c>
      <c r="BB33" s="136">
        <v>0</v>
      </c>
      <c r="BC33" s="181">
        <f t="shared" si="34"/>
        <v>0</v>
      </c>
      <c r="BD33" s="136">
        <v>0</v>
      </c>
      <c r="BE33" s="181">
        <f t="shared" si="35"/>
        <v>0</v>
      </c>
      <c r="BF33" s="136">
        <v>0</v>
      </c>
      <c r="BG33" s="181">
        <f t="shared" si="36"/>
        <v>0</v>
      </c>
      <c r="BH33" s="136"/>
      <c r="BI33" s="181">
        <f t="shared" si="37"/>
        <v>0</v>
      </c>
      <c r="BJ33" s="136">
        <f t="shared" si="48"/>
        <v>0</v>
      </c>
      <c r="BK33" s="331">
        <f t="shared" si="48"/>
        <v>0</v>
      </c>
      <c r="BL33" s="307" t="s">
        <v>469</v>
      </c>
      <c r="BN33" s="178"/>
      <c r="BO33" s="178"/>
      <c r="BP33" s="389">
        <f t="shared" si="49"/>
        <v>0</v>
      </c>
      <c r="BQ33" s="178"/>
      <c r="BR33" s="178">
        <f t="shared" si="59"/>
        <v>0</v>
      </c>
      <c r="BS33" s="178"/>
      <c r="BT33" s="178"/>
      <c r="BU33" s="166"/>
      <c r="BV33" s="191"/>
    </row>
    <row r="34" spans="1:74" x14ac:dyDescent="0.25">
      <c r="A34" s="989"/>
      <c r="B34" s="38">
        <v>41213</v>
      </c>
      <c r="C34" s="38" t="s">
        <v>259</v>
      </c>
      <c r="D34" s="38" t="s">
        <v>209</v>
      </c>
      <c r="E34" s="375">
        <f>0.2*100000</f>
        <v>20000</v>
      </c>
      <c r="F34" s="47">
        <f t="shared" si="61"/>
        <v>0</v>
      </c>
      <c r="G34" s="85">
        <f t="shared" si="41"/>
        <v>0</v>
      </c>
      <c r="H34" s="85">
        <f t="shared" si="50"/>
        <v>0</v>
      </c>
      <c r="I34" s="85">
        <f t="shared" si="51"/>
        <v>0</v>
      </c>
      <c r="J34" s="85">
        <f t="shared" si="42"/>
        <v>0</v>
      </c>
      <c r="K34" s="85">
        <f t="shared" si="43"/>
        <v>0</v>
      </c>
      <c r="L34" s="85">
        <f t="shared" si="52"/>
        <v>0</v>
      </c>
      <c r="M34" s="85">
        <f t="shared" si="44"/>
        <v>0</v>
      </c>
      <c r="N34" s="85">
        <f t="shared" si="45"/>
        <v>0</v>
      </c>
      <c r="O34" s="85">
        <f t="shared" si="46"/>
        <v>0</v>
      </c>
      <c r="P34" s="85">
        <f t="shared" si="47"/>
        <v>0</v>
      </c>
      <c r="Q34" s="85">
        <f t="shared" si="53"/>
        <v>0</v>
      </c>
      <c r="R34" s="47"/>
      <c r="S34" s="47">
        <f t="shared" si="54"/>
        <v>0</v>
      </c>
      <c r="T34" s="47"/>
      <c r="U34" s="47"/>
      <c r="V34" s="376">
        <f t="shared" si="55"/>
        <v>0</v>
      </c>
      <c r="W34" s="376">
        <f t="shared" si="56"/>
        <v>0</v>
      </c>
      <c r="X34" s="376">
        <f t="shared" si="57"/>
        <v>0</v>
      </c>
      <c r="Y34" s="376">
        <f t="shared" si="58"/>
        <v>0</v>
      </c>
      <c r="Z34" s="47">
        <v>0</v>
      </c>
      <c r="AA34" s="181">
        <f t="shared" si="20"/>
        <v>0</v>
      </c>
      <c r="AB34" s="47">
        <v>0</v>
      </c>
      <c r="AC34" s="181">
        <f t="shared" si="21"/>
        <v>0</v>
      </c>
      <c r="AD34" s="47">
        <v>0</v>
      </c>
      <c r="AE34" s="181">
        <f t="shared" si="22"/>
        <v>0</v>
      </c>
      <c r="AF34" s="47">
        <v>0</v>
      </c>
      <c r="AG34" s="181">
        <f t="shared" si="23"/>
        <v>0</v>
      </c>
      <c r="AH34" s="47">
        <v>0</v>
      </c>
      <c r="AI34" s="181">
        <f t="shared" si="24"/>
        <v>0</v>
      </c>
      <c r="AJ34" s="47">
        <v>0</v>
      </c>
      <c r="AK34" s="181">
        <f t="shared" si="25"/>
        <v>0</v>
      </c>
      <c r="AL34" s="47">
        <v>0</v>
      </c>
      <c r="AM34" s="181">
        <f t="shared" si="26"/>
        <v>0</v>
      </c>
      <c r="AN34" s="47">
        <v>0</v>
      </c>
      <c r="AO34" s="181">
        <f t="shared" si="27"/>
        <v>0</v>
      </c>
      <c r="AP34" s="47">
        <v>0</v>
      </c>
      <c r="AQ34" s="181">
        <f t="shared" si="28"/>
        <v>0</v>
      </c>
      <c r="AR34" s="47">
        <v>0</v>
      </c>
      <c r="AS34" s="181">
        <f t="shared" si="29"/>
        <v>0</v>
      </c>
      <c r="AT34" s="47">
        <v>0</v>
      </c>
      <c r="AU34" s="181">
        <f t="shared" si="30"/>
        <v>0</v>
      </c>
      <c r="AV34" s="47">
        <v>0</v>
      </c>
      <c r="AW34" s="181">
        <f t="shared" si="31"/>
        <v>0</v>
      </c>
      <c r="AX34" s="47">
        <v>0</v>
      </c>
      <c r="AY34" s="181">
        <f t="shared" si="32"/>
        <v>0</v>
      </c>
      <c r="AZ34" s="47">
        <v>0</v>
      </c>
      <c r="BA34" s="181">
        <f t="shared" si="33"/>
        <v>0</v>
      </c>
      <c r="BB34" s="47">
        <v>0</v>
      </c>
      <c r="BC34" s="181">
        <f t="shared" si="34"/>
        <v>0</v>
      </c>
      <c r="BD34" s="47">
        <v>0</v>
      </c>
      <c r="BE34" s="181">
        <f t="shared" si="35"/>
        <v>0</v>
      </c>
      <c r="BF34" s="47">
        <v>0</v>
      </c>
      <c r="BG34" s="181">
        <f t="shared" si="36"/>
        <v>0</v>
      </c>
      <c r="BH34" s="47">
        <v>0</v>
      </c>
      <c r="BI34" s="181">
        <f t="shared" si="37"/>
        <v>0</v>
      </c>
      <c r="BJ34" s="47">
        <f t="shared" si="48"/>
        <v>0</v>
      </c>
      <c r="BK34" s="117">
        <f t="shared" si="48"/>
        <v>0</v>
      </c>
      <c r="BL34" s="302" t="s">
        <v>469</v>
      </c>
      <c r="BN34" s="113"/>
      <c r="BO34" s="113"/>
      <c r="BP34" s="263">
        <f t="shared" si="49"/>
        <v>0</v>
      </c>
      <c r="BQ34" s="113"/>
      <c r="BR34" s="113">
        <f t="shared" si="59"/>
        <v>0</v>
      </c>
      <c r="BS34" s="113"/>
      <c r="BT34" s="113"/>
      <c r="BU34" s="125">
        <f t="shared" si="60"/>
        <v>0</v>
      </c>
      <c r="BV34" s="181">
        <f t="shared" si="0"/>
        <v>0</v>
      </c>
    </row>
    <row r="35" spans="1:74" x14ac:dyDescent="0.25">
      <c r="A35" s="989"/>
      <c r="B35" s="38">
        <v>41214</v>
      </c>
      <c r="C35" s="38" t="s">
        <v>260</v>
      </c>
      <c r="D35" s="38" t="s">
        <v>209</v>
      </c>
      <c r="E35" s="375">
        <f>0.15*100000</f>
        <v>15000</v>
      </c>
      <c r="F35" s="47">
        <f t="shared" si="61"/>
        <v>0</v>
      </c>
      <c r="G35" s="85">
        <f t="shared" si="41"/>
        <v>0</v>
      </c>
      <c r="H35" s="85">
        <f t="shared" si="50"/>
        <v>0</v>
      </c>
      <c r="I35" s="85">
        <f t="shared" si="51"/>
        <v>0</v>
      </c>
      <c r="J35" s="85">
        <f t="shared" si="42"/>
        <v>0</v>
      </c>
      <c r="K35" s="85">
        <f t="shared" si="43"/>
        <v>0</v>
      </c>
      <c r="L35" s="85">
        <f t="shared" si="52"/>
        <v>0</v>
      </c>
      <c r="M35" s="85">
        <f t="shared" si="44"/>
        <v>0</v>
      </c>
      <c r="N35" s="85">
        <f t="shared" si="45"/>
        <v>0</v>
      </c>
      <c r="O35" s="85">
        <f t="shared" si="46"/>
        <v>0</v>
      </c>
      <c r="P35" s="85">
        <f t="shared" si="47"/>
        <v>0</v>
      </c>
      <c r="Q35" s="85">
        <f t="shared" si="53"/>
        <v>0</v>
      </c>
      <c r="R35" s="47"/>
      <c r="S35" s="47">
        <f t="shared" si="54"/>
        <v>0</v>
      </c>
      <c r="T35" s="47"/>
      <c r="U35" s="47"/>
      <c r="V35" s="376">
        <f t="shared" si="55"/>
        <v>0</v>
      </c>
      <c r="W35" s="376">
        <f t="shared" si="56"/>
        <v>0</v>
      </c>
      <c r="X35" s="376">
        <f t="shared" si="57"/>
        <v>0</v>
      </c>
      <c r="Y35" s="376">
        <f t="shared" si="58"/>
        <v>0</v>
      </c>
      <c r="Z35" s="47">
        <v>0</v>
      </c>
      <c r="AA35" s="181">
        <f t="shared" si="20"/>
        <v>0</v>
      </c>
      <c r="AB35" s="47">
        <v>0</v>
      </c>
      <c r="AC35" s="181">
        <f t="shared" si="21"/>
        <v>0</v>
      </c>
      <c r="AD35" s="47">
        <v>0</v>
      </c>
      <c r="AE35" s="181">
        <f t="shared" si="22"/>
        <v>0</v>
      </c>
      <c r="AF35" s="47">
        <v>0</v>
      </c>
      <c r="AG35" s="181">
        <f t="shared" si="23"/>
        <v>0</v>
      </c>
      <c r="AH35" s="47">
        <v>0</v>
      </c>
      <c r="AI35" s="181">
        <f t="shared" si="24"/>
        <v>0</v>
      </c>
      <c r="AJ35" s="47">
        <v>0</v>
      </c>
      <c r="AK35" s="181">
        <f t="shared" si="25"/>
        <v>0</v>
      </c>
      <c r="AL35" s="47">
        <v>0</v>
      </c>
      <c r="AM35" s="181">
        <f t="shared" si="26"/>
        <v>0</v>
      </c>
      <c r="AN35" s="47">
        <v>0</v>
      </c>
      <c r="AO35" s="181">
        <f t="shared" si="27"/>
        <v>0</v>
      </c>
      <c r="AP35" s="47">
        <v>0</v>
      </c>
      <c r="AQ35" s="181">
        <f t="shared" si="28"/>
        <v>0</v>
      </c>
      <c r="AR35" s="47">
        <v>0</v>
      </c>
      <c r="AS35" s="181">
        <f t="shared" si="29"/>
        <v>0</v>
      </c>
      <c r="AT35" s="47">
        <v>0</v>
      </c>
      <c r="AU35" s="181">
        <f t="shared" si="30"/>
        <v>0</v>
      </c>
      <c r="AV35" s="47">
        <v>0</v>
      </c>
      <c r="AW35" s="181">
        <f t="shared" si="31"/>
        <v>0</v>
      </c>
      <c r="AX35" s="47">
        <v>0</v>
      </c>
      <c r="AY35" s="181">
        <f t="shared" si="32"/>
        <v>0</v>
      </c>
      <c r="AZ35" s="47">
        <v>0</v>
      </c>
      <c r="BA35" s="181">
        <f t="shared" si="33"/>
        <v>0</v>
      </c>
      <c r="BB35" s="47">
        <v>0</v>
      </c>
      <c r="BC35" s="181">
        <f t="shared" si="34"/>
        <v>0</v>
      </c>
      <c r="BD35" s="47">
        <v>0</v>
      </c>
      <c r="BE35" s="181">
        <f t="shared" si="35"/>
        <v>0</v>
      </c>
      <c r="BF35" s="47">
        <v>0</v>
      </c>
      <c r="BG35" s="181">
        <f t="shared" si="36"/>
        <v>0</v>
      </c>
      <c r="BH35" s="47">
        <v>0</v>
      </c>
      <c r="BI35" s="181">
        <f t="shared" si="37"/>
        <v>0</v>
      </c>
      <c r="BJ35" s="47">
        <f t="shared" si="48"/>
        <v>0</v>
      </c>
      <c r="BK35" s="117">
        <f t="shared" si="48"/>
        <v>0</v>
      </c>
      <c r="BL35" s="302" t="s">
        <v>469</v>
      </c>
      <c r="BN35" s="113"/>
      <c r="BO35" s="113"/>
      <c r="BP35" s="263">
        <f t="shared" si="49"/>
        <v>0</v>
      </c>
      <c r="BQ35" s="113"/>
      <c r="BR35" s="113">
        <f t="shared" si="59"/>
        <v>0</v>
      </c>
      <c r="BS35" s="113"/>
      <c r="BT35" s="113"/>
      <c r="BU35" s="125">
        <f t="shared" si="60"/>
        <v>0</v>
      </c>
      <c r="BV35" s="181">
        <f t="shared" si="0"/>
        <v>0</v>
      </c>
    </row>
    <row r="36" spans="1:74" s="67" customFormat="1" ht="31.5" x14ac:dyDescent="0.25">
      <c r="A36" s="989"/>
      <c r="B36" s="38">
        <v>41215</v>
      </c>
      <c r="C36" s="38" t="s">
        <v>261</v>
      </c>
      <c r="D36" s="38" t="s">
        <v>241</v>
      </c>
      <c r="E36" s="375">
        <f>3*100000</f>
        <v>300000</v>
      </c>
      <c r="F36" s="47">
        <v>0</v>
      </c>
      <c r="G36" s="85">
        <f t="shared" si="41"/>
        <v>0</v>
      </c>
      <c r="H36" s="85">
        <f t="shared" si="50"/>
        <v>0</v>
      </c>
      <c r="I36" s="85">
        <f t="shared" si="51"/>
        <v>0</v>
      </c>
      <c r="J36" s="85">
        <f t="shared" si="42"/>
        <v>0</v>
      </c>
      <c r="K36" s="85">
        <f t="shared" si="43"/>
        <v>0</v>
      </c>
      <c r="L36" s="85">
        <f t="shared" si="52"/>
        <v>0</v>
      </c>
      <c r="M36" s="85">
        <f t="shared" si="44"/>
        <v>0</v>
      </c>
      <c r="N36" s="85">
        <f t="shared" si="45"/>
        <v>0</v>
      </c>
      <c r="O36" s="85">
        <f t="shared" si="46"/>
        <v>0</v>
      </c>
      <c r="P36" s="85">
        <f t="shared" si="47"/>
        <v>0</v>
      </c>
      <c r="Q36" s="85">
        <f t="shared" si="53"/>
        <v>0</v>
      </c>
      <c r="R36" s="47"/>
      <c r="S36" s="47">
        <f t="shared" si="54"/>
        <v>0</v>
      </c>
      <c r="T36" s="47"/>
      <c r="U36" s="47"/>
      <c r="V36" s="376">
        <f t="shared" si="55"/>
        <v>0</v>
      </c>
      <c r="W36" s="376">
        <f t="shared" si="56"/>
        <v>0</v>
      </c>
      <c r="X36" s="376">
        <f t="shared" si="57"/>
        <v>0</v>
      </c>
      <c r="Y36" s="376">
        <f t="shared" si="58"/>
        <v>0</v>
      </c>
      <c r="Z36" s="47">
        <v>0</v>
      </c>
      <c r="AA36" s="181">
        <f t="shared" si="20"/>
        <v>0</v>
      </c>
      <c r="AB36" s="47">
        <v>0</v>
      </c>
      <c r="AC36" s="181">
        <f t="shared" si="21"/>
        <v>0</v>
      </c>
      <c r="AD36" s="47">
        <v>0</v>
      </c>
      <c r="AE36" s="181">
        <f t="shared" si="22"/>
        <v>0</v>
      </c>
      <c r="AF36" s="47">
        <v>0</v>
      </c>
      <c r="AG36" s="181">
        <f t="shared" si="23"/>
        <v>0</v>
      </c>
      <c r="AH36" s="47">
        <v>0</v>
      </c>
      <c r="AI36" s="181">
        <f t="shared" si="24"/>
        <v>0</v>
      </c>
      <c r="AJ36" s="47">
        <v>0</v>
      </c>
      <c r="AK36" s="181">
        <f t="shared" si="25"/>
        <v>0</v>
      </c>
      <c r="AL36" s="47">
        <v>0</v>
      </c>
      <c r="AM36" s="181">
        <f t="shared" si="26"/>
        <v>0</v>
      </c>
      <c r="AN36" s="47">
        <v>0</v>
      </c>
      <c r="AO36" s="181">
        <f t="shared" si="27"/>
        <v>0</v>
      </c>
      <c r="AP36" s="47">
        <v>0</v>
      </c>
      <c r="AQ36" s="181">
        <f t="shared" si="28"/>
        <v>0</v>
      </c>
      <c r="AR36" s="47">
        <v>0</v>
      </c>
      <c r="AS36" s="181">
        <f t="shared" si="29"/>
        <v>0</v>
      </c>
      <c r="AT36" s="47">
        <v>0</v>
      </c>
      <c r="AU36" s="181">
        <f t="shared" si="30"/>
        <v>0</v>
      </c>
      <c r="AV36" s="47">
        <v>0</v>
      </c>
      <c r="AW36" s="181">
        <f t="shared" si="31"/>
        <v>0</v>
      </c>
      <c r="AX36" s="47">
        <v>0</v>
      </c>
      <c r="AY36" s="181">
        <f t="shared" si="32"/>
        <v>0</v>
      </c>
      <c r="AZ36" s="47">
        <v>0</v>
      </c>
      <c r="BA36" s="181">
        <f t="shared" si="33"/>
        <v>0</v>
      </c>
      <c r="BB36" s="47">
        <v>0</v>
      </c>
      <c r="BC36" s="181">
        <f t="shared" si="34"/>
        <v>0</v>
      </c>
      <c r="BD36" s="47">
        <v>0</v>
      </c>
      <c r="BE36" s="181">
        <f t="shared" si="35"/>
        <v>0</v>
      </c>
      <c r="BF36" s="47">
        <v>0</v>
      </c>
      <c r="BG36" s="181">
        <f t="shared" si="36"/>
        <v>0</v>
      </c>
      <c r="BH36" s="47">
        <v>0</v>
      </c>
      <c r="BI36" s="181">
        <f t="shared" si="37"/>
        <v>0</v>
      </c>
      <c r="BJ36" s="47">
        <f t="shared" si="48"/>
        <v>0</v>
      </c>
      <c r="BK36" s="117">
        <f t="shared" si="48"/>
        <v>0</v>
      </c>
      <c r="BL36" s="302" t="s">
        <v>469</v>
      </c>
      <c r="BN36" s="263"/>
      <c r="BO36" s="263"/>
      <c r="BP36" s="263">
        <f>G36</f>
        <v>0</v>
      </c>
      <c r="BQ36" s="263"/>
      <c r="BR36" s="113">
        <f t="shared" si="59"/>
        <v>0</v>
      </c>
      <c r="BS36" s="263"/>
      <c r="BT36" s="263"/>
      <c r="BU36" s="125">
        <f t="shared" si="60"/>
        <v>0</v>
      </c>
      <c r="BV36" s="181">
        <f t="shared" si="0"/>
        <v>0</v>
      </c>
    </row>
    <row r="37" spans="1:74" s="165" customFormat="1" x14ac:dyDescent="0.25">
      <c r="A37" s="989"/>
      <c r="B37" s="171">
        <v>41216</v>
      </c>
      <c r="C37" s="38" t="s">
        <v>262</v>
      </c>
      <c r="D37" s="171" t="s">
        <v>209</v>
      </c>
      <c r="E37" s="180">
        <f>0.02*100000</f>
        <v>2000</v>
      </c>
      <c r="F37" s="136">
        <f t="shared" si="61"/>
        <v>0</v>
      </c>
      <c r="G37" s="134">
        <f t="shared" si="41"/>
        <v>0</v>
      </c>
      <c r="H37" s="134">
        <f t="shared" si="50"/>
        <v>0</v>
      </c>
      <c r="I37" s="134">
        <f t="shared" si="51"/>
        <v>0</v>
      </c>
      <c r="J37" s="134">
        <f t="shared" si="42"/>
        <v>0</v>
      </c>
      <c r="K37" s="134">
        <f t="shared" si="43"/>
        <v>0</v>
      </c>
      <c r="L37" s="134">
        <f t="shared" si="52"/>
        <v>0</v>
      </c>
      <c r="M37" s="134">
        <f t="shared" si="44"/>
        <v>0</v>
      </c>
      <c r="N37" s="134">
        <f t="shared" si="45"/>
        <v>0</v>
      </c>
      <c r="O37" s="134">
        <f t="shared" si="46"/>
        <v>0</v>
      </c>
      <c r="P37" s="134">
        <f t="shared" si="47"/>
        <v>0</v>
      </c>
      <c r="Q37" s="134">
        <f t="shared" si="53"/>
        <v>0</v>
      </c>
      <c r="R37" s="136"/>
      <c r="S37" s="136">
        <f t="shared" si="54"/>
        <v>0</v>
      </c>
      <c r="T37" s="136"/>
      <c r="U37" s="136"/>
      <c r="V37" s="376">
        <f t="shared" si="55"/>
        <v>0</v>
      </c>
      <c r="W37" s="376">
        <f t="shared" si="56"/>
        <v>0</v>
      </c>
      <c r="X37" s="376">
        <f t="shared" si="57"/>
        <v>0</v>
      </c>
      <c r="Y37" s="376">
        <f t="shared" si="58"/>
        <v>0</v>
      </c>
      <c r="Z37" s="136">
        <v>0</v>
      </c>
      <c r="AA37" s="181">
        <f t="shared" si="20"/>
        <v>0</v>
      </c>
      <c r="AB37" s="136">
        <v>0</v>
      </c>
      <c r="AC37" s="181">
        <f t="shared" si="21"/>
        <v>0</v>
      </c>
      <c r="AD37" s="136">
        <v>0</v>
      </c>
      <c r="AE37" s="181">
        <f t="shared" si="22"/>
        <v>0</v>
      </c>
      <c r="AF37" s="136">
        <v>0</v>
      </c>
      <c r="AG37" s="181">
        <f t="shared" si="23"/>
        <v>0</v>
      </c>
      <c r="AH37" s="136">
        <v>0</v>
      </c>
      <c r="AI37" s="181">
        <f t="shared" si="24"/>
        <v>0</v>
      </c>
      <c r="AJ37" s="136">
        <v>0</v>
      </c>
      <c r="AK37" s="181">
        <f t="shared" si="25"/>
        <v>0</v>
      </c>
      <c r="AL37" s="136">
        <v>0</v>
      </c>
      <c r="AM37" s="181">
        <f t="shared" si="26"/>
        <v>0</v>
      </c>
      <c r="AN37" s="136">
        <v>0</v>
      </c>
      <c r="AO37" s="181">
        <f t="shared" si="27"/>
        <v>0</v>
      </c>
      <c r="AP37" s="136">
        <v>0</v>
      </c>
      <c r="AQ37" s="181">
        <f t="shared" si="28"/>
        <v>0</v>
      </c>
      <c r="AR37" s="136">
        <v>0</v>
      </c>
      <c r="AS37" s="181">
        <f t="shared" si="29"/>
        <v>0</v>
      </c>
      <c r="AT37" s="136">
        <v>0</v>
      </c>
      <c r="AU37" s="181">
        <f t="shared" si="30"/>
        <v>0</v>
      </c>
      <c r="AV37" s="136">
        <v>0</v>
      </c>
      <c r="AW37" s="181">
        <f t="shared" si="31"/>
        <v>0</v>
      </c>
      <c r="AX37" s="136">
        <v>0</v>
      </c>
      <c r="AY37" s="181">
        <f t="shared" si="32"/>
        <v>0</v>
      </c>
      <c r="AZ37" s="136">
        <v>0</v>
      </c>
      <c r="BA37" s="181">
        <f t="shared" si="33"/>
        <v>0</v>
      </c>
      <c r="BB37" s="136">
        <v>0</v>
      </c>
      <c r="BC37" s="181">
        <f t="shared" si="34"/>
        <v>0</v>
      </c>
      <c r="BD37" s="136">
        <v>0</v>
      </c>
      <c r="BE37" s="181">
        <f t="shared" si="35"/>
        <v>0</v>
      </c>
      <c r="BF37" s="136">
        <v>0</v>
      </c>
      <c r="BG37" s="181">
        <f t="shared" si="36"/>
        <v>0</v>
      </c>
      <c r="BH37" s="136">
        <v>0</v>
      </c>
      <c r="BI37" s="181">
        <f t="shared" si="37"/>
        <v>0</v>
      </c>
      <c r="BJ37" s="136">
        <f t="shared" si="48"/>
        <v>0</v>
      </c>
      <c r="BK37" s="331">
        <f t="shared" si="48"/>
        <v>0</v>
      </c>
      <c r="BL37" s="307" t="s">
        <v>469</v>
      </c>
      <c r="BN37" s="178"/>
      <c r="BO37" s="178"/>
      <c r="BP37" s="389">
        <f t="shared" ref="BP37:BP45" si="62">G37</f>
        <v>0</v>
      </c>
      <c r="BQ37" s="178"/>
      <c r="BR37" s="178">
        <f t="shared" si="59"/>
        <v>0</v>
      </c>
      <c r="BS37" s="178"/>
      <c r="BT37" s="178"/>
      <c r="BU37" s="166">
        <f t="shared" si="60"/>
        <v>0</v>
      </c>
      <c r="BV37" s="191">
        <f t="shared" si="0"/>
        <v>0</v>
      </c>
    </row>
    <row r="38" spans="1:74" x14ac:dyDescent="0.25">
      <c r="A38" s="989"/>
      <c r="B38" s="38">
        <v>41217</v>
      </c>
      <c r="C38" s="38" t="s">
        <v>263</v>
      </c>
      <c r="D38" s="38" t="s">
        <v>209</v>
      </c>
      <c r="E38" s="375">
        <f>0.35*100000</f>
        <v>35000</v>
      </c>
      <c r="F38" s="47">
        <f t="shared" si="61"/>
        <v>0</v>
      </c>
      <c r="G38" s="85">
        <f t="shared" si="41"/>
        <v>0</v>
      </c>
      <c r="H38" s="85">
        <f t="shared" si="50"/>
        <v>0</v>
      </c>
      <c r="I38" s="85">
        <f t="shared" si="51"/>
        <v>0</v>
      </c>
      <c r="J38" s="85">
        <f t="shared" si="42"/>
        <v>0</v>
      </c>
      <c r="K38" s="85">
        <f t="shared" si="43"/>
        <v>0</v>
      </c>
      <c r="L38" s="85">
        <f t="shared" si="52"/>
        <v>0</v>
      </c>
      <c r="M38" s="85">
        <f t="shared" si="44"/>
        <v>0</v>
      </c>
      <c r="N38" s="85">
        <f t="shared" si="45"/>
        <v>0</v>
      </c>
      <c r="O38" s="85">
        <f t="shared" si="46"/>
        <v>0</v>
      </c>
      <c r="P38" s="85">
        <f t="shared" si="47"/>
        <v>0</v>
      </c>
      <c r="Q38" s="85">
        <f t="shared" si="53"/>
        <v>0</v>
      </c>
      <c r="R38" s="47"/>
      <c r="S38" s="47">
        <f t="shared" si="54"/>
        <v>0</v>
      </c>
      <c r="T38" s="47"/>
      <c r="U38" s="47"/>
      <c r="V38" s="376">
        <f t="shared" si="55"/>
        <v>0</v>
      </c>
      <c r="W38" s="376">
        <f t="shared" si="56"/>
        <v>0</v>
      </c>
      <c r="X38" s="376">
        <f t="shared" si="57"/>
        <v>0</v>
      </c>
      <c r="Y38" s="376">
        <f t="shared" si="58"/>
        <v>0</v>
      </c>
      <c r="Z38" s="47">
        <v>0</v>
      </c>
      <c r="AA38" s="181">
        <f t="shared" si="20"/>
        <v>0</v>
      </c>
      <c r="AB38" s="47">
        <v>0</v>
      </c>
      <c r="AC38" s="181">
        <f t="shared" si="21"/>
        <v>0</v>
      </c>
      <c r="AD38" s="47">
        <v>0</v>
      </c>
      <c r="AE38" s="181">
        <f t="shared" si="22"/>
        <v>0</v>
      </c>
      <c r="AF38" s="47">
        <v>0</v>
      </c>
      <c r="AG38" s="181">
        <f t="shared" si="23"/>
        <v>0</v>
      </c>
      <c r="AH38" s="47">
        <v>0</v>
      </c>
      <c r="AI38" s="181">
        <f t="shared" si="24"/>
        <v>0</v>
      </c>
      <c r="AJ38" s="47">
        <v>0</v>
      </c>
      <c r="AK38" s="181">
        <f t="shared" si="25"/>
        <v>0</v>
      </c>
      <c r="AL38" s="47">
        <v>0</v>
      </c>
      <c r="AM38" s="181">
        <f t="shared" si="26"/>
        <v>0</v>
      </c>
      <c r="AN38" s="47">
        <v>0</v>
      </c>
      <c r="AO38" s="181">
        <f t="shared" si="27"/>
        <v>0</v>
      </c>
      <c r="AP38" s="47">
        <v>0</v>
      </c>
      <c r="AQ38" s="181">
        <f t="shared" si="28"/>
        <v>0</v>
      </c>
      <c r="AR38" s="47">
        <v>0</v>
      </c>
      <c r="AS38" s="181">
        <f t="shared" si="29"/>
        <v>0</v>
      </c>
      <c r="AT38" s="47">
        <v>0</v>
      </c>
      <c r="AU38" s="181">
        <f t="shared" si="30"/>
        <v>0</v>
      </c>
      <c r="AV38" s="47">
        <v>0</v>
      </c>
      <c r="AW38" s="181">
        <f t="shared" si="31"/>
        <v>0</v>
      </c>
      <c r="AX38" s="47">
        <v>0</v>
      </c>
      <c r="AY38" s="181">
        <f t="shared" si="32"/>
        <v>0</v>
      </c>
      <c r="AZ38" s="47">
        <v>0</v>
      </c>
      <c r="BA38" s="181">
        <f t="shared" si="33"/>
        <v>0</v>
      </c>
      <c r="BB38" s="47">
        <v>0</v>
      </c>
      <c r="BC38" s="181">
        <f t="shared" si="34"/>
        <v>0</v>
      </c>
      <c r="BD38" s="47">
        <v>0</v>
      </c>
      <c r="BE38" s="181">
        <f t="shared" si="35"/>
        <v>0</v>
      </c>
      <c r="BF38" s="47">
        <v>0</v>
      </c>
      <c r="BG38" s="181">
        <f t="shared" si="36"/>
        <v>0</v>
      </c>
      <c r="BH38" s="47">
        <v>0</v>
      </c>
      <c r="BI38" s="181">
        <f t="shared" si="37"/>
        <v>0</v>
      </c>
      <c r="BJ38" s="47">
        <f t="shared" si="48"/>
        <v>0</v>
      </c>
      <c r="BK38" s="117">
        <f t="shared" si="48"/>
        <v>0</v>
      </c>
      <c r="BL38" s="302" t="s">
        <v>469</v>
      </c>
      <c r="BN38" s="113"/>
      <c r="BO38" s="113"/>
      <c r="BP38" s="263">
        <f t="shared" si="62"/>
        <v>0</v>
      </c>
      <c r="BQ38" s="113"/>
      <c r="BR38" s="113">
        <f t="shared" si="59"/>
        <v>0</v>
      </c>
      <c r="BS38" s="113"/>
      <c r="BT38" s="113"/>
      <c r="BU38" s="125">
        <f t="shared" si="60"/>
        <v>0</v>
      </c>
      <c r="BV38" s="181">
        <f t="shared" si="0"/>
        <v>0</v>
      </c>
    </row>
    <row r="39" spans="1:74" x14ac:dyDescent="0.25">
      <c r="A39" s="989"/>
      <c r="B39" s="38">
        <v>41218</v>
      </c>
      <c r="C39" s="38" t="s">
        <v>264</v>
      </c>
      <c r="D39" s="38" t="s">
        <v>209</v>
      </c>
      <c r="E39" s="375">
        <f>0.075*100000</f>
        <v>7500</v>
      </c>
      <c r="F39" s="47">
        <f t="shared" si="61"/>
        <v>0</v>
      </c>
      <c r="G39" s="85">
        <f t="shared" si="41"/>
        <v>0</v>
      </c>
      <c r="H39" s="85">
        <f t="shared" si="50"/>
        <v>0</v>
      </c>
      <c r="I39" s="85">
        <f t="shared" si="51"/>
        <v>0</v>
      </c>
      <c r="J39" s="85">
        <f t="shared" si="42"/>
        <v>0</v>
      </c>
      <c r="K39" s="85">
        <f t="shared" si="43"/>
        <v>0</v>
      </c>
      <c r="L39" s="85">
        <f t="shared" si="52"/>
        <v>0</v>
      </c>
      <c r="M39" s="85">
        <f t="shared" si="44"/>
        <v>0</v>
      </c>
      <c r="N39" s="85">
        <f t="shared" si="45"/>
        <v>0</v>
      </c>
      <c r="O39" s="85">
        <f t="shared" si="46"/>
        <v>0</v>
      </c>
      <c r="P39" s="85">
        <f t="shared" si="47"/>
        <v>0</v>
      </c>
      <c r="Q39" s="85">
        <f t="shared" si="53"/>
        <v>0</v>
      </c>
      <c r="R39" s="47"/>
      <c r="S39" s="47">
        <f t="shared" si="54"/>
        <v>0</v>
      </c>
      <c r="T39" s="47"/>
      <c r="U39" s="47"/>
      <c r="V39" s="376">
        <f t="shared" si="55"/>
        <v>0</v>
      </c>
      <c r="W39" s="376">
        <f t="shared" si="56"/>
        <v>0</v>
      </c>
      <c r="X39" s="376">
        <f t="shared" si="57"/>
        <v>0</v>
      </c>
      <c r="Y39" s="376">
        <f t="shared" si="58"/>
        <v>0</v>
      </c>
      <c r="Z39" s="47">
        <v>0</v>
      </c>
      <c r="AA39" s="181">
        <f t="shared" si="20"/>
        <v>0</v>
      </c>
      <c r="AB39" s="47">
        <v>0</v>
      </c>
      <c r="AC39" s="181">
        <f t="shared" si="21"/>
        <v>0</v>
      </c>
      <c r="AD39" s="47">
        <v>0</v>
      </c>
      <c r="AE39" s="181">
        <f t="shared" si="22"/>
        <v>0</v>
      </c>
      <c r="AF39" s="47">
        <v>0</v>
      </c>
      <c r="AG39" s="181">
        <f t="shared" si="23"/>
        <v>0</v>
      </c>
      <c r="AH39" s="47">
        <v>0</v>
      </c>
      <c r="AI39" s="181">
        <f t="shared" si="24"/>
        <v>0</v>
      </c>
      <c r="AJ39" s="47">
        <v>0</v>
      </c>
      <c r="AK39" s="181">
        <f t="shared" si="25"/>
        <v>0</v>
      </c>
      <c r="AL39" s="47">
        <v>0</v>
      </c>
      <c r="AM39" s="181">
        <f t="shared" si="26"/>
        <v>0</v>
      </c>
      <c r="AN39" s="47">
        <v>0</v>
      </c>
      <c r="AO39" s="181">
        <f t="shared" si="27"/>
        <v>0</v>
      </c>
      <c r="AP39" s="47">
        <v>0</v>
      </c>
      <c r="AQ39" s="181">
        <f t="shared" si="28"/>
        <v>0</v>
      </c>
      <c r="AR39" s="47">
        <v>0</v>
      </c>
      <c r="AS39" s="181">
        <f t="shared" si="29"/>
        <v>0</v>
      </c>
      <c r="AT39" s="47">
        <v>0</v>
      </c>
      <c r="AU39" s="181">
        <f t="shared" si="30"/>
        <v>0</v>
      </c>
      <c r="AV39" s="47">
        <v>0</v>
      </c>
      <c r="AW39" s="181">
        <f t="shared" si="31"/>
        <v>0</v>
      </c>
      <c r="AX39" s="47">
        <v>0</v>
      </c>
      <c r="AY39" s="181">
        <f t="shared" si="32"/>
        <v>0</v>
      </c>
      <c r="AZ39" s="47">
        <v>0</v>
      </c>
      <c r="BA39" s="181">
        <f t="shared" si="33"/>
        <v>0</v>
      </c>
      <c r="BB39" s="47">
        <v>0</v>
      </c>
      <c r="BC39" s="181">
        <f t="shared" si="34"/>
        <v>0</v>
      </c>
      <c r="BD39" s="47">
        <v>0</v>
      </c>
      <c r="BE39" s="181">
        <f t="shared" si="35"/>
        <v>0</v>
      </c>
      <c r="BF39" s="47">
        <v>0</v>
      </c>
      <c r="BG39" s="181">
        <f t="shared" si="36"/>
        <v>0</v>
      </c>
      <c r="BH39" s="47">
        <v>0</v>
      </c>
      <c r="BI39" s="181">
        <f t="shared" si="37"/>
        <v>0</v>
      </c>
      <c r="BJ39" s="47">
        <f t="shared" si="48"/>
        <v>0</v>
      </c>
      <c r="BK39" s="117">
        <f t="shared" si="48"/>
        <v>0</v>
      </c>
      <c r="BL39" s="302" t="s">
        <v>469</v>
      </c>
      <c r="BN39" s="113"/>
      <c r="BO39" s="113"/>
      <c r="BP39" s="263">
        <f t="shared" si="62"/>
        <v>0</v>
      </c>
      <c r="BQ39" s="113"/>
      <c r="BR39" s="113">
        <f t="shared" si="59"/>
        <v>0</v>
      </c>
      <c r="BS39" s="113"/>
      <c r="BT39" s="113"/>
      <c r="BU39" s="125">
        <f t="shared" si="60"/>
        <v>0</v>
      </c>
      <c r="BV39" s="181">
        <f t="shared" si="0"/>
        <v>0</v>
      </c>
    </row>
    <row r="40" spans="1:74" x14ac:dyDescent="0.25">
      <c r="A40" s="989"/>
      <c r="B40" s="38">
        <v>41219</v>
      </c>
      <c r="C40" s="38" t="s">
        <v>265</v>
      </c>
      <c r="D40" s="38" t="s">
        <v>209</v>
      </c>
      <c r="E40" s="375">
        <f>0.1*100000</f>
        <v>10000</v>
      </c>
      <c r="F40" s="47">
        <f t="shared" si="61"/>
        <v>0</v>
      </c>
      <c r="G40" s="85">
        <f t="shared" si="41"/>
        <v>0</v>
      </c>
      <c r="H40" s="85">
        <f t="shared" si="50"/>
        <v>0</v>
      </c>
      <c r="I40" s="85">
        <f t="shared" si="51"/>
        <v>0</v>
      </c>
      <c r="J40" s="85">
        <f t="shared" si="42"/>
        <v>0</v>
      </c>
      <c r="K40" s="85">
        <f t="shared" si="43"/>
        <v>0</v>
      </c>
      <c r="L40" s="85">
        <f t="shared" si="52"/>
        <v>0</v>
      </c>
      <c r="M40" s="85">
        <f t="shared" si="44"/>
        <v>0</v>
      </c>
      <c r="N40" s="85">
        <f t="shared" si="45"/>
        <v>0</v>
      </c>
      <c r="O40" s="85">
        <f t="shared" si="46"/>
        <v>0</v>
      </c>
      <c r="P40" s="85">
        <f t="shared" si="47"/>
        <v>0</v>
      </c>
      <c r="Q40" s="85">
        <f t="shared" si="53"/>
        <v>0</v>
      </c>
      <c r="R40" s="47"/>
      <c r="S40" s="47">
        <f t="shared" si="54"/>
        <v>0</v>
      </c>
      <c r="T40" s="47"/>
      <c r="U40" s="47"/>
      <c r="V40" s="376">
        <f t="shared" si="55"/>
        <v>0</v>
      </c>
      <c r="W40" s="376">
        <f t="shared" si="56"/>
        <v>0</v>
      </c>
      <c r="X40" s="376">
        <f t="shared" si="57"/>
        <v>0</v>
      </c>
      <c r="Y40" s="376">
        <f t="shared" si="58"/>
        <v>0</v>
      </c>
      <c r="Z40" s="47">
        <v>0</v>
      </c>
      <c r="AA40" s="181">
        <f t="shared" si="20"/>
        <v>0</v>
      </c>
      <c r="AB40" s="47">
        <v>0</v>
      </c>
      <c r="AC40" s="181">
        <f t="shared" si="21"/>
        <v>0</v>
      </c>
      <c r="AD40" s="47">
        <v>0</v>
      </c>
      <c r="AE40" s="181">
        <f t="shared" si="22"/>
        <v>0</v>
      </c>
      <c r="AF40" s="47">
        <v>0</v>
      </c>
      <c r="AG40" s="181">
        <f t="shared" si="23"/>
        <v>0</v>
      </c>
      <c r="AH40" s="47">
        <v>0</v>
      </c>
      <c r="AI40" s="181">
        <f t="shared" si="24"/>
        <v>0</v>
      </c>
      <c r="AJ40" s="47">
        <v>0</v>
      </c>
      <c r="AK40" s="181">
        <f t="shared" si="25"/>
        <v>0</v>
      </c>
      <c r="AL40" s="47">
        <v>0</v>
      </c>
      <c r="AM40" s="181">
        <f t="shared" si="26"/>
        <v>0</v>
      </c>
      <c r="AN40" s="47">
        <v>0</v>
      </c>
      <c r="AO40" s="181">
        <f t="shared" si="27"/>
        <v>0</v>
      </c>
      <c r="AP40" s="47">
        <v>0</v>
      </c>
      <c r="AQ40" s="181">
        <f t="shared" si="28"/>
        <v>0</v>
      </c>
      <c r="AR40" s="47">
        <v>0</v>
      </c>
      <c r="AS40" s="181">
        <f t="shared" si="29"/>
        <v>0</v>
      </c>
      <c r="AT40" s="47">
        <v>0</v>
      </c>
      <c r="AU40" s="181">
        <f t="shared" si="30"/>
        <v>0</v>
      </c>
      <c r="AV40" s="47">
        <v>0</v>
      </c>
      <c r="AW40" s="181">
        <f t="shared" si="31"/>
        <v>0</v>
      </c>
      <c r="AX40" s="47">
        <v>0</v>
      </c>
      <c r="AY40" s="181">
        <f t="shared" si="32"/>
        <v>0</v>
      </c>
      <c r="AZ40" s="47">
        <v>0</v>
      </c>
      <c r="BA40" s="181">
        <f t="shared" si="33"/>
        <v>0</v>
      </c>
      <c r="BB40" s="47">
        <v>0</v>
      </c>
      <c r="BC40" s="181">
        <f t="shared" si="34"/>
        <v>0</v>
      </c>
      <c r="BD40" s="47">
        <v>0</v>
      </c>
      <c r="BE40" s="181">
        <f t="shared" si="35"/>
        <v>0</v>
      </c>
      <c r="BF40" s="47">
        <v>0</v>
      </c>
      <c r="BG40" s="181">
        <f t="shared" si="36"/>
        <v>0</v>
      </c>
      <c r="BH40" s="47">
        <v>0</v>
      </c>
      <c r="BI40" s="181">
        <f t="shared" si="37"/>
        <v>0</v>
      </c>
      <c r="BJ40" s="47">
        <f t="shared" si="48"/>
        <v>0</v>
      </c>
      <c r="BK40" s="117">
        <f t="shared" si="48"/>
        <v>0</v>
      </c>
      <c r="BL40" s="302" t="s">
        <v>469</v>
      </c>
      <c r="BN40" s="113"/>
      <c r="BO40" s="113"/>
      <c r="BP40" s="263">
        <f t="shared" si="62"/>
        <v>0</v>
      </c>
      <c r="BQ40" s="113"/>
      <c r="BR40" s="113">
        <f t="shared" si="59"/>
        <v>0</v>
      </c>
      <c r="BS40" s="113"/>
      <c r="BT40" s="113"/>
      <c r="BU40" s="125">
        <f t="shared" si="60"/>
        <v>0</v>
      </c>
      <c r="BV40" s="181">
        <f t="shared" si="0"/>
        <v>0</v>
      </c>
    </row>
    <row r="41" spans="1:74" x14ac:dyDescent="0.25">
      <c r="A41" s="989"/>
      <c r="B41" s="38">
        <v>41220</v>
      </c>
      <c r="C41" s="38" t="s">
        <v>266</v>
      </c>
      <c r="D41" s="38" t="s">
        <v>209</v>
      </c>
      <c r="E41" s="375">
        <f>0.25*100000</f>
        <v>25000</v>
      </c>
      <c r="F41" s="47">
        <f t="shared" si="61"/>
        <v>0</v>
      </c>
      <c r="G41" s="85">
        <f t="shared" si="41"/>
        <v>0</v>
      </c>
      <c r="H41" s="85">
        <f t="shared" si="50"/>
        <v>0</v>
      </c>
      <c r="I41" s="85">
        <f t="shared" si="51"/>
        <v>0</v>
      </c>
      <c r="J41" s="85">
        <f t="shared" si="42"/>
        <v>0</v>
      </c>
      <c r="K41" s="85">
        <f t="shared" si="43"/>
        <v>0</v>
      </c>
      <c r="L41" s="85">
        <f t="shared" si="52"/>
        <v>0</v>
      </c>
      <c r="M41" s="85">
        <f t="shared" si="44"/>
        <v>0</v>
      </c>
      <c r="N41" s="85">
        <f t="shared" si="45"/>
        <v>0</v>
      </c>
      <c r="O41" s="85">
        <f t="shared" si="46"/>
        <v>0</v>
      </c>
      <c r="P41" s="85">
        <f t="shared" si="47"/>
        <v>0</v>
      </c>
      <c r="Q41" s="85">
        <f t="shared" si="53"/>
        <v>0</v>
      </c>
      <c r="R41" s="47"/>
      <c r="S41" s="47">
        <f t="shared" si="54"/>
        <v>0</v>
      </c>
      <c r="T41" s="47"/>
      <c r="U41" s="47"/>
      <c r="V41" s="376">
        <f t="shared" si="55"/>
        <v>0</v>
      </c>
      <c r="W41" s="376">
        <f t="shared" si="56"/>
        <v>0</v>
      </c>
      <c r="X41" s="376">
        <f t="shared" si="57"/>
        <v>0</v>
      </c>
      <c r="Y41" s="376">
        <f t="shared" si="58"/>
        <v>0</v>
      </c>
      <c r="Z41" s="47">
        <v>0</v>
      </c>
      <c r="AA41" s="181">
        <f t="shared" si="20"/>
        <v>0</v>
      </c>
      <c r="AB41" s="47">
        <v>0</v>
      </c>
      <c r="AC41" s="181">
        <f t="shared" si="21"/>
        <v>0</v>
      </c>
      <c r="AD41" s="47">
        <v>0</v>
      </c>
      <c r="AE41" s="181">
        <f t="shared" si="22"/>
        <v>0</v>
      </c>
      <c r="AF41" s="47">
        <v>0</v>
      </c>
      <c r="AG41" s="181">
        <f t="shared" si="23"/>
        <v>0</v>
      </c>
      <c r="AH41" s="47">
        <v>0</v>
      </c>
      <c r="AI41" s="181">
        <f t="shared" si="24"/>
        <v>0</v>
      </c>
      <c r="AJ41" s="47">
        <v>0</v>
      </c>
      <c r="AK41" s="181">
        <f t="shared" si="25"/>
        <v>0</v>
      </c>
      <c r="AL41" s="47">
        <v>0</v>
      </c>
      <c r="AM41" s="181">
        <f t="shared" si="26"/>
        <v>0</v>
      </c>
      <c r="AN41" s="47">
        <v>0</v>
      </c>
      <c r="AO41" s="181">
        <f t="shared" si="27"/>
        <v>0</v>
      </c>
      <c r="AP41" s="47">
        <v>0</v>
      </c>
      <c r="AQ41" s="181">
        <f t="shared" si="28"/>
        <v>0</v>
      </c>
      <c r="AR41" s="47">
        <v>0</v>
      </c>
      <c r="AS41" s="181">
        <f t="shared" si="29"/>
        <v>0</v>
      </c>
      <c r="AT41" s="47">
        <v>0</v>
      </c>
      <c r="AU41" s="181">
        <f t="shared" si="30"/>
        <v>0</v>
      </c>
      <c r="AV41" s="47">
        <v>0</v>
      </c>
      <c r="AW41" s="181">
        <f t="shared" si="31"/>
        <v>0</v>
      </c>
      <c r="AX41" s="47">
        <v>0</v>
      </c>
      <c r="AY41" s="181">
        <f t="shared" si="32"/>
        <v>0</v>
      </c>
      <c r="AZ41" s="47">
        <v>0</v>
      </c>
      <c r="BA41" s="181">
        <f t="shared" si="33"/>
        <v>0</v>
      </c>
      <c r="BB41" s="47">
        <v>0</v>
      </c>
      <c r="BC41" s="181">
        <f t="shared" si="34"/>
        <v>0</v>
      </c>
      <c r="BD41" s="47">
        <v>0</v>
      </c>
      <c r="BE41" s="181">
        <f t="shared" si="35"/>
        <v>0</v>
      </c>
      <c r="BF41" s="47">
        <v>0</v>
      </c>
      <c r="BG41" s="181">
        <f t="shared" si="36"/>
        <v>0</v>
      </c>
      <c r="BH41" s="47">
        <v>0</v>
      </c>
      <c r="BI41" s="181">
        <f t="shared" si="37"/>
        <v>0</v>
      </c>
      <c r="BJ41" s="47">
        <f t="shared" si="48"/>
        <v>0</v>
      </c>
      <c r="BK41" s="117">
        <f t="shared" si="48"/>
        <v>0</v>
      </c>
      <c r="BL41" s="302" t="s">
        <v>469</v>
      </c>
      <c r="BN41" s="113"/>
      <c r="BO41" s="113"/>
      <c r="BP41" s="263">
        <f t="shared" si="62"/>
        <v>0</v>
      </c>
      <c r="BQ41" s="113"/>
      <c r="BR41" s="113">
        <f t="shared" si="59"/>
        <v>0</v>
      </c>
      <c r="BS41" s="113"/>
      <c r="BT41" s="113"/>
      <c r="BU41" s="125">
        <f t="shared" si="60"/>
        <v>0</v>
      </c>
      <c r="BV41" s="181">
        <f t="shared" si="0"/>
        <v>0</v>
      </c>
    </row>
    <row r="42" spans="1:74" ht="31.5" x14ac:dyDescent="0.25">
      <c r="A42" s="989"/>
      <c r="B42" s="38">
        <v>41221</v>
      </c>
      <c r="C42" s="38" t="s">
        <v>830</v>
      </c>
      <c r="D42" s="38" t="s">
        <v>209</v>
      </c>
      <c r="E42" s="375">
        <v>30000</v>
      </c>
      <c r="F42" s="47">
        <f t="shared" si="61"/>
        <v>18</v>
      </c>
      <c r="G42" s="85">
        <f t="shared" si="41"/>
        <v>540000</v>
      </c>
      <c r="H42" s="85">
        <f t="shared" si="50"/>
        <v>108000</v>
      </c>
      <c r="I42" s="85">
        <f t="shared" si="51"/>
        <v>432000</v>
      </c>
      <c r="J42" s="85">
        <f t="shared" si="42"/>
        <v>0</v>
      </c>
      <c r="K42" s="85">
        <f t="shared" si="43"/>
        <v>0</v>
      </c>
      <c r="L42" s="85">
        <f t="shared" si="52"/>
        <v>0</v>
      </c>
      <c r="M42" s="85">
        <f t="shared" si="44"/>
        <v>0</v>
      </c>
      <c r="N42" s="85">
        <f t="shared" si="45"/>
        <v>0</v>
      </c>
      <c r="O42" s="85">
        <f t="shared" si="46"/>
        <v>0</v>
      </c>
      <c r="P42" s="85">
        <f t="shared" si="47"/>
        <v>0</v>
      </c>
      <c r="Q42" s="85">
        <f t="shared" si="53"/>
        <v>0</v>
      </c>
      <c r="R42" s="47"/>
      <c r="S42" s="47">
        <f t="shared" si="54"/>
        <v>18</v>
      </c>
      <c r="T42" s="47"/>
      <c r="U42" s="47"/>
      <c r="V42" s="376">
        <f t="shared" si="55"/>
        <v>0</v>
      </c>
      <c r="W42" s="376">
        <f t="shared" si="56"/>
        <v>540000</v>
      </c>
      <c r="X42" s="376">
        <f t="shared" si="57"/>
        <v>0</v>
      </c>
      <c r="Y42" s="376">
        <f t="shared" si="58"/>
        <v>0</v>
      </c>
      <c r="Z42" s="47">
        <v>1</v>
      </c>
      <c r="AA42" s="181">
        <f t="shared" si="20"/>
        <v>30000</v>
      </c>
      <c r="AB42" s="47">
        <v>1</v>
      </c>
      <c r="AC42" s="181">
        <f t="shared" si="21"/>
        <v>30000</v>
      </c>
      <c r="AD42" s="47">
        <v>1</v>
      </c>
      <c r="AE42" s="181">
        <f t="shared" si="22"/>
        <v>30000</v>
      </c>
      <c r="AF42" s="47">
        <v>1</v>
      </c>
      <c r="AG42" s="181">
        <f t="shared" si="23"/>
        <v>30000</v>
      </c>
      <c r="AH42" s="47">
        <v>1</v>
      </c>
      <c r="AI42" s="181">
        <f t="shared" si="24"/>
        <v>30000</v>
      </c>
      <c r="AJ42" s="47">
        <v>1</v>
      </c>
      <c r="AK42" s="181">
        <f t="shared" si="25"/>
        <v>30000</v>
      </c>
      <c r="AL42" s="47">
        <v>1</v>
      </c>
      <c r="AM42" s="181">
        <f t="shared" si="26"/>
        <v>30000</v>
      </c>
      <c r="AN42" s="47">
        <v>1</v>
      </c>
      <c r="AO42" s="181">
        <f t="shared" si="27"/>
        <v>30000</v>
      </c>
      <c r="AP42" s="47">
        <v>1</v>
      </c>
      <c r="AQ42" s="181">
        <f t="shared" si="28"/>
        <v>30000</v>
      </c>
      <c r="AR42" s="47">
        <v>1</v>
      </c>
      <c r="AS42" s="181">
        <f t="shared" si="29"/>
        <v>30000</v>
      </c>
      <c r="AT42" s="47">
        <v>1</v>
      </c>
      <c r="AU42" s="181">
        <f t="shared" si="30"/>
        <v>30000</v>
      </c>
      <c r="AV42" s="47">
        <v>1</v>
      </c>
      <c r="AW42" s="181">
        <f t="shared" si="31"/>
        <v>30000</v>
      </c>
      <c r="AX42" s="47">
        <v>1</v>
      </c>
      <c r="AY42" s="181">
        <f t="shared" si="32"/>
        <v>30000</v>
      </c>
      <c r="AZ42" s="47">
        <v>1</v>
      </c>
      <c r="BA42" s="181">
        <f t="shared" si="33"/>
        <v>30000</v>
      </c>
      <c r="BB42" s="47">
        <v>1</v>
      </c>
      <c r="BC42" s="181">
        <f t="shared" si="34"/>
        <v>30000</v>
      </c>
      <c r="BD42" s="47">
        <v>1</v>
      </c>
      <c r="BE42" s="181">
        <f t="shared" si="35"/>
        <v>30000</v>
      </c>
      <c r="BF42" s="47">
        <v>1</v>
      </c>
      <c r="BG42" s="181">
        <f t="shared" si="36"/>
        <v>30000</v>
      </c>
      <c r="BH42" s="47">
        <v>1</v>
      </c>
      <c r="BI42" s="181">
        <f t="shared" si="37"/>
        <v>30000</v>
      </c>
      <c r="BJ42" s="47">
        <f t="shared" si="48"/>
        <v>18</v>
      </c>
      <c r="BK42" s="117">
        <f t="shared" si="48"/>
        <v>540000</v>
      </c>
      <c r="BL42" s="302" t="s">
        <v>469</v>
      </c>
      <c r="BN42" s="113"/>
      <c r="BO42" s="113"/>
      <c r="BP42" s="263">
        <f t="shared" si="62"/>
        <v>540000</v>
      </c>
      <c r="BQ42" s="113"/>
      <c r="BR42" s="113">
        <f t="shared" si="59"/>
        <v>540000</v>
      </c>
      <c r="BS42" s="113"/>
      <c r="BT42" s="113"/>
      <c r="BU42" s="125">
        <f t="shared" si="60"/>
        <v>0</v>
      </c>
      <c r="BV42" s="181">
        <f t="shared" si="0"/>
        <v>540000</v>
      </c>
    </row>
    <row r="43" spans="1:74" x14ac:dyDescent="0.25">
      <c r="A43" s="989"/>
      <c r="B43" s="38">
        <v>41222</v>
      </c>
      <c r="C43" s="38" t="s">
        <v>268</v>
      </c>
      <c r="D43" s="38" t="s">
        <v>241</v>
      </c>
      <c r="E43" s="375">
        <f>0.25*100000</f>
        <v>25000</v>
      </c>
      <c r="F43" s="47">
        <f t="shared" si="61"/>
        <v>0</v>
      </c>
      <c r="G43" s="85">
        <f t="shared" si="41"/>
        <v>0</v>
      </c>
      <c r="H43" s="85">
        <f t="shared" si="50"/>
        <v>0</v>
      </c>
      <c r="I43" s="85">
        <f t="shared" si="51"/>
        <v>0</v>
      </c>
      <c r="J43" s="85">
        <f t="shared" si="42"/>
        <v>0</v>
      </c>
      <c r="K43" s="85">
        <f t="shared" si="43"/>
        <v>0</v>
      </c>
      <c r="L43" s="85">
        <f t="shared" si="52"/>
        <v>0</v>
      </c>
      <c r="M43" s="85">
        <f t="shared" si="44"/>
        <v>0</v>
      </c>
      <c r="N43" s="85">
        <f t="shared" si="45"/>
        <v>0</v>
      </c>
      <c r="O43" s="85">
        <f t="shared" si="46"/>
        <v>0</v>
      </c>
      <c r="P43" s="85">
        <f t="shared" si="47"/>
        <v>0</v>
      </c>
      <c r="Q43" s="85">
        <f t="shared" si="53"/>
        <v>0</v>
      </c>
      <c r="R43" s="47"/>
      <c r="S43" s="47">
        <f t="shared" si="54"/>
        <v>0</v>
      </c>
      <c r="T43" s="47"/>
      <c r="U43" s="47"/>
      <c r="V43" s="376">
        <f t="shared" si="55"/>
        <v>0</v>
      </c>
      <c r="W43" s="376">
        <f t="shared" si="56"/>
        <v>0</v>
      </c>
      <c r="X43" s="376">
        <f t="shared" si="57"/>
        <v>0</v>
      </c>
      <c r="Y43" s="376">
        <f t="shared" si="58"/>
        <v>0</v>
      </c>
      <c r="Z43" s="47">
        <v>0</v>
      </c>
      <c r="AA43" s="181">
        <f t="shared" si="20"/>
        <v>0</v>
      </c>
      <c r="AB43" s="47">
        <v>0</v>
      </c>
      <c r="AC43" s="181">
        <f t="shared" si="21"/>
        <v>0</v>
      </c>
      <c r="AD43" s="47">
        <v>0</v>
      </c>
      <c r="AE43" s="181">
        <f t="shared" si="22"/>
        <v>0</v>
      </c>
      <c r="AF43" s="47">
        <v>0</v>
      </c>
      <c r="AG43" s="181">
        <f t="shared" si="23"/>
        <v>0</v>
      </c>
      <c r="AH43" s="47">
        <v>0</v>
      </c>
      <c r="AI43" s="181">
        <f t="shared" si="24"/>
        <v>0</v>
      </c>
      <c r="AJ43" s="47">
        <v>0</v>
      </c>
      <c r="AK43" s="181">
        <f t="shared" si="25"/>
        <v>0</v>
      </c>
      <c r="AL43" s="47">
        <v>0</v>
      </c>
      <c r="AM43" s="181">
        <f t="shared" si="26"/>
        <v>0</v>
      </c>
      <c r="AN43" s="47">
        <v>0</v>
      </c>
      <c r="AO43" s="181">
        <f t="shared" si="27"/>
        <v>0</v>
      </c>
      <c r="AP43" s="47">
        <v>0</v>
      </c>
      <c r="AQ43" s="181">
        <f t="shared" si="28"/>
        <v>0</v>
      </c>
      <c r="AR43" s="47">
        <v>0</v>
      </c>
      <c r="AS43" s="181">
        <f t="shared" si="29"/>
        <v>0</v>
      </c>
      <c r="AT43" s="47">
        <v>0</v>
      </c>
      <c r="AU43" s="181">
        <f t="shared" si="30"/>
        <v>0</v>
      </c>
      <c r="AV43" s="47">
        <v>0</v>
      </c>
      <c r="AW43" s="181">
        <f t="shared" si="31"/>
        <v>0</v>
      </c>
      <c r="AX43" s="47">
        <v>0</v>
      </c>
      <c r="AY43" s="181">
        <f t="shared" si="32"/>
        <v>0</v>
      </c>
      <c r="AZ43" s="47">
        <v>0</v>
      </c>
      <c r="BA43" s="181">
        <f t="shared" si="33"/>
        <v>0</v>
      </c>
      <c r="BB43" s="47">
        <v>0</v>
      </c>
      <c r="BC43" s="181">
        <f t="shared" si="34"/>
        <v>0</v>
      </c>
      <c r="BD43" s="47">
        <v>0</v>
      </c>
      <c r="BE43" s="181">
        <f t="shared" si="35"/>
        <v>0</v>
      </c>
      <c r="BF43" s="47">
        <v>0</v>
      </c>
      <c r="BG43" s="181">
        <f t="shared" si="36"/>
        <v>0</v>
      </c>
      <c r="BH43" s="47">
        <v>0</v>
      </c>
      <c r="BI43" s="181">
        <f t="shared" si="37"/>
        <v>0</v>
      </c>
      <c r="BJ43" s="47">
        <f t="shared" si="48"/>
        <v>0</v>
      </c>
      <c r="BK43" s="117">
        <f t="shared" si="48"/>
        <v>0</v>
      </c>
      <c r="BL43" s="302" t="s">
        <v>469</v>
      </c>
      <c r="BN43" s="113"/>
      <c r="BO43" s="113"/>
      <c r="BP43" s="263">
        <f t="shared" si="62"/>
        <v>0</v>
      </c>
      <c r="BQ43" s="113"/>
      <c r="BR43" s="113">
        <f t="shared" si="59"/>
        <v>0</v>
      </c>
      <c r="BS43" s="113"/>
      <c r="BT43" s="113"/>
      <c r="BU43" s="125">
        <f t="shared" si="60"/>
        <v>0</v>
      </c>
      <c r="BV43" s="181">
        <f t="shared" si="0"/>
        <v>0</v>
      </c>
    </row>
    <row r="44" spans="1:74" s="165" customFormat="1" x14ac:dyDescent="0.25">
      <c r="A44" s="989"/>
      <c r="B44" s="171">
        <v>41223</v>
      </c>
      <c r="C44" s="657" t="s">
        <v>269</v>
      </c>
      <c r="D44" s="171" t="s">
        <v>241</v>
      </c>
      <c r="E44" s="180">
        <f>0.5*100000</f>
        <v>50000</v>
      </c>
      <c r="F44" s="136">
        <f t="shared" si="61"/>
        <v>17</v>
      </c>
      <c r="G44" s="134">
        <f>E44*F44</f>
        <v>850000</v>
      </c>
      <c r="H44" s="134">
        <f t="shared" si="50"/>
        <v>170000</v>
      </c>
      <c r="I44" s="134">
        <f t="shared" si="51"/>
        <v>680000</v>
      </c>
      <c r="J44" s="134">
        <f t="shared" si="42"/>
        <v>0</v>
      </c>
      <c r="K44" s="134">
        <f t="shared" si="43"/>
        <v>0</v>
      </c>
      <c r="L44" s="134">
        <f t="shared" si="52"/>
        <v>0</v>
      </c>
      <c r="M44" s="134">
        <f t="shared" si="44"/>
        <v>0</v>
      </c>
      <c r="N44" s="134">
        <f t="shared" si="45"/>
        <v>0</v>
      </c>
      <c r="O44" s="134">
        <f t="shared" si="46"/>
        <v>0</v>
      </c>
      <c r="P44" s="134">
        <f t="shared" si="47"/>
        <v>0</v>
      </c>
      <c r="Q44" s="134">
        <f t="shared" si="53"/>
        <v>0</v>
      </c>
      <c r="R44" s="136"/>
      <c r="S44" s="136">
        <f t="shared" si="54"/>
        <v>17</v>
      </c>
      <c r="T44" s="136"/>
      <c r="U44" s="136"/>
      <c r="V44" s="376">
        <f t="shared" si="55"/>
        <v>0</v>
      </c>
      <c r="W44" s="376">
        <f t="shared" si="56"/>
        <v>850000</v>
      </c>
      <c r="X44" s="376">
        <f t="shared" si="57"/>
        <v>0</v>
      </c>
      <c r="Y44" s="376">
        <f t="shared" si="58"/>
        <v>0</v>
      </c>
      <c r="Z44" s="136">
        <v>1</v>
      </c>
      <c r="AA44" s="181">
        <f t="shared" si="20"/>
        <v>50000</v>
      </c>
      <c r="AB44" s="136">
        <v>1</v>
      </c>
      <c r="AC44" s="181">
        <f t="shared" si="21"/>
        <v>50000</v>
      </c>
      <c r="AD44" s="136">
        <v>1</v>
      </c>
      <c r="AE44" s="181">
        <f t="shared" si="22"/>
        <v>50000</v>
      </c>
      <c r="AF44" s="136">
        <v>1</v>
      </c>
      <c r="AG44" s="181">
        <f t="shared" si="23"/>
        <v>50000</v>
      </c>
      <c r="AH44" s="136">
        <v>1</v>
      </c>
      <c r="AI44" s="181">
        <f t="shared" si="24"/>
        <v>50000</v>
      </c>
      <c r="AJ44" s="136">
        <v>1</v>
      </c>
      <c r="AK44" s="181">
        <f t="shared" si="25"/>
        <v>50000</v>
      </c>
      <c r="AL44" s="136">
        <v>1</v>
      </c>
      <c r="AM44" s="181">
        <f t="shared" si="26"/>
        <v>50000</v>
      </c>
      <c r="AN44" s="136">
        <v>1</v>
      </c>
      <c r="AO44" s="181">
        <f t="shared" si="27"/>
        <v>50000</v>
      </c>
      <c r="AP44" s="136">
        <v>1</v>
      </c>
      <c r="AQ44" s="181">
        <f t="shared" si="28"/>
        <v>50000</v>
      </c>
      <c r="AR44" s="136">
        <v>1</v>
      </c>
      <c r="AS44" s="181">
        <f t="shared" si="29"/>
        <v>50000</v>
      </c>
      <c r="AT44" s="136">
        <v>1</v>
      </c>
      <c r="AU44" s="181">
        <f t="shared" si="30"/>
        <v>50000</v>
      </c>
      <c r="AV44" s="136">
        <v>1</v>
      </c>
      <c r="AW44" s="181">
        <f t="shared" si="31"/>
        <v>50000</v>
      </c>
      <c r="AX44" s="136">
        <v>1</v>
      </c>
      <c r="AY44" s="181">
        <f t="shared" si="32"/>
        <v>50000</v>
      </c>
      <c r="AZ44" s="136">
        <v>1</v>
      </c>
      <c r="BA44" s="181">
        <f t="shared" si="33"/>
        <v>50000</v>
      </c>
      <c r="BB44" s="136">
        <v>1</v>
      </c>
      <c r="BC44" s="181">
        <f t="shared" si="34"/>
        <v>50000</v>
      </c>
      <c r="BD44" s="136">
        <v>1</v>
      </c>
      <c r="BE44" s="181">
        <f t="shared" si="35"/>
        <v>50000</v>
      </c>
      <c r="BF44" s="136">
        <v>1</v>
      </c>
      <c r="BG44" s="181">
        <f t="shared" si="36"/>
        <v>50000</v>
      </c>
      <c r="BH44" s="136">
        <v>0</v>
      </c>
      <c r="BI44" s="181">
        <f t="shared" si="37"/>
        <v>0</v>
      </c>
      <c r="BJ44" s="136">
        <f t="shared" si="48"/>
        <v>17</v>
      </c>
      <c r="BK44" s="331">
        <f t="shared" si="48"/>
        <v>850000</v>
      </c>
      <c r="BL44" s="307" t="s">
        <v>469</v>
      </c>
      <c r="BN44" s="178"/>
      <c r="BO44" s="178"/>
      <c r="BP44" s="389">
        <f t="shared" si="62"/>
        <v>850000</v>
      </c>
      <c r="BQ44" s="178"/>
      <c r="BR44" s="178">
        <f t="shared" si="59"/>
        <v>850000</v>
      </c>
      <c r="BS44" s="178"/>
      <c r="BT44" s="178"/>
      <c r="BU44" s="166">
        <f t="shared" si="60"/>
        <v>0</v>
      </c>
      <c r="BV44" s="191">
        <f t="shared" si="0"/>
        <v>850000</v>
      </c>
    </row>
    <row r="45" spans="1:74" x14ac:dyDescent="0.25">
      <c r="A45" s="989"/>
      <c r="B45" s="38">
        <v>41224</v>
      </c>
      <c r="C45" s="38" t="s">
        <v>270</v>
      </c>
      <c r="D45" s="38" t="s">
        <v>241</v>
      </c>
      <c r="E45" s="375">
        <f>1*100000</f>
        <v>100000</v>
      </c>
      <c r="F45" s="47">
        <f t="shared" si="61"/>
        <v>0</v>
      </c>
      <c r="G45" s="85">
        <f t="shared" si="41"/>
        <v>0</v>
      </c>
      <c r="H45" s="85">
        <f t="shared" si="50"/>
        <v>0</v>
      </c>
      <c r="I45" s="85">
        <f t="shared" si="51"/>
        <v>0</v>
      </c>
      <c r="J45" s="85">
        <f t="shared" si="42"/>
        <v>0</v>
      </c>
      <c r="K45" s="85">
        <f t="shared" si="43"/>
        <v>0</v>
      </c>
      <c r="L45" s="85">
        <f t="shared" si="52"/>
        <v>0</v>
      </c>
      <c r="M45" s="85">
        <f t="shared" si="44"/>
        <v>0</v>
      </c>
      <c r="N45" s="85">
        <f t="shared" si="45"/>
        <v>0</v>
      </c>
      <c r="O45" s="85">
        <f t="shared" si="46"/>
        <v>0</v>
      </c>
      <c r="P45" s="85">
        <f t="shared" si="47"/>
        <v>0</v>
      </c>
      <c r="Q45" s="85">
        <f t="shared" si="53"/>
        <v>0</v>
      </c>
      <c r="R45" s="47"/>
      <c r="S45" s="47">
        <f t="shared" si="54"/>
        <v>0</v>
      </c>
      <c r="T45" s="47"/>
      <c r="U45" s="47"/>
      <c r="V45" s="376">
        <f t="shared" si="55"/>
        <v>0</v>
      </c>
      <c r="W45" s="376">
        <f t="shared" si="56"/>
        <v>0</v>
      </c>
      <c r="X45" s="376">
        <f t="shared" si="57"/>
        <v>0</v>
      </c>
      <c r="Y45" s="376">
        <f t="shared" si="58"/>
        <v>0</v>
      </c>
      <c r="Z45" s="47">
        <v>0</v>
      </c>
      <c r="AA45" s="181">
        <f t="shared" si="20"/>
        <v>0</v>
      </c>
      <c r="AB45" s="47">
        <v>0</v>
      </c>
      <c r="AC45" s="181">
        <f t="shared" si="21"/>
        <v>0</v>
      </c>
      <c r="AD45" s="47">
        <v>0</v>
      </c>
      <c r="AE45" s="181">
        <f t="shared" si="22"/>
        <v>0</v>
      </c>
      <c r="AF45" s="47">
        <v>0</v>
      </c>
      <c r="AG45" s="181">
        <f t="shared" si="23"/>
        <v>0</v>
      </c>
      <c r="AH45" s="47">
        <v>0</v>
      </c>
      <c r="AI45" s="181">
        <f t="shared" si="24"/>
        <v>0</v>
      </c>
      <c r="AJ45" s="47">
        <v>0</v>
      </c>
      <c r="AK45" s="181">
        <f t="shared" si="25"/>
        <v>0</v>
      </c>
      <c r="AL45" s="47">
        <v>0</v>
      </c>
      <c r="AM45" s="181">
        <f t="shared" si="26"/>
        <v>0</v>
      </c>
      <c r="AN45" s="47">
        <v>0</v>
      </c>
      <c r="AO45" s="181">
        <f t="shared" si="27"/>
        <v>0</v>
      </c>
      <c r="AP45" s="47">
        <v>0</v>
      </c>
      <c r="AQ45" s="181">
        <f t="shared" si="28"/>
        <v>0</v>
      </c>
      <c r="AR45" s="47">
        <v>0</v>
      </c>
      <c r="AS45" s="181">
        <f t="shared" si="29"/>
        <v>0</v>
      </c>
      <c r="AT45" s="47">
        <v>0</v>
      </c>
      <c r="AU45" s="181">
        <f t="shared" si="30"/>
        <v>0</v>
      </c>
      <c r="AV45" s="47">
        <v>0</v>
      </c>
      <c r="AW45" s="181">
        <f t="shared" si="31"/>
        <v>0</v>
      </c>
      <c r="AX45" s="47">
        <v>0</v>
      </c>
      <c r="AY45" s="181">
        <f t="shared" si="32"/>
        <v>0</v>
      </c>
      <c r="AZ45" s="47">
        <v>0</v>
      </c>
      <c r="BA45" s="181">
        <f t="shared" si="33"/>
        <v>0</v>
      </c>
      <c r="BB45" s="47">
        <v>0</v>
      </c>
      <c r="BC45" s="181">
        <f t="shared" si="34"/>
        <v>0</v>
      </c>
      <c r="BD45" s="47">
        <v>0</v>
      </c>
      <c r="BE45" s="181">
        <f t="shared" si="35"/>
        <v>0</v>
      </c>
      <c r="BF45" s="47">
        <v>0</v>
      </c>
      <c r="BG45" s="181">
        <f t="shared" si="36"/>
        <v>0</v>
      </c>
      <c r="BH45" s="47">
        <v>0</v>
      </c>
      <c r="BI45" s="181">
        <f t="shared" si="37"/>
        <v>0</v>
      </c>
      <c r="BJ45" s="47">
        <f t="shared" si="48"/>
        <v>0</v>
      </c>
      <c r="BK45" s="117">
        <f t="shared" si="48"/>
        <v>0</v>
      </c>
      <c r="BL45" s="302" t="s">
        <v>469</v>
      </c>
      <c r="BN45" s="113"/>
      <c r="BO45" s="113"/>
      <c r="BP45" s="263">
        <f t="shared" si="62"/>
        <v>0</v>
      </c>
      <c r="BQ45" s="113"/>
      <c r="BR45" s="113">
        <f t="shared" si="59"/>
        <v>0</v>
      </c>
      <c r="BS45" s="113"/>
      <c r="BT45" s="113"/>
      <c r="BU45" s="125">
        <f t="shared" si="60"/>
        <v>0</v>
      </c>
      <c r="BV45" s="181">
        <f t="shared" si="0"/>
        <v>0</v>
      </c>
    </row>
    <row r="46" spans="1:74" s="67" customFormat="1" x14ac:dyDescent="0.25">
      <c r="A46" s="989"/>
      <c r="B46" s="377"/>
      <c r="C46" s="411" t="s">
        <v>271</v>
      </c>
      <c r="D46" s="379"/>
      <c r="E46" s="379"/>
      <c r="F46" s="379">
        <f>SUM(F20:F45)</f>
        <v>247</v>
      </c>
      <c r="G46" s="380">
        <f>SUM(G20:G45)</f>
        <v>10162500</v>
      </c>
      <c r="H46" s="380">
        <f t="shared" ref="H46:Q46" si="63">SUM(H20:H45)</f>
        <v>2032500</v>
      </c>
      <c r="I46" s="380">
        <f t="shared" si="63"/>
        <v>8130000</v>
      </c>
      <c r="J46" s="380">
        <f t="shared" si="63"/>
        <v>0</v>
      </c>
      <c r="K46" s="380">
        <f t="shared" si="63"/>
        <v>0</v>
      </c>
      <c r="L46" s="380">
        <f t="shared" si="63"/>
        <v>0</v>
      </c>
      <c r="M46" s="380">
        <f t="shared" si="63"/>
        <v>0</v>
      </c>
      <c r="N46" s="380">
        <f t="shared" si="63"/>
        <v>0</v>
      </c>
      <c r="O46" s="380">
        <f t="shared" si="63"/>
        <v>0</v>
      </c>
      <c r="P46" s="380">
        <f t="shared" si="63"/>
        <v>0</v>
      </c>
      <c r="Q46" s="380">
        <f t="shared" si="63"/>
        <v>0</v>
      </c>
      <c r="R46" s="379">
        <f t="shared" ref="R46:BK46" si="64">SUM(R20:R45)</f>
        <v>0</v>
      </c>
      <c r="S46" s="379">
        <f t="shared" si="64"/>
        <v>247</v>
      </c>
      <c r="T46" s="379">
        <f t="shared" si="64"/>
        <v>0</v>
      </c>
      <c r="U46" s="379">
        <f t="shared" si="64"/>
        <v>0</v>
      </c>
      <c r="V46" s="380">
        <f t="shared" si="64"/>
        <v>0</v>
      </c>
      <c r="W46" s="380">
        <f t="shared" si="64"/>
        <v>10162500</v>
      </c>
      <c r="X46" s="380">
        <f t="shared" si="64"/>
        <v>0</v>
      </c>
      <c r="Y46" s="380">
        <f t="shared" si="64"/>
        <v>0</v>
      </c>
      <c r="Z46" s="379">
        <f t="shared" si="64"/>
        <v>22</v>
      </c>
      <c r="AA46" s="379">
        <f t="shared" si="64"/>
        <v>790000</v>
      </c>
      <c r="AB46" s="379">
        <f t="shared" si="64"/>
        <v>22</v>
      </c>
      <c r="AC46" s="379">
        <f t="shared" si="64"/>
        <v>790000</v>
      </c>
      <c r="AD46" s="379">
        <f t="shared" si="64"/>
        <v>14</v>
      </c>
      <c r="AE46" s="379">
        <f t="shared" si="64"/>
        <v>770000</v>
      </c>
      <c r="AF46" s="379">
        <f t="shared" si="64"/>
        <v>2</v>
      </c>
      <c r="AG46" s="379">
        <f t="shared" si="64"/>
        <v>80000</v>
      </c>
      <c r="AH46" s="379">
        <f t="shared" si="64"/>
        <v>3</v>
      </c>
      <c r="AI46" s="379">
        <f t="shared" si="64"/>
        <v>110000</v>
      </c>
      <c r="AJ46" s="379">
        <f t="shared" si="64"/>
        <v>22</v>
      </c>
      <c r="AK46" s="379">
        <f t="shared" si="64"/>
        <v>790000</v>
      </c>
      <c r="AL46" s="379">
        <f t="shared" si="64"/>
        <v>22</v>
      </c>
      <c r="AM46" s="379">
        <f t="shared" si="64"/>
        <v>790000</v>
      </c>
      <c r="AN46" s="379">
        <f t="shared" si="64"/>
        <v>22</v>
      </c>
      <c r="AO46" s="379">
        <f t="shared" si="64"/>
        <v>790000</v>
      </c>
      <c r="AP46" s="379">
        <f t="shared" si="64"/>
        <v>3</v>
      </c>
      <c r="AQ46" s="379">
        <f t="shared" si="64"/>
        <v>330000</v>
      </c>
      <c r="AR46" s="379">
        <f t="shared" si="64"/>
        <v>14</v>
      </c>
      <c r="AS46" s="379">
        <f t="shared" si="64"/>
        <v>770000</v>
      </c>
      <c r="AT46" s="379">
        <f t="shared" si="64"/>
        <v>14</v>
      </c>
      <c r="AU46" s="379">
        <f t="shared" si="64"/>
        <v>770000</v>
      </c>
      <c r="AV46" s="379">
        <f t="shared" si="64"/>
        <v>19</v>
      </c>
      <c r="AW46" s="379">
        <f t="shared" si="64"/>
        <v>170000</v>
      </c>
      <c r="AX46" s="379">
        <f t="shared" si="64"/>
        <v>2</v>
      </c>
      <c r="AY46" s="379">
        <f t="shared" si="64"/>
        <v>80000</v>
      </c>
      <c r="AZ46" s="379">
        <f t="shared" si="64"/>
        <v>14</v>
      </c>
      <c r="BA46" s="379">
        <f t="shared" si="64"/>
        <v>770000</v>
      </c>
      <c r="BB46" s="379">
        <f t="shared" si="64"/>
        <v>7</v>
      </c>
      <c r="BC46" s="379">
        <f t="shared" si="64"/>
        <v>752500</v>
      </c>
      <c r="BD46" s="379">
        <f t="shared" si="64"/>
        <v>22</v>
      </c>
      <c r="BE46" s="379">
        <f t="shared" si="64"/>
        <v>790000</v>
      </c>
      <c r="BF46" s="379">
        <f t="shared" si="64"/>
        <v>22</v>
      </c>
      <c r="BG46" s="379">
        <f t="shared" si="64"/>
        <v>790000</v>
      </c>
      <c r="BH46" s="379">
        <f t="shared" si="64"/>
        <v>1</v>
      </c>
      <c r="BI46" s="379">
        <f t="shared" si="64"/>
        <v>30000</v>
      </c>
      <c r="BJ46" s="379">
        <f t="shared" si="64"/>
        <v>247</v>
      </c>
      <c r="BK46" s="381">
        <f t="shared" si="64"/>
        <v>10162500</v>
      </c>
      <c r="BL46" s="302"/>
      <c r="BN46" s="381">
        <f t="shared" ref="BN46:BU46" si="65">SUM(BN20:BN45)</f>
        <v>0</v>
      </c>
      <c r="BO46" s="381">
        <f t="shared" si="65"/>
        <v>0</v>
      </c>
      <c r="BP46" s="381">
        <f t="shared" si="65"/>
        <v>10162500</v>
      </c>
      <c r="BQ46" s="381">
        <f t="shared" si="65"/>
        <v>0</v>
      </c>
      <c r="BR46" s="381">
        <f t="shared" si="65"/>
        <v>10162500</v>
      </c>
      <c r="BS46" s="381">
        <f t="shared" si="65"/>
        <v>0</v>
      </c>
      <c r="BT46" s="381">
        <f t="shared" si="65"/>
        <v>0</v>
      </c>
      <c r="BU46" s="381">
        <f t="shared" si="65"/>
        <v>0</v>
      </c>
      <c r="BV46" s="390">
        <f t="shared" si="0"/>
        <v>10162500</v>
      </c>
    </row>
    <row r="47" spans="1:74" ht="31.5" x14ac:dyDescent="0.25">
      <c r="A47" s="989"/>
      <c r="B47" s="216">
        <v>41300</v>
      </c>
      <c r="C47" s="216" t="s">
        <v>338</v>
      </c>
      <c r="D47" s="38"/>
      <c r="E47" s="375"/>
      <c r="F47" s="38"/>
      <c r="G47" s="85"/>
      <c r="H47" s="85"/>
      <c r="I47" s="85"/>
      <c r="J47" s="85"/>
      <c r="K47" s="85"/>
      <c r="L47" s="85"/>
      <c r="M47" s="85"/>
      <c r="N47" s="85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181">
        <f t="shared" si="20"/>
        <v>0</v>
      </c>
      <c r="AB47" s="47"/>
      <c r="AC47" s="181">
        <f t="shared" si="21"/>
        <v>0</v>
      </c>
      <c r="AD47" s="47"/>
      <c r="AE47" s="181">
        <f t="shared" si="22"/>
        <v>0</v>
      </c>
      <c r="AF47" s="47"/>
      <c r="AG47" s="181">
        <f t="shared" si="23"/>
        <v>0</v>
      </c>
      <c r="AH47" s="47"/>
      <c r="AI47" s="181">
        <f t="shared" si="24"/>
        <v>0</v>
      </c>
      <c r="AJ47" s="47"/>
      <c r="AK47" s="181">
        <f t="shared" si="25"/>
        <v>0</v>
      </c>
      <c r="AL47" s="47"/>
      <c r="AM47" s="181">
        <f t="shared" si="26"/>
        <v>0</v>
      </c>
      <c r="AN47" s="47"/>
      <c r="AO47" s="181">
        <f t="shared" si="27"/>
        <v>0</v>
      </c>
      <c r="AP47" s="47"/>
      <c r="AQ47" s="181">
        <f t="shared" si="28"/>
        <v>0</v>
      </c>
      <c r="AR47" s="47"/>
      <c r="AS47" s="181">
        <f t="shared" si="29"/>
        <v>0</v>
      </c>
      <c r="AT47" s="47"/>
      <c r="AU47" s="181">
        <f t="shared" si="30"/>
        <v>0</v>
      </c>
      <c r="AV47" s="47"/>
      <c r="AW47" s="181">
        <f t="shared" si="31"/>
        <v>0</v>
      </c>
      <c r="AX47" s="47"/>
      <c r="AY47" s="181">
        <f t="shared" si="32"/>
        <v>0</v>
      </c>
      <c r="AZ47" s="47"/>
      <c r="BA47" s="181">
        <f t="shared" si="33"/>
        <v>0</v>
      </c>
      <c r="BB47" s="47"/>
      <c r="BC47" s="181">
        <f t="shared" si="34"/>
        <v>0</v>
      </c>
      <c r="BD47" s="47"/>
      <c r="BE47" s="181">
        <f t="shared" si="35"/>
        <v>0</v>
      </c>
      <c r="BF47" s="47"/>
      <c r="BG47" s="181">
        <f t="shared" si="36"/>
        <v>0</v>
      </c>
      <c r="BH47" s="47"/>
      <c r="BI47" s="181">
        <f t="shared" si="37"/>
        <v>0</v>
      </c>
      <c r="BJ47" s="47"/>
      <c r="BK47" s="124"/>
      <c r="BL47" s="302"/>
      <c r="BN47" s="113"/>
      <c r="BO47" s="113"/>
      <c r="BP47" s="113"/>
      <c r="BQ47" s="113"/>
      <c r="BR47" s="113"/>
      <c r="BS47" s="113"/>
      <c r="BT47" s="113"/>
      <c r="BU47" s="125"/>
      <c r="BV47" s="181">
        <f t="shared" si="0"/>
        <v>0</v>
      </c>
    </row>
    <row r="48" spans="1:74" x14ac:dyDescent="0.25">
      <c r="A48" s="989"/>
      <c r="B48" s="38">
        <v>41310</v>
      </c>
      <c r="C48" s="391" t="s">
        <v>339</v>
      </c>
      <c r="D48" s="38"/>
      <c r="E48" s="375"/>
      <c r="F48" s="38"/>
      <c r="G48" s="85"/>
      <c r="H48" s="85"/>
      <c r="I48" s="85"/>
      <c r="J48" s="85"/>
      <c r="K48" s="85"/>
      <c r="L48" s="85"/>
      <c r="M48" s="85"/>
      <c r="N48" s="85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181">
        <f t="shared" si="20"/>
        <v>0</v>
      </c>
      <c r="AB48" s="47"/>
      <c r="AC48" s="181">
        <f t="shared" si="21"/>
        <v>0</v>
      </c>
      <c r="AD48" s="47"/>
      <c r="AE48" s="181">
        <f t="shared" si="22"/>
        <v>0</v>
      </c>
      <c r="AF48" s="47"/>
      <c r="AG48" s="181">
        <f t="shared" si="23"/>
        <v>0</v>
      </c>
      <c r="AH48" s="47"/>
      <c r="AI48" s="181">
        <f t="shared" si="24"/>
        <v>0</v>
      </c>
      <c r="AJ48" s="47"/>
      <c r="AK48" s="181">
        <f t="shared" si="25"/>
        <v>0</v>
      </c>
      <c r="AL48" s="47"/>
      <c r="AM48" s="181">
        <f t="shared" si="26"/>
        <v>0</v>
      </c>
      <c r="AN48" s="47"/>
      <c r="AO48" s="181">
        <f t="shared" si="27"/>
        <v>0</v>
      </c>
      <c r="AP48" s="47"/>
      <c r="AQ48" s="181">
        <f t="shared" si="28"/>
        <v>0</v>
      </c>
      <c r="AR48" s="47"/>
      <c r="AS48" s="181">
        <f t="shared" si="29"/>
        <v>0</v>
      </c>
      <c r="AT48" s="47"/>
      <c r="AU48" s="181">
        <f t="shared" si="30"/>
        <v>0</v>
      </c>
      <c r="AV48" s="47"/>
      <c r="AW48" s="181">
        <f t="shared" si="31"/>
        <v>0</v>
      </c>
      <c r="AX48" s="47"/>
      <c r="AY48" s="181">
        <f t="shared" si="32"/>
        <v>0</v>
      </c>
      <c r="AZ48" s="47"/>
      <c r="BA48" s="181">
        <f t="shared" si="33"/>
        <v>0</v>
      </c>
      <c r="BB48" s="47"/>
      <c r="BC48" s="181">
        <f t="shared" si="34"/>
        <v>0</v>
      </c>
      <c r="BD48" s="47"/>
      <c r="BE48" s="181">
        <f t="shared" si="35"/>
        <v>0</v>
      </c>
      <c r="BF48" s="47"/>
      <c r="BG48" s="181">
        <f t="shared" si="36"/>
        <v>0</v>
      </c>
      <c r="BH48" s="47"/>
      <c r="BI48" s="181">
        <f t="shared" si="37"/>
        <v>0</v>
      </c>
      <c r="BJ48" s="47"/>
      <c r="BK48" s="124"/>
      <c r="BL48" s="302"/>
      <c r="BN48" s="113"/>
      <c r="BO48" s="113"/>
      <c r="BP48" s="113"/>
      <c r="BQ48" s="113"/>
      <c r="BR48" s="113"/>
      <c r="BS48" s="113"/>
      <c r="BT48" s="113"/>
      <c r="BU48" s="125"/>
      <c r="BV48" s="181">
        <f t="shared" si="0"/>
        <v>0</v>
      </c>
    </row>
    <row r="49" spans="1:74" x14ac:dyDescent="0.25">
      <c r="A49" s="989"/>
      <c r="B49" s="38">
        <v>41320</v>
      </c>
      <c r="C49" s="391" t="s">
        <v>283</v>
      </c>
      <c r="D49" s="38"/>
      <c r="E49" s="375"/>
      <c r="F49" s="38"/>
      <c r="G49" s="85"/>
      <c r="H49" s="85"/>
      <c r="I49" s="85"/>
      <c r="J49" s="85"/>
      <c r="K49" s="85"/>
      <c r="L49" s="85"/>
      <c r="M49" s="85"/>
      <c r="N49" s="85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181">
        <f t="shared" si="20"/>
        <v>0</v>
      </c>
      <c r="AB49" s="47"/>
      <c r="AC49" s="181">
        <f t="shared" si="21"/>
        <v>0</v>
      </c>
      <c r="AD49" s="47"/>
      <c r="AE49" s="181">
        <f t="shared" si="22"/>
        <v>0</v>
      </c>
      <c r="AF49" s="47"/>
      <c r="AG49" s="181">
        <f t="shared" si="23"/>
        <v>0</v>
      </c>
      <c r="AH49" s="47"/>
      <c r="AI49" s="181">
        <f t="shared" si="24"/>
        <v>0</v>
      </c>
      <c r="AJ49" s="47"/>
      <c r="AK49" s="181">
        <f t="shared" si="25"/>
        <v>0</v>
      </c>
      <c r="AL49" s="47"/>
      <c r="AM49" s="181">
        <f t="shared" si="26"/>
        <v>0</v>
      </c>
      <c r="AN49" s="47"/>
      <c r="AO49" s="181">
        <f t="shared" si="27"/>
        <v>0</v>
      </c>
      <c r="AP49" s="47"/>
      <c r="AQ49" s="181">
        <f t="shared" si="28"/>
        <v>0</v>
      </c>
      <c r="AR49" s="47"/>
      <c r="AS49" s="181">
        <f t="shared" si="29"/>
        <v>0</v>
      </c>
      <c r="AT49" s="47"/>
      <c r="AU49" s="181">
        <f t="shared" si="30"/>
        <v>0</v>
      </c>
      <c r="AV49" s="47"/>
      <c r="AW49" s="181">
        <f t="shared" si="31"/>
        <v>0</v>
      </c>
      <c r="AX49" s="47"/>
      <c r="AY49" s="181">
        <f t="shared" si="32"/>
        <v>0</v>
      </c>
      <c r="AZ49" s="47"/>
      <c r="BA49" s="181">
        <f t="shared" si="33"/>
        <v>0</v>
      </c>
      <c r="BB49" s="47"/>
      <c r="BC49" s="181">
        <f t="shared" si="34"/>
        <v>0</v>
      </c>
      <c r="BD49" s="47"/>
      <c r="BE49" s="181">
        <f t="shared" si="35"/>
        <v>0</v>
      </c>
      <c r="BF49" s="47"/>
      <c r="BG49" s="181">
        <f t="shared" si="36"/>
        <v>0</v>
      </c>
      <c r="BH49" s="47"/>
      <c r="BI49" s="181">
        <f t="shared" si="37"/>
        <v>0</v>
      </c>
      <c r="BJ49" s="47"/>
      <c r="BK49" s="124"/>
      <c r="BL49" s="302"/>
      <c r="BN49" s="113"/>
      <c r="BO49" s="113"/>
      <c r="BP49" s="113"/>
      <c r="BQ49" s="113"/>
      <c r="BR49" s="113"/>
      <c r="BS49" s="113"/>
      <c r="BT49" s="113"/>
      <c r="BU49" s="125"/>
      <c r="BV49" s="181">
        <f t="shared" si="0"/>
        <v>0</v>
      </c>
    </row>
    <row r="50" spans="1:74" x14ac:dyDescent="0.25">
      <c r="A50" s="989"/>
      <c r="B50" s="38"/>
      <c r="C50" s="38" t="s">
        <v>39</v>
      </c>
      <c r="D50" s="38" t="s">
        <v>44</v>
      </c>
      <c r="E50" s="375">
        <f>1*100000</f>
        <v>100000</v>
      </c>
      <c r="F50" s="47">
        <f>BJ50</f>
        <v>0</v>
      </c>
      <c r="G50" s="85">
        <f>E50*F50</f>
        <v>0</v>
      </c>
      <c r="H50" s="85">
        <f>G50*0.2</f>
        <v>0</v>
      </c>
      <c r="I50" s="85">
        <f>G50*0.8</f>
        <v>0</v>
      </c>
      <c r="J50" s="85">
        <f>G50*0</f>
        <v>0</v>
      </c>
      <c r="K50" s="85">
        <f>G50*0</f>
        <v>0</v>
      </c>
      <c r="L50" s="85">
        <v>0</v>
      </c>
      <c r="M50" s="85">
        <f>G50*0</f>
        <v>0</v>
      </c>
      <c r="N50" s="85">
        <f>G50*0</f>
        <v>0</v>
      </c>
      <c r="O50" s="85">
        <f>G50*0</f>
        <v>0</v>
      </c>
      <c r="P50" s="85">
        <f>G50*0</f>
        <v>0</v>
      </c>
      <c r="Q50" s="85">
        <f>G50*0</f>
        <v>0</v>
      </c>
      <c r="R50" s="47"/>
      <c r="S50" s="47">
        <f>F50</f>
        <v>0</v>
      </c>
      <c r="T50" s="47"/>
      <c r="U50" s="47"/>
      <c r="V50" s="376">
        <f>R50*E50</f>
        <v>0</v>
      </c>
      <c r="W50" s="376">
        <f>S50*E50</f>
        <v>0</v>
      </c>
      <c r="X50" s="376">
        <f>T50*E50</f>
        <v>0</v>
      </c>
      <c r="Y50" s="376">
        <f>U50*E50</f>
        <v>0</v>
      </c>
      <c r="Z50" s="47">
        <v>0</v>
      </c>
      <c r="AA50" s="181">
        <f t="shared" si="20"/>
        <v>0</v>
      </c>
      <c r="AB50" s="47">
        <v>0</v>
      </c>
      <c r="AC50" s="181">
        <f t="shared" si="21"/>
        <v>0</v>
      </c>
      <c r="AD50" s="47">
        <v>0</v>
      </c>
      <c r="AE50" s="181">
        <f t="shared" si="22"/>
        <v>0</v>
      </c>
      <c r="AF50" s="47">
        <v>0</v>
      </c>
      <c r="AG50" s="181">
        <f t="shared" si="23"/>
        <v>0</v>
      </c>
      <c r="AH50" s="47">
        <v>0</v>
      </c>
      <c r="AI50" s="181">
        <f t="shared" si="24"/>
        <v>0</v>
      </c>
      <c r="AJ50" s="47">
        <v>0</v>
      </c>
      <c r="AK50" s="181">
        <f t="shared" si="25"/>
        <v>0</v>
      </c>
      <c r="AL50" s="47">
        <v>0</v>
      </c>
      <c r="AM50" s="181">
        <f t="shared" si="26"/>
        <v>0</v>
      </c>
      <c r="AN50" s="47">
        <v>0</v>
      </c>
      <c r="AO50" s="181">
        <f t="shared" si="27"/>
        <v>0</v>
      </c>
      <c r="AP50" s="47">
        <v>0</v>
      </c>
      <c r="AQ50" s="181">
        <f t="shared" si="28"/>
        <v>0</v>
      </c>
      <c r="AR50" s="47">
        <v>0</v>
      </c>
      <c r="AS50" s="181">
        <f t="shared" si="29"/>
        <v>0</v>
      </c>
      <c r="AT50" s="47">
        <v>0</v>
      </c>
      <c r="AU50" s="181">
        <f t="shared" si="30"/>
        <v>0</v>
      </c>
      <c r="AV50" s="47">
        <v>0</v>
      </c>
      <c r="AW50" s="181">
        <f t="shared" si="31"/>
        <v>0</v>
      </c>
      <c r="AX50" s="47">
        <v>0</v>
      </c>
      <c r="AY50" s="181">
        <f t="shared" si="32"/>
        <v>0</v>
      </c>
      <c r="AZ50" s="47">
        <v>0</v>
      </c>
      <c r="BA50" s="181">
        <f t="shared" si="33"/>
        <v>0</v>
      </c>
      <c r="BB50" s="47">
        <v>0</v>
      </c>
      <c r="BC50" s="181">
        <f t="shared" si="34"/>
        <v>0</v>
      </c>
      <c r="BD50" s="47">
        <v>0</v>
      </c>
      <c r="BE50" s="181">
        <f t="shared" si="35"/>
        <v>0</v>
      </c>
      <c r="BF50" s="47">
        <v>0</v>
      </c>
      <c r="BG50" s="181">
        <f t="shared" si="36"/>
        <v>0</v>
      </c>
      <c r="BH50" s="47">
        <v>0</v>
      </c>
      <c r="BI50" s="181">
        <f t="shared" si="37"/>
        <v>0</v>
      </c>
      <c r="BJ50" s="47">
        <f>Z50+AB50+AD50+AF50+AH50+AJ50+AL50+AN50+AP50+AR50+AT50+AV50+AX50+AZ50+BB50+BD50+BF50+BH50</f>
        <v>0</v>
      </c>
      <c r="BK50" s="117">
        <f>AA50+AC50+AE50+AG50+AI50+AK50+AM50+AO50+AQ50+AS50+AU50+AW50+AY50+BA50+BC50+BE50+BG50+BI50</f>
        <v>0</v>
      </c>
      <c r="BL50" s="302" t="s">
        <v>469</v>
      </c>
      <c r="BN50" s="113"/>
      <c r="BO50" s="113"/>
      <c r="BP50" s="263">
        <f>G50</f>
        <v>0</v>
      </c>
      <c r="BQ50" s="113"/>
      <c r="BR50" s="113">
        <f>BN50+BO50+BP50+BQ50</f>
        <v>0</v>
      </c>
      <c r="BS50" s="113"/>
      <c r="BT50" s="113"/>
      <c r="BU50" s="125">
        <f>BS50+BT50</f>
        <v>0</v>
      </c>
      <c r="BV50" s="181">
        <f t="shared" si="0"/>
        <v>0</v>
      </c>
    </row>
    <row r="51" spans="1:74" x14ac:dyDescent="0.25">
      <c r="A51" s="989"/>
      <c r="B51" s="38"/>
      <c r="C51" s="38" t="s">
        <v>284</v>
      </c>
      <c r="D51" s="38" t="s">
        <v>44</v>
      </c>
      <c r="E51" s="375">
        <f>1*100000</f>
        <v>100000</v>
      </c>
      <c r="F51" s="47">
        <f>BJ51</f>
        <v>0</v>
      </c>
      <c r="G51" s="85">
        <f>E51*F51</f>
        <v>0</v>
      </c>
      <c r="H51" s="85">
        <f>G51*0.2</f>
        <v>0</v>
      </c>
      <c r="I51" s="85">
        <f>G51*0.8</f>
        <v>0</v>
      </c>
      <c r="J51" s="85">
        <f>G51*0</f>
        <v>0</v>
      </c>
      <c r="K51" s="85">
        <f>G51*0</f>
        <v>0</v>
      </c>
      <c r="L51" s="85">
        <v>0</v>
      </c>
      <c r="M51" s="85">
        <f>G51*0</f>
        <v>0</v>
      </c>
      <c r="N51" s="85">
        <f>G51*0</f>
        <v>0</v>
      </c>
      <c r="O51" s="85">
        <f>G51*0</f>
        <v>0</v>
      </c>
      <c r="P51" s="85">
        <f>G51*0</f>
        <v>0</v>
      </c>
      <c r="Q51" s="85">
        <f>G51*0</f>
        <v>0</v>
      </c>
      <c r="R51" s="47"/>
      <c r="S51" s="47"/>
      <c r="T51" s="47">
        <f>F51</f>
        <v>0</v>
      </c>
      <c r="U51" s="47"/>
      <c r="V51" s="376">
        <f>R51*E51</f>
        <v>0</v>
      </c>
      <c r="W51" s="376">
        <f>S51*E51</f>
        <v>0</v>
      </c>
      <c r="X51" s="376">
        <f>T51*E51</f>
        <v>0</v>
      </c>
      <c r="Y51" s="376">
        <f>U51*E51</f>
        <v>0</v>
      </c>
      <c r="Z51" s="47">
        <v>0</v>
      </c>
      <c r="AA51" s="181">
        <f t="shared" si="20"/>
        <v>0</v>
      </c>
      <c r="AB51" s="47">
        <v>0</v>
      </c>
      <c r="AC51" s="181">
        <f t="shared" si="21"/>
        <v>0</v>
      </c>
      <c r="AD51" s="47">
        <v>0</v>
      </c>
      <c r="AE51" s="181">
        <f t="shared" si="22"/>
        <v>0</v>
      </c>
      <c r="AF51" s="47">
        <v>0</v>
      </c>
      <c r="AG51" s="181">
        <f t="shared" si="23"/>
        <v>0</v>
      </c>
      <c r="AH51" s="47">
        <v>0</v>
      </c>
      <c r="AI51" s="181">
        <f t="shared" si="24"/>
        <v>0</v>
      </c>
      <c r="AJ51" s="47">
        <v>0</v>
      </c>
      <c r="AK51" s="181">
        <f t="shared" si="25"/>
        <v>0</v>
      </c>
      <c r="AL51" s="47">
        <v>0</v>
      </c>
      <c r="AM51" s="181">
        <f t="shared" si="26"/>
        <v>0</v>
      </c>
      <c r="AN51" s="47">
        <v>0</v>
      </c>
      <c r="AO51" s="181">
        <f t="shared" si="27"/>
        <v>0</v>
      </c>
      <c r="AP51" s="47">
        <v>0</v>
      </c>
      <c r="AQ51" s="181">
        <f t="shared" si="28"/>
        <v>0</v>
      </c>
      <c r="AR51" s="47">
        <v>0</v>
      </c>
      <c r="AS51" s="181">
        <f t="shared" si="29"/>
        <v>0</v>
      </c>
      <c r="AT51" s="47">
        <v>0</v>
      </c>
      <c r="AU51" s="181">
        <f t="shared" si="30"/>
        <v>0</v>
      </c>
      <c r="AV51" s="47">
        <v>0</v>
      </c>
      <c r="AW51" s="181">
        <f t="shared" si="31"/>
        <v>0</v>
      </c>
      <c r="AX51" s="47">
        <v>0</v>
      </c>
      <c r="AY51" s="181">
        <f t="shared" si="32"/>
        <v>0</v>
      </c>
      <c r="AZ51" s="47">
        <v>0</v>
      </c>
      <c r="BA51" s="181">
        <f t="shared" si="33"/>
        <v>0</v>
      </c>
      <c r="BB51" s="47">
        <v>0</v>
      </c>
      <c r="BC51" s="181">
        <f t="shared" si="34"/>
        <v>0</v>
      </c>
      <c r="BD51" s="47">
        <v>0</v>
      </c>
      <c r="BE51" s="181">
        <f t="shared" si="35"/>
        <v>0</v>
      </c>
      <c r="BF51" s="47">
        <v>0</v>
      </c>
      <c r="BG51" s="181">
        <f t="shared" si="36"/>
        <v>0</v>
      </c>
      <c r="BH51" s="47">
        <v>0</v>
      </c>
      <c r="BI51" s="181">
        <f t="shared" si="37"/>
        <v>0</v>
      </c>
      <c r="BJ51" s="47">
        <f>Z51+AB51+AD51+AF51+AH51+AJ51+AL51+AN51+AP51+AR51+AT51+AV51+AX51+AZ51+BB51+BD51+BF51+BH51</f>
        <v>0</v>
      </c>
      <c r="BK51" s="117">
        <f>AA51+AC51+AE51+AG51+AI51+AK51+AM51+AO51+AQ51+AS51+AU51+AW51+AY51+BA51+BC51+BE51+BG51+BI51</f>
        <v>0</v>
      </c>
      <c r="BL51" s="302" t="s">
        <v>469</v>
      </c>
      <c r="BN51" s="113"/>
      <c r="BO51" s="113"/>
      <c r="BP51" s="263">
        <f>G51</f>
        <v>0</v>
      </c>
      <c r="BQ51" s="113"/>
      <c r="BR51" s="113">
        <f>BN51+BO51+BP51+BQ51</f>
        <v>0</v>
      </c>
      <c r="BS51" s="113"/>
      <c r="BT51" s="113"/>
      <c r="BU51" s="125">
        <f>BS51+BT51</f>
        <v>0</v>
      </c>
      <c r="BV51" s="181">
        <f t="shared" si="0"/>
        <v>0</v>
      </c>
    </row>
    <row r="52" spans="1:74" x14ac:dyDescent="0.25">
      <c r="A52" s="989"/>
      <c r="B52" s="265"/>
      <c r="C52" s="392" t="s">
        <v>340</v>
      </c>
      <c r="D52" s="392" t="s">
        <v>282</v>
      </c>
      <c r="E52" s="392" t="s">
        <v>282</v>
      </c>
      <c r="F52" s="392">
        <f>SUM(F50:F51)</f>
        <v>0</v>
      </c>
      <c r="G52" s="393">
        <f>SUM(G50:G51)</f>
        <v>0</v>
      </c>
      <c r="H52" s="393">
        <f t="shared" ref="H52:Q52" si="66">SUM(H50:H51)</f>
        <v>0</v>
      </c>
      <c r="I52" s="393">
        <f t="shared" si="66"/>
        <v>0</v>
      </c>
      <c r="J52" s="393">
        <f t="shared" si="66"/>
        <v>0</v>
      </c>
      <c r="K52" s="393">
        <f t="shared" si="66"/>
        <v>0</v>
      </c>
      <c r="L52" s="393">
        <f t="shared" si="66"/>
        <v>0</v>
      </c>
      <c r="M52" s="393">
        <f t="shared" si="66"/>
        <v>0</v>
      </c>
      <c r="N52" s="393">
        <f t="shared" si="66"/>
        <v>0</v>
      </c>
      <c r="O52" s="393">
        <f t="shared" si="66"/>
        <v>0</v>
      </c>
      <c r="P52" s="393">
        <f t="shared" si="66"/>
        <v>0</v>
      </c>
      <c r="Q52" s="393">
        <f t="shared" si="66"/>
        <v>0</v>
      </c>
      <c r="R52" s="392">
        <f t="shared" ref="R52:BK52" si="67">SUM(R50:R51)</f>
        <v>0</v>
      </c>
      <c r="S52" s="392">
        <f t="shared" si="67"/>
        <v>0</v>
      </c>
      <c r="T52" s="392">
        <f t="shared" si="67"/>
        <v>0</v>
      </c>
      <c r="U52" s="392">
        <f t="shared" si="67"/>
        <v>0</v>
      </c>
      <c r="V52" s="393">
        <f t="shared" si="67"/>
        <v>0</v>
      </c>
      <c r="W52" s="393">
        <f t="shared" si="67"/>
        <v>0</v>
      </c>
      <c r="X52" s="393">
        <f t="shared" si="67"/>
        <v>0</v>
      </c>
      <c r="Y52" s="393">
        <f t="shared" si="67"/>
        <v>0</v>
      </c>
      <c r="Z52" s="392">
        <f t="shared" si="67"/>
        <v>0</v>
      </c>
      <c r="AA52" s="392">
        <f t="shared" si="67"/>
        <v>0</v>
      </c>
      <c r="AB52" s="392">
        <f t="shared" si="67"/>
        <v>0</v>
      </c>
      <c r="AC52" s="392">
        <f t="shared" si="67"/>
        <v>0</v>
      </c>
      <c r="AD52" s="392">
        <f t="shared" si="67"/>
        <v>0</v>
      </c>
      <c r="AE52" s="392">
        <f t="shared" si="67"/>
        <v>0</v>
      </c>
      <c r="AF52" s="392">
        <f t="shared" si="67"/>
        <v>0</v>
      </c>
      <c r="AG52" s="392">
        <f t="shared" si="67"/>
        <v>0</v>
      </c>
      <c r="AH52" s="392">
        <f t="shared" si="67"/>
        <v>0</v>
      </c>
      <c r="AI52" s="392">
        <f t="shared" si="67"/>
        <v>0</v>
      </c>
      <c r="AJ52" s="392">
        <f t="shared" si="67"/>
        <v>0</v>
      </c>
      <c r="AK52" s="392">
        <f t="shared" si="67"/>
        <v>0</v>
      </c>
      <c r="AL52" s="392">
        <f t="shared" si="67"/>
        <v>0</v>
      </c>
      <c r="AM52" s="392">
        <f t="shared" si="67"/>
        <v>0</v>
      </c>
      <c r="AN52" s="392">
        <f t="shared" si="67"/>
        <v>0</v>
      </c>
      <c r="AO52" s="392">
        <f t="shared" si="67"/>
        <v>0</v>
      </c>
      <c r="AP52" s="392">
        <f t="shared" si="67"/>
        <v>0</v>
      </c>
      <c r="AQ52" s="392">
        <f t="shared" si="67"/>
        <v>0</v>
      </c>
      <c r="AR52" s="392">
        <f t="shared" si="67"/>
        <v>0</v>
      </c>
      <c r="AS52" s="392">
        <f t="shared" si="67"/>
        <v>0</v>
      </c>
      <c r="AT52" s="392">
        <f t="shared" si="67"/>
        <v>0</v>
      </c>
      <c r="AU52" s="392">
        <f t="shared" si="67"/>
        <v>0</v>
      </c>
      <c r="AV52" s="392">
        <f t="shared" si="67"/>
        <v>0</v>
      </c>
      <c r="AW52" s="392">
        <f t="shared" si="67"/>
        <v>0</v>
      </c>
      <c r="AX52" s="392">
        <f t="shared" si="67"/>
        <v>0</v>
      </c>
      <c r="AY52" s="392">
        <f t="shared" si="67"/>
        <v>0</v>
      </c>
      <c r="AZ52" s="392">
        <f t="shared" si="67"/>
        <v>0</v>
      </c>
      <c r="BA52" s="392">
        <f t="shared" si="67"/>
        <v>0</v>
      </c>
      <c r="BB52" s="392">
        <f t="shared" si="67"/>
        <v>0</v>
      </c>
      <c r="BC52" s="392">
        <f t="shared" si="67"/>
        <v>0</v>
      </c>
      <c r="BD52" s="392">
        <f t="shared" si="67"/>
        <v>0</v>
      </c>
      <c r="BE52" s="392">
        <f t="shared" si="67"/>
        <v>0</v>
      </c>
      <c r="BF52" s="392">
        <f t="shared" si="67"/>
        <v>0</v>
      </c>
      <c r="BG52" s="392">
        <f t="shared" si="67"/>
        <v>0</v>
      </c>
      <c r="BH52" s="392">
        <f t="shared" si="67"/>
        <v>0</v>
      </c>
      <c r="BI52" s="392">
        <f t="shared" si="67"/>
        <v>0</v>
      </c>
      <c r="BJ52" s="392">
        <f t="shared" si="67"/>
        <v>0</v>
      </c>
      <c r="BK52" s="394">
        <f t="shared" si="67"/>
        <v>0</v>
      </c>
      <c r="BL52" s="302"/>
      <c r="BN52" s="394">
        <f t="shared" ref="BN52:BU52" si="68">SUM(BN50:BN51)</f>
        <v>0</v>
      </c>
      <c r="BO52" s="394">
        <f t="shared" si="68"/>
        <v>0</v>
      </c>
      <c r="BP52" s="394">
        <f t="shared" si="68"/>
        <v>0</v>
      </c>
      <c r="BQ52" s="394">
        <f t="shared" si="68"/>
        <v>0</v>
      </c>
      <c r="BR52" s="394">
        <f t="shared" si="68"/>
        <v>0</v>
      </c>
      <c r="BS52" s="394">
        <f t="shared" si="68"/>
        <v>0</v>
      </c>
      <c r="BT52" s="394">
        <f t="shared" si="68"/>
        <v>0</v>
      </c>
      <c r="BU52" s="394">
        <f t="shared" si="68"/>
        <v>0</v>
      </c>
      <c r="BV52" s="395">
        <f t="shared" si="0"/>
        <v>0</v>
      </c>
    </row>
    <row r="53" spans="1:74" ht="47.25" x14ac:dyDescent="0.25">
      <c r="A53" s="989"/>
      <c r="B53" s="38">
        <v>41330</v>
      </c>
      <c r="C53" s="396" t="s">
        <v>865</v>
      </c>
      <c r="D53" s="38" t="s">
        <v>79</v>
      </c>
      <c r="E53" s="375">
        <v>1400</v>
      </c>
      <c r="F53" s="47">
        <f>BJ53</f>
        <v>5100</v>
      </c>
      <c r="G53" s="85">
        <f>E53*F53</f>
        <v>7140000</v>
      </c>
      <c r="H53" s="85">
        <f>G53*0.2</f>
        <v>1428000</v>
      </c>
      <c r="I53" s="85">
        <f>G53*0.8</f>
        <v>5712000</v>
      </c>
      <c r="J53" s="85">
        <f>G53*0</f>
        <v>0</v>
      </c>
      <c r="K53" s="85">
        <f>G53*0</f>
        <v>0</v>
      </c>
      <c r="L53" s="85">
        <f>G53*0</f>
        <v>0</v>
      </c>
      <c r="M53" s="85">
        <f>G53*0</f>
        <v>0</v>
      </c>
      <c r="N53" s="85">
        <f>G53*0</f>
        <v>0</v>
      </c>
      <c r="O53" s="85">
        <f>G53*0</f>
        <v>0</v>
      </c>
      <c r="P53" s="85">
        <f>G53*0</f>
        <v>0</v>
      </c>
      <c r="Q53" s="85">
        <f>G53*0</f>
        <v>0</v>
      </c>
      <c r="R53" s="47">
        <v>1275</v>
      </c>
      <c r="S53" s="47">
        <v>1275</v>
      </c>
      <c r="T53" s="47">
        <v>1275</v>
      </c>
      <c r="U53" s="47">
        <v>1275</v>
      </c>
      <c r="V53" s="376">
        <f>R53*E53</f>
        <v>1785000</v>
      </c>
      <c r="W53" s="376">
        <f>S53*E53</f>
        <v>1785000</v>
      </c>
      <c r="X53" s="376">
        <f>T53*E53</f>
        <v>1785000</v>
      </c>
      <c r="Y53" s="376">
        <f>U53*E53</f>
        <v>1785000</v>
      </c>
      <c r="Z53" s="47">
        <v>300</v>
      </c>
      <c r="AA53" s="181">
        <f t="shared" si="20"/>
        <v>420000</v>
      </c>
      <c r="AB53" s="47">
        <v>300</v>
      </c>
      <c r="AC53" s="181">
        <f t="shared" si="21"/>
        <v>420000</v>
      </c>
      <c r="AD53" s="47">
        <v>300</v>
      </c>
      <c r="AE53" s="181">
        <f t="shared" si="22"/>
        <v>420000</v>
      </c>
      <c r="AF53" s="47">
        <v>300</v>
      </c>
      <c r="AG53" s="181">
        <f t="shared" si="23"/>
        <v>420000</v>
      </c>
      <c r="AH53" s="47">
        <v>300</v>
      </c>
      <c r="AI53" s="181">
        <f t="shared" si="24"/>
        <v>420000</v>
      </c>
      <c r="AJ53" s="47">
        <v>300</v>
      </c>
      <c r="AK53" s="181">
        <f t="shared" si="25"/>
        <v>420000</v>
      </c>
      <c r="AL53" s="47">
        <v>300</v>
      </c>
      <c r="AM53" s="181">
        <f t="shared" si="26"/>
        <v>420000</v>
      </c>
      <c r="AN53" s="47">
        <v>300</v>
      </c>
      <c r="AO53" s="181">
        <f t="shared" si="27"/>
        <v>420000</v>
      </c>
      <c r="AP53" s="47">
        <v>300</v>
      </c>
      <c r="AQ53" s="181">
        <f t="shared" si="28"/>
        <v>420000</v>
      </c>
      <c r="AR53" s="47">
        <v>300</v>
      </c>
      <c r="AS53" s="181">
        <f t="shared" si="29"/>
        <v>420000</v>
      </c>
      <c r="AT53" s="47">
        <v>300</v>
      </c>
      <c r="AU53" s="181">
        <f t="shared" si="30"/>
        <v>420000</v>
      </c>
      <c r="AV53" s="47">
        <v>300</v>
      </c>
      <c r="AW53" s="181">
        <f t="shared" si="31"/>
        <v>420000</v>
      </c>
      <c r="AX53" s="47">
        <v>300</v>
      </c>
      <c r="AY53" s="181">
        <f t="shared" si="32"/>
        <v>420000</v>
      </c>
      <c r="AZ53" s="47">
        <v>300</v>
      </c>
      <c r="BA53" s="181">
        <f t="shared" si="33"/>
        <v>420000</v>
      </c>
      <c r="BB53" s="47">
        <v>300</v>
      </c>
      <c r="BC53" s="181">
        <f t="shared" si="34"/>
        <v>420000</v>
      </c>
      <c r="BD53" s="47">
        <v>300</v>
      </c>
      <c r="BE53" s="181">
        <f t="shared" si="35"/>
        <v>420000</v>
      </c>
      <c r="BF53" s="47">
        <v>300</v>
      </c>
      <c r="BG53" s="181">
        <f t="shared" si="36"/>
        <v>420000</v>
      </c>
      <c r="BH53" s="47">
        <v>0</v>
      </c>
      <c r="BI53" s="181">
        <f t="shared" si="37"/>
        <v>0</v>
      </c>
      <c r="BJ53" s="47">
        <f>Z53+AB53+AD53+AF53+AH53+AJ53+AL53+AN53+AP53+AR53+AT53+AV53+AX53+AZ53+BB53+BD53+BF53+BH53</f>
        <v>5100</v>
      </c>
      <c r="BK53" s="117">
        <f>AA53+AC53+AE53+AG53+AI53+AK53+AM53+AO53+AQ53+AS53+AU53+AW53+AY53+BA53+BC53+BE53+BG53+BI53</f>
        <v>7140000</v>
      </c>
      <c r="BL53" s="302" t="s">
        <v>469</v>
      </c>
      <c r="BN53" s="113"/>
      <c r="BO53" s="113"/>
      <c r="BP53" s="263">
        <f>G53</f>
        <v>7140000</v>
      </c>
      <c r="BQ53" s="113"/>
      <c r="BR53" s="113">
        <f>BN53+BO53+BP53+BQ53</f>
        <v>7140000</v>
      </c>
      <c r="BS53" s="113"/>
      <c r="BT53" s="113"/>
      <c r="BU53" s="125"/>
      <c r="BV53" s="181">
        <f t="shared" si="0"/>
        <v>7140000</v>
      </c>
    </row>
    <row r="54" spans="1:74" x14ac:dyDescent="0.25">
      <c r="A54" s="989"/>
      <c r="B54" s="265"/>
      <c r="C54" s="392" t="s">
        <v>341</v>
      </c>
      <c r="D54" s="392"/>
      <c r="E54" s="392"/>
      <c r="F54" s="392">
        <f>SUM(F53)</f>
        <v>5100</v>
      </c>
      <c r="G54" s="393">
        <f>SUM(G53)</f>
        <v>7140000</v>
      </c>
      <c r="H54" s="393">
        <f t="shared" ref="H54:Q54" si="69">SUM(H53)</f>
        <v>1428000</v>
      </c>
      <c r="I54" s="393">
        <f t="shared" si="69"/>
        <v>5712000</v>
      </c>
      <c r="J54" s="393">
        <f t="shared" si="69"/>
        <v>0</v>
      </c>
      <c r="K54" s="393">
        <f t="shared" si="69"/>
        <v>0</v>
      </c>
      <c r="L54" s="393">
        <f t="shared" si="69"/>
        <v>0</v>
      </c>
      <c r="M54" s="393">
        <f t="shared" si="69"/>
        <v>0</v>
      </c>
      <c r="N54" s="393">
        <f t="shared" si="69"/>
        <v>0</v>
      </c>
      <c r="O54" s="393">
        <f t="shared" si="69"/>
        <v>0</v>
      </c>
      <c r="P54" s="393">
        <f t="shared" si="69"/>
        <v>0</v>
      </c>
      <c r="Q54" s="393">
        <f t="shared" si="69"/>
        <v>0</v>
      </c>
      <c r="R54" s="392">
        <f t="shared" ref="R54:BK54" si="70">SUM(R53)</f>
        <v>1275</v>
      </c>
      <c r="S54" s="392">
        <f t="shared" si="70"/>
        <v>1275</v>
      </c>
      <c r="T54" s="392">
        <f t="shared" si="70"/>
        <v>1275</v>
      </c>
      <c r="U54" s="392">
        <f t="shared" si="70"/>
        <v>1275</v>
      </c>
      <c r="V54" s="393">
        <f t="shared" si="70"/>
        <v>1785000</v>
      </c>
      <c r="W54" s="393">
        <f t="shared" si="70"/>
        <v>1785000</v>
      </c>
      <c r="X54" s="393">
        <f t="shared" si="70"/>
        <v>1785000</v>
      </c>
      <c r="Y54" s="393">
        <f t="shared" si="70"/>
        <v>1785000</v>
      </c>
      <c r="Z54" s="392">
        <f t="shared" si="70"/>
        <v>300</v>
      </c>
      <c r="AA54" s="392">
        <f t="shared" si="70"/>
        <v>420000</v>
      </c>
      <c r="AB54" s="392">
        <f t="shared" si="70"/>
        <v>300</v>
      </c>
      <c r="AC54" s="392">
        <f t="shared" si="70"/>
        <v>420000</v>
      </c>
      <c r="AD54" s="392">
        <f t="shared" si="70"/>
        <v>300</v>
      </c>
      <c r="AE54" s="392">
        <f t="shared" si="70"/>
        <v>420000</v>
      </c>
      <c r="AF54" s="392">
        <f t="shared" si="70"/>
        <v>300</v>
      </c>
      <c r="AG54" s="392">
        <f t="shared" si="70"/>
        <v>420000</v>
      </c>
      <c r="AH54" s="392">
        <f t="shared" si="70"/>
        <v>300</v>
      </c>
      <c r="AI54" s="392">
        <f t="shared" si="70"/>
        <v>420000</v>
      </c>
      <c r="AJ54" s="392">
        <f t="shared" si="70"/>
        <v>300</v>
      </c>
      <c r="AK54" s="392">
        <f t="shared" si="70"/>
        <v>420000</v>
      </c>
      <c r="AL54" s="392">
        <f t="shared" si="70"/>
        <v>300</v>
      </c>
      <c r="AM54" s="392">
        <f t="shared" si="70"/>
        <v>420000</v>
      </c>
      <c r="AN54" s="392">
        <f t="shared" si="70"/>
        <v>300</v>
      </c>
      <c r="AO54" s="392">
        <f t="shared" si="70"/>
        <v>420000</v>
      </c>
      <c r="AP54" s="392">
        <f t="shared" si="70"/>
        <v>300</v>
      </c>
      <c r="AQ54" s="392">
        <f t="shared" si="70"/>
        <v>420000</v>
      </c>
      <c r="AR54" s="392">
        <f t="shared" si="70"/>
        <v>300</v>
      </c>
      <c r="AS54" s="392">
        <f t="shared" si="70"/>
        <v>420000</v>
      </c>
      <c r="AT54" s="392">
        <f t="shared" si="70"/>
        <v>300</v>
      </c>
      <c r="AU54" s="392">
        <f t="shared" si="70"/>
        <v>420000</v>
      </c>
      <c r="AV54" s="392">
        <f t="shared" si="70"/>
        <v>300</v>
      </c>
      <c r="AW54" s="392">
        <f t="shared" si="70"/>
        <v>420000</v>
      </c>
      <c r="AX54" s="392">
        <f t="shared" si="70"/>
        <v>300</v>
      </c>
      <c r="AY54" s="392">
        <f t="shared" si="70"/>
        <v>420000</v>
      </c>
      <c r="AZ54" s="392">
        <f t="shared" si="70"/>
        <v>300</v>
      </c>
      <c r="BA54" s="392">
        <f t="shared" si="70"/>
        <v>420000</v>
      </c>
      <c r="BB54" s="392">
        <f t="shared" si="70"/>
        <v>300</v>
      </c>
      <c r="BC54" s="392">
        <f t="shared" si="70"/>
        <v>420000</v>
      </c>
      <c r="BD54" s="392">
        <f t="shared" si="70"/>
        <v>300</v>
      </c>
      <c r="BE54" s="392">
        <f t="shared" si="70"/>
        <v>420000</v>
      </c>
      <c r="BF54" s="392">
        <f t="shared" si="70"/>
        <v>300</v>
      </c>
      <c r="BG54" s="392">
        <f t="shared" si="70"/>
        <v>420000</v>
      </c>
      <c r="BH54" s="392">
        <f t="shared" si="70"/>
        <v>0</v>
      </c>
      <c r="BI54" s="392">
        <f t="shared" si="70"/>
        <v>0</v>
      </c>
      <c r="BJ54" s="392">
        <f t="shared" si="70"/>
        <v>5100</v>
      </c>
      <c r="BK54" s="394">
        <f t="shared" si="70"/>
        <v>7140000</v>
      </c>
      <c r="BL54" s="47"/>
      <c r="BN54" s="394">
        <f t="shared" ref="BN54:BU54" si="71">SUM(BN53)</f>
        <v>0</v>
      </c>
      <c r="BO54" s="394">
        <f t="shared" si="71"/>
        <v>0</v>
      </c>
      <c r="BP54" s="394">
        <f t="shared" si="71"/>
        <v>7140000</v>
      </c>
      <c r="BQ54" s="394">
        <f t="shared" si="71"/>
        <v>0</v>
      </c>
      <c r="BR54" s="394">
        <f t="shared" si="71"/>
        <v>7140000</v>
      </c>
      <c r="BS54" s="394">
        <f t="shared" si="71"/>
        <v>0</v>
      </c>
      <c r="BT54" s="394">
        <f t="shared" si="71"/>
        <v>0</v>
      </c>
      <c r="BU54" s="394">
        <f t="shared" si="71"/>
        <v>0</v>
      </c>
      <c r="BV54" s="395">
        <f t="shared" si="0"/>
        <v>7140000</v>
      </c>
    </row>
    <row r="55" spans="1:74" s="67" customFormat="1" x14ac:dyDescent="0.25">
      <c r="A55" s="989"/>
      <c r="B55" s="377"/>
      <c r="C55" s="378" t="s">
        <v>291</v>
      </c>
      <c r="D55" s="379" t="s">
        <v>282</v>
      </c>
      <c r="E55" s="379">
        <v>0</v>
      </c>
      <c r="F55" s="379">
        <f>F54+F52</f>
        <v>5100</v>
      </c>
      <c r="G55" s="397">
        <f t="shared" ref="G55:BI55" si="72">G54+G52</f>
        <v>7140000</v>
      </c>
      <c r="H55" s="397">
        <f t="shared" ref="H55:Q55" si="73">H54+H52</f>
        <v>1428000</v>
      </c>
      <c r="I55" s="397">
        <f t="shared" si="73"/>
        <v>5712000</v>
      </c>
      <c r="J55" s="397">
        <f t="shared" si="73"/>
        <v>0</v>
      </c>
      <c r="K55" s="397">
        <f t="shared" si="73"/>
        <v>0</v>
      </c>
      <c r="L55" s="397">
        <f t="shared" si="73"/>
        <v>0</v>
      </c>
      <c r="M55" s="397">
        <f t="shared" si="73"/>
        <v>0</v>
      </c>
      <c r="N55" s="397">
        <f t="shared" si="73"/>
        <v>0</v>
      </c>
      <c r="O55" s="397">
        <f t="shared" si="73"/>
        <v>0</v>
      </c>
      <c r="P55" s="397">
        <f t="shared" si="73"/>
        <v>0</v>
      </c>
      <c r="Q55" s="397">
        <f t="shared" si="73"/>
        <v>0</v>
      </c>
      <c r="R55" s="379">
        <f t="shared" si="72"/>
        <v>1275</v>
      </c>
      <c r="S55" s="379">
        <f t="shared" si="72"/>
        <v>1275</v>
      </c>
      <c r="T55" s="379">
        <f t="shared" si="72"/>
        <v>1275</v>
      </c>
      <c r="U55" s="379">
        <f t="shared" si="72"/>
        <v>1275</v>
      </c>
      <c r="V55" s="397">
        <f t="shared" si="72"/>
        <v>1785000</v>
      </c>
      <c r="W55" s="397">
        <f t="shared" si="72"/>
        <v>1785000</v>
      </c>
      <c r="X55" s="397">
        <f t="shared" si="72"/>
        <v>1785000</v>
      </c>
      <c r="Y55" s="397">
        <f t="shared" si="72"/>
        <v>1785000</v>
      </c>
      <c r="Z55" s="379">
        <f t="shared" ref="Z55:BK55" si="74">Z54+Z52</f>
        <v>300</v>
      </c>
      <c r="AA55" s="397">
        <f t="shared" si="72"/>
        <v>420000</v>
      </c>
      <c r="AB55" s="379">
        <f t="shared" si="74"/>
        <v>300</v>
      </c>
      <c r="AC55" s="397">
        <f t="shared" si="72"/>
        <v>420000</v>
      </c>
      <c r="AD55" s="379">
        <f t="shared" si="74"/>
        <v>300</v>
      </c>
      <c r="AE55" s="397">
        <f t="shared" si="72"/>
        <v>420000</v>
      </c>
      <c r="AF55" s="379">
        <f t="shared" si="74"/>
        <v>300</v>
      </c>
      <c r="AG55" s="397">
        <f t="shared" si="72"/>
        <v>420000</v>
      </c>
      <c r="AH55" s="379">
        <f t="shared" si="74"/>
        <v>300</v>
      </c>
      <c r="AI55" s="397">
        <f t="shared" si="72"/>
        <v>420000</v>
      </c>
      <c r="AJ55" s="379">
        <f t="shared" si="74"/>
        <v>300</v>
      </c>
      <c r="AK55" s="397">
        <f t="shared" si="72"/>
        <v>420000</v>
      </c>
      <c r="AL55" s="379">
        <f t="shared" si="74"/>
        <v>300</v>
      </c>
      <c r="AM55" s="397">
        <f t="shared" si="72"/>
        <v>420000</v>
      </c>
      <c r="AN55" s="379">
        <f t="shared" si="74"/>
        <v>300</v>
      </c>
      <c r="AO55" s="397">
        <f t="shared" si="72"/>
        <v>420000</v>
      </c>
      <c r="AP55" s="379">
        <f t="shared" si="74"/>
        <v>300</v>
      </c>
      <c r="AQ55" s="397">
        <f t="shared" si="72"/>
        <v>420000</v>
      </c>
      <c r="AR55" s="379">
        <f t="shared" si="74"/>
        <v>300</v>
      </c>
      <c r="AS55" s="397">
        <f t="shared" si="72"/>
        <v>420000</v>
      </c>
      <c r="AT55" s="379">
        <f t="shared" si="74"/>
        <v>300</v>
      </c>
      <c r="AU55" s="397">
        <f t="shared" si="72"/>
        <v>420000</v>
      </c>
      <c r="AV55" s="379">
        <f t="shared" si="74"/>
        <v>300</v>
      </c>
      <c r="AW55" s="397">
        <f t="shared" si="72"/>
        <v>420000</v>
      </c>
      <c r="AX55" s="379">
        <f t="shared" si="74"/>
        <v>300</v>
      </c>
      <c r="AY55" s="397">
        <f t="shared" si="72"/>
        <v>420000</v>
      </c>
      <c r="AZ55" s="379">
        <f t="shared" si="74"/>
        <v>300</v>
      </c>
      <c r="BA55" s="397">
        <f t="shared" si="72"/>
        <v>420000</v>
      </c>
      <c r="BB55" s="379">
        <f t="shared" si="74"/>
        <v>300</v>
      </c>
      <c r="BC55" s="397">
        <f t="shared" si="72"/>
        <v>420000</v>
      </c>
      <c r="BD55" s="379">
        <f t="shared" si="74"/>
        <v>300</v>
      </c>
      <c r="BE55" s="397">
        <f t="shared" si="72"/>
        <v>420000</v>
      </c>
      <c r="BF55" s="379">
        <f t="shared" si="74"/>
        <v>300</v>
      </c>
      <c r="BG55" s="397">
        <f t="shared" si="72"/>
        <v>420000</v>
      </c>
      <c r="BH55" s="379">
        <f t="shared" si="74"/>
        <v>0</v>
      </c>
      <c r="BI55" s="397">
        <f t="shared" si="72"/>
        <v>0</v>
      </c>
      <c r="BJ55" s="379">
        <f t="shared" si="74"/>
        <v>5100</v>
      </c>
      <c r="BK55" s="398">
        <f t="shared" si="74"/>
        <v>7140000</v>
      </c>
      <c r="BL55" s="118"/>
      <c r="BN55" s="398">
        <f t="shared" ref="BN55:BU55" si="75">BN54+BN52</f>
        <v>0</v>
      </c>
      <c r="BO55" s="398">
        <f t="shared" si="75"/>
        <v>0</v>
      </c>
      <c r="BP55" s="398">
        <f t="shared" si="75"/>
        <v>7140000</v>
      </c>
      <c r="BQ55" s="398">
        <f t="shared" si="75"/>
        <v>0</v>
      </c>
      <c r="BR55" s="398">
        <f t="shared" si="75"/>
        <v>7140000</v>
      </c>
      <c r="BS55" s="398">
        <f t="shared" si="75"/>
        <v>0</v>
      </c>
      <c r="BT55" s="398">
        <f t="shared" si="75"/>
        <v>0</v>
      </c>
      <c r="BU55" s="398">
        <f t="shared" si="75"/>
        <v>0</v>
      </c>
      <c r="BV55" s="399">
        <f t="shared" si="0"/>
        <v>7140000</v>
      </c>
    </row>
    <row r="56" spans="1:74" ht="31.5" x14ac:dyDescent="0.25">
      <c r="A56" s="989"/>
      <c r="B56" s="216">
        <v>41400</v>
      </c>
      <c r="C56" s="216" t="s">
        <v>292</v>
      </c>
      <c r="D56" s="38"/>
      <c r="E56" s="375"/>
      <c r="F56" s="38"/>
      <c r="G56" s="85"/>
      <c r="H56" s="85"/>
      <c r="I56" s="85"/>
      <c r="J56" s="85"/>
      <c r="K56" s="85"/>
      <c r="L56" s="85"/>
      <c r="M56" s="85"/>
      <c r="N56" s="85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181">
        <f t="shared" si="20"/>
        <v>0</v>
      </c>
      <c r="AB56" s="47"/>
      <c r="AC56" s="181">
        <f t="shared" si="21"/>
        <v>0</v>
      </c>
      <c r="AD56" s="47"/>
      <c r="AE56" s="181">
        <f t="shared" si="22"/>
        <v>0</v>
      </c>
      <c r="AF56" s="47"/>
      <c r="AG56" s="181">
        <f t="shared" si="23"/>
        <v>0</v>
      </c>
      <c r="AH56" s="47"/>
      <c r="AI56" s="181">
        <f t="shared" si="24"/>
        <v>0</v>
      </c>
      <c r="AJ56" s="47"/>
      <c r="AK56" s="181">
        <f t="shared" si="25"/>
        <v>0</v>
      </c>
      <c r="AL56" s="47"/>
      <c r="AM56" s="181">
        <f t="shared" si="26"/>
        <v>0</v>
      </c>
      <c r="AN56" s="47"/>
      <c r="AO56" s="181">
        <f t="shared" si="27"/>
        <v>0</v>
      </c>
      <c r="AP56" s="47"/>
      <c r="AQ56" s="181">
        <f t="shared" si="28"/>
        <v>0</v>
      </c>
      <c r="AR56" s="47"/>
      <c r="AS56" s="181">
        <f t="shared" si="29"/>
        <v>0</v>
      </c>
      <c r="AT56" s="47"/>
      <c r="AU56" s="181">
        <f t="shared" si="30"/>
        <v>0</v>
      </c>
      <c r="AV56" s="47"/>
      <c r="AW56" s="181">
        <f t="shared" si="31"/>
        <v>0</v>
      </c>
      <c r="AX56" s="47"/>
      <c r="AY56" s="181">
        <f t="shared" si="32"/>
        <v>0</v>
      </c>
      <c r="AZ56" s="47"/>
      <c r="BA56" s="181">
        <f t="shared" si="33"/>
        <v>0</v>
      </c>
      <c r="BB56" s="47"/>
      <c r="BC56" s="181">
        <f t="shared" si="34"/>
        <v>0</v>
      </c>
      <c r="BD56" s="47"/>
      <c r="BE56" s="181">
        <f t="shared" si="35"/>
        <v>0</v>
      </c>
      <c r="BF56" s="47"/>
      <c r="BG56" s="181">
        <f t="shared" si="36"/>
        <v>0</v>
      </c>
      <c r="BH56" s="47"/>
      <c r="BI56" s="181">
        <f t="shared" si="37"/>
        <v>0</v>
      </c>
      <c r="BJ56" s="47"/>
      <c r="BK56" s="124"/>
      <c r="BL56" s="47"/>
      <c r="BN56" s="113"/>
      <c r="BO56" s="113"/>
      <c r="BP56" s="113"/>
      <c r="BQ56" s="113"/>
      <c r="BR56" s="113"/>
      <c r="BS56" s="113"/>
      <c r="BT56" s="113"/>
      <c r="BU56" s="125"/>
      <c r="BV56" s="181">
        <f t="shared" si="0"/>
        <v>0</v>
      </c>
    </row>
    <row r="57" spans="1:74" x14ac:dyDescent="0.25">
      <c r="A57" s="989"/>
      <c r="B57" s="38">
        <v>41410</v>
      </c>
      <c r="C57" s="391" t="s">
        <v>342</v>
      </c>
      <c r="D57" s="38"/>
      <c r="E57" s="375"/>
      <c r="F57" s="38"/>
      <c r="G57" s="85"/>
      <c r="H57" s="85"/>
      <c r="I57" s="85"/>
      <c r="J57" s="85"/>
      <c r="K57" s="85"/>
      <c r="L57" s="85"/>
      <c r="M57" s="85"/>
      <c r="N57" s="85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181">
        <f t="shared" si="20"/>
        <v>0</v>
      </c>
      <c r="AB57" s="47"/>
      <c r="AC57" s="181">
        <f t="shared" si="21"/>
        <v>0</v>
      </c>
      <c r="AD57" s="47"/>
      <c r="AE57" s="181">
        <f t="shared" si="22"/>
        <v>0</v>
      </c>
      <c r="AF57" s="47"/>
      <c r="AG57" s="181">
        <f t="shared" si="23"/>
        <v>0</v>
      </c>
      <c r="AH57" s="47"/>
      <c r="AI57" s="181">
        <f t="shared" si="24"/>
        <v>0</v>
      </c>
      <c r="AJ57" s="47"/>
      <c r="AK57" s="181">
        <f t="shared" si="25"/>
        <v>0</v>
      </c>
      <c r="AL57" s="47"/>
      <c r="AM57" s="181">
        <f t="shared" si="26"/>
        <v>0</v>
      </c>
      <c r="AN57" s="47"/>
      <c r="AO57" s="181">
        <f t="shared" si="27"/>
        <v>0</v>
      </c>
      <c r="AP57" s="47"/>
      <c r="AQ57" s="181">
        <f t="shared" si="28"/>
        <v>0</v>
      </c>
      <c r="AR57" s="47"/>
      <c r="AS57" s="181">
        <f t="shared" si="29"/>
        <v>0</v>
      </c>
      <c r="AT57" s="47"/>
      <c r="AU57" s="181">
        <f t="shared" si="30"/>
        <v>0</v>
      </c>
      <c r="AV57" s="47"/>
      <c r="AW57" s="181">
        <f t="shared" si="31"/>
        <v>0</v>
      </c>
      <c r="AX57" s="47"/>
      <c r="AY57" s="181">
        <f t="shared" si="32"/>
        <v>0</v>
      </c>
      <c r="AZ57" s="47"/>
      <c r="BA57" s="181">
        <f t="shared" si="33"/>
        <v>0</v>
      </c>
      <c r="BB57" s="47"/>
      <c r="BC57" s="181">
        <f t="shared" si="34"/>
        <v>0</v>
      </c>
      <c r="BD57" s="47"/>
      <c r="BE57" s="181">
        <f t="shared" si="35"/>
        <v>0</v>
      </c>
      <c r="BF57" s="47"/>
      <c r="BG57" s="181">
        <f t="shared" si="36"/>
        <v>0</v>
      </c>
      <c r="BH57" s="47"/>
      <c r="BI57" s="181">
        <f t="shared" si="37"/>
        <v>0</v>
      </c>
      <c r="BJ57" s="47"/>
      <c r="BK57" s="124"/>
      <c r="BL57" s="47"/>
      <c r="BN57" s="113"/>
      <c r="BO57" s="113"/>
      <c r="BP57" s="113"/>
      <c r="BQ57" s="113"/>
      <c r="BR57" s="113"/>
      <c r="BS57" s="113"/>
      <c r="BT57" s="113"/>
      <c r="BU57" s="125"/>
      <c r="BV57" s="181">
        <f t="shared" si="0"/>
        <v>0</v>
      </c>
    </row>
    <row r="58" spans="1:74" ht="31.5" x14ac:dyDescent="0.25">
      <c r="A58" s="989"/>
      <c r="B58" s="38"/>
      <c r="C58" s="38" t="s">
        <v>343</v>
      </c>
      <c r="D58" s="38" t="s">
        <v>73</v>
      </c>
      <c r="E58" s="375">
        <f>0.65*100000</f>
        <v>65000</v>
      </c>
      <c r="F58" s="47">
        <f t="shared" ref="F58:F65" si="76">BJ58</f>
        <v>0</v>
      </c>
      <c r="G58" s="85">
        <f t="shared" ref="G58:G65" si="77">E58*F58</f>
        <v>0</v>
      </c>
      <c r="H58" s="85">
        <f t="shared" ref="H58:H65" si="78">G58*0.377</f>
        <v>0</v>
      </c>
      <c r="I58" s="85">
        <f t="shared" ref="I58:I65" si="79">G58*0.398</f>
        <v>0</v>
      </c>
      <c r="J58" s="85">
        <f t="shared" ref="J58:J65" si="80">G58*0</f>
        <v>0</v>
      </c>
      <c r="K58" s="85">
        <f t="shared" ref="K58:K65" si="81">G58*0</f>
        <v>0</v>
      </c>
      <c r="L58" s="85">
        <f t="shared" ref="L58:L65" si="82">G58*0.083</f>
        <v>0</v>
      </c>
      <c r="M58" s="85">
        <f t="shared" ref="M58:M65" si="83">G58*0</f>
        <v>0</v>
      </c>
      <c r="N58" s="85">
        <f t="shared" ref="N58:N65" si="84">G58*0</f>
        <v>0</v>
      </c>
      <c r="O58" s="85">
        <f t="shared" ref="O58:O65" si="85">G58*0</f>
        <v>0</v>
      </c>
      <c r="P58" s="85">
        <f t="shared" ref="P58:P65" si="86">G58*0</f>
        <v>0</v>
      </c>
      <c r="Q58" s="85">
        <f t="shared" ref="Q58:Q65" si="87">G58*0.142</f>
        <v>0</v>
      </c>
      <c r="R58" s="47"/>
      <c r="S58" s="47"/>
      <c r="T58" s="47"/>
      <c r="U58" s="47"/>
      <c r="V58" s="376">
        <f>R58*E58</f>
        <v>0</v>
      </c>
      <c r="W58" s="376">
        <f>S58*E58</f>
        <v>0</v>
      </c>
      <c r="X58" s="376">
        <f>T58*E58</f>
        <v>0</v>
      </c>
      <c r="Y58" s="376">
        <f>U58*E58</f>
        <v>0</v>
      </c>
      <c r="Z58" s="47">
        <v>0</v>
      </c>
      <c r="AA58" s="181">
        <f t="shared" si="20"/>
        <v>0</v>
      </c>
      <c r="AB58" s="47">
        <v>0</v>
      </c>
      <c r="AC58" s="181">
        <f t="shared" si="21"/>
        <v>0</v>
      </c>
      <c r="AD58" s="47">
        <v>0</v>
      </c>
      <c r="AE58" s="181">
        <f t="shared" si="22"/>
        <v>0</v>
      </c>
      <c r="AF58" s="47">
        <v>0</v>
      </c>
      <c r="AG58" s="181">
        <f t="shared" si="23"/>
        <v>0</v>
      </c>
      <c r="AH58" s="47">
        <v>0</v>
      </c>
      <c r="AI58" s="181">
        <f t="shared" si="24"/>
        <v>0</v>
      </c>
      <c r="AJ58" s="47">
        <v>0</v>
      </c>
      <c r="AK58" s="181">
        <f t="shared" si="25"/>
        <v>0</v>
      </c>
      <c r="AL58" s="47">
        <v>0</v>
      </c>
      <c r="AM58" s="181">
        <f t="shared" si="26"/>
        <v>0</v>
      </c>
      <c r="AN58" s="47">
        <v>0</v>
      </c>
      <c r="AO58" s="181">
        <f t="shared" si="27"/>
        <v>0</v>
      </c>
      <c r="AP58" s="47">
        <v>0</v>
      </c>
      <c r="AQ58" s="181">
        <f t="shared" si="28"/>
        <v>0</v>
      </c>
      <c r="AR58" s="47">
        <v>0</v>
      </c>
      <c r="AS58" s="181">
        <f t="shared" si="29"/>
        <v>0</v>
      </c>
      <c r="AT58" s="47">
        <v>0</v>
      </c>
      <c r="AU58" s="181">
        <f t="shared" si="30"/>
        <v>0</v>
      </c>
      <c r="AV58" s="47">
        <v>0</v>
      </c>
      <c r="AW58" s="181">
        <f t="shared" si="31"/>
        <v>0</v>
      </c>
      <c r="AX58" s="47">
        <v>0</v>
      </c>
      <c r="AY58" s="181">
        <f t="shared" si="32"/>
        <v>0</v>
      </c>
      <c r="AZ58" s="47">
        <v>0</v>
      </c>
      <c r="BA58" s="181">
        <f t="shared" si="33"/>
        <v>0</v>
      </c>
      <c r="BB58" s="47">
        <v>0</v>
      </c>
      <c r="BC58" s="181">
        <f t="shared" si="34"/>
        <v>0</v>
      </c>
      <c r="BD58" s="47">
        <v>0</v>
      </c>
      <c r="BE58" s="181">
        <f t="shared" si="35"/>
        <v>0</v>
      </c>
      <c r="BF58" s="47">
        <v>0</v>
      </c>
      <c r="BG58" s="181">
        <f t="shared" si="36"/>
        <v>0</v>
      </c>
      <c r="BH58" s="47">
        <v>0</v>
      </c>
      <c r="BI58" s="181">
        <f t="shared" si="37"/>
        <v>0</v>
      </c>
      <c r="BJ58" s="47">
        <f t="shared" ref="BJ58:BK65" si="88">Z58+AB58+AD58+AF58+AH58+AJ58+AL58+AN58+AP58+AR58+AT58+AV58+AX58+AZ58+BB58+BD58+BF58+BH58</f>
        <v>0</v>
      </c>
      <c r="BK58" s="117">
        <f t="shared" si="88"/>
        <v>0</v>
      </c>
      <c r="BL58" s="302" t="s">
        <v>470</v>
      </c>
      <c r="BN58" s="113"/>
      <c r="BO58" s="113"/>
      <c r="BP58" s="113"/>
      <c r="BQ58" s="113"/>
      <c r="BR58" s="113">
        <f>BN58+BO58+BP58+BQ58</f>
        <v>0</v>
      </c>
      <c r="BS58" s="113"/>
      <c r="BT58" s="113"/>
      <c r="BU58" s="125">
        <f>BS58+BT58</f>
        <v>0</v>
      </c>
      <c r="BV58" s="181">
        <f t="shared" si="0"/>
        <v>0</v>
      </c>
    </row>
    <row r="59" spans="1:74" ht="31.5" x14ac:dyDescent="0.25">
      <c r="A59" s="989"/>
      <c r="B59" s="38"/>
      <c r="C59" s="38" t="s">
        <v>344</v>
      </c>
      <c r="D59" s="38" t="s">
        <v>73</v>
      </c>
      <c r="E59" s="375">
        <f>0.6*100000</f>
        <v>60000</v>
      </c>
      <c r="F59" s="47">
        <f t="shared" si="76"/>
        <v>0</v>
      </c>
      <c r="G59" s="85">
        <f t="shared" si="77"/>
        <v>0</v>
      </c>
      <c r="H59" s="85">
        <f t="shared" si="78"/>
        <v>0</v>
      </c>
      <c r="I59" s="85">
        <f t="shared" si="79"/>
        <v>0</v>
      </c>
      <c r="J59" s="85">
        <f t="shared" si="80"/>
        <v>0</v>
      </c>
      <c r="K59" s="85">
        <f t="shared" si="81"/>
        <v>0</v>
      </c>
      <c r="L59" s="85">
        <f t="shared" si="82"/>
        <v>0</v>
      </c>
      <c r="M59" s="85">
        <f t="shared" si="83"/>
        <v>0</v>
      </c>
      <c r="N59" s="85">
        <f t="shared" si="84"/>
        <v>0</v>
      </c>
      <c r="O59" s="85">
        <f t="shared" si="85"/>
        <v>0</v>
      </c>
      <c r="P59" s="85">
        <f t="shared" si="86"/>
        <v>0</v>
      </c>
      <c r="Q59" s="85">
        <f t="shared" si="87"/>
        <v>0</v>
      </c>
      <c r="R59" s="47"/>
      <c r="S59" s="47"/>
      <c r="T59" s="47"/>
      <c r="U59" s="47"/>
      <c r="V59" s="376">
        <f t="shared" ref="V59:V65" si="89">R59*E59</f>
        <v>0</v>
      </c>
      <c r="W59" s="376">
        <f t="shared" ref="W59:W65" si="90">S59*E59</f>
        <v>0</v>
      </c>
      <c r="X59" s="376">
        <f t="shared" ref="X59:X65" si="91">T59*E59</f>
        <v>0</v>
      </c>
      <c r="Y59" s="376">
        <f t="shared" ref="Y59:Y65" si="92">U59*E59</f>
        <v>0</v>
      </c>
      <c r="Z59" s="47">
        <v>0</v>
      </c>
      <c r="AA59" s="181">
        <f t="shared" si="20"/>
        <v>0</v>
      </c>
      <c r="AB59" s="47">
        <v>0</v>
      </c>
      <c r="AC59" s="181">
        <f t="shared" si="21"/>
        <v>0</v>
      </c>
      <c r="AD59" s="47">
        <v>0</v>
      </c>
      <c r="AE59" s="181">
        <f t="shared" si="22"/>
        <v>0</v>
      </c>
      <c r="AF59" s="47">
        <v>0</v>
      </c>
      <c r="AG59" s="181">
        <f t="shared" si="23"/>
        <v>0</v>
      </c>
      <c r="AH59" s="47">
        <v>0</v>
      </c>
      <c r="AI59" s="181">
        <f t="shared" si="24"/>
        <v>0</v>
      </c>
      <c r="AJ59" s="47">
        <v>0</v>
      </c>
      <c r="AK59" s="181">
        <f t="shared" si="25"/>
        <v>0</v>
      </c>
      <c r="AL59" s="47">
        <v>0</v>
      </c>
      <c r="AM59" s="181">
        <f t="shared" si="26"/>
        <v>0</v>
      </c>
      <c r="AN59" s="47">
        <v>0</v>
      </c>
      <c r="AO59" s="181">
        <f t="shared" si="27"/>
        <v>0</v>
      </c>
      <c r="AP59" s="47">
        <v>0</v>
      </c>
      <c r="AQ59" s="181">
        <f t="shared" si="28"/>
        <v>0</v>
      </c>
      <c r="AR59" s="47">
        <v>0</v>
      </c>
      <c r="AS59" s="181">
        <f t="shared" si="29"/>
        <v>0</v>
      </c>
      <c r="AT59" s="47">
        <v>0</v>
      </c>
      <c r="AU59" s="181">
        <f t="shared" si="30"/>
        <v>0</v>
      </c>
      <c r="AV59" s="47">
        <v>0</v>
      </c>
      <c r="AW59" s="181">
        <f t="shared" si="31"/>
        <v>0</v>
      </c>
      <c r="AX59" s="47">
        <v>0</v>
      </c>
      <c r="AY59" s="181">
        <f t="shared" si="32"/>
        <v>0</v>
      </c>
      <c r="AZ59" s="47">
        <v>0</v>
      </c>
      <c r="BA59" s="181">
        <f t="shared" si="33"/>
        <v>0</v>
      </c>
      <c r="BB59" s="47">
        <v>0</v>
      </c>
      <c r="BC59" s="181">
        <f t="shared" si="34"/>
        <v>0</v>
      </c>
      <c r="BD59" s="47">
        <v>0</v>
      </c>
      <c r="BE59" s="181">
        <f t="shared" si="35"/>
        <v>0</v>
      </c>
      <c r="BF59" s="47">
        <v>0</v>
      </c>
      <c r="BG59" s="181">
        <f t="shared" si="36"/>
        <v>0</v>
      </c>
      <c r="BH59" s="47">
        <v>0</v>
      </c>
      <c r="BI59" s="181">
        <f t="shared" si="37"/>
        <v>0</v>
      </c>
      <c r="BJ59" s="47">
        <f t="shared" si="88"/>
        <v>0</v>
      </c>
      <c r="BK59" s="117">
        <f t="shared" si="88"/>
        <v>0</v>
      </c>
      <c r="BL59" s="302" t="s">
        <v>470</v>
      </c>
      <c r="BN59" s="113"/>
      <c r="BO59" s="113"/>
      <c r="BP59" s="113"/>
      <c r="BQ59" s="113"/>
      <c r="BR59" s="113">
        <f t="shared" ref="BR59:BR65" si="93">BN59+BO59+BP59+BQ59</f>
        <v>0</v>
      </c>
      <c r="BS59" s="113"/>
      <c r="BT59" s="113"/>
      <c r="BU59" s="125">
        <f t="shared" ref="BU59:BU65" si="94">BS59+BT59</f>
        <v>0</v>
      </c>
      <c r="BV59" s="181">
        <f t="shared" si="0"/>
        <v>0</v>
      </c>
    </row>
    <row r="60" spans="1:74" ht="31.5" x14ac:dyDescent="0.25">
      <c r="A60" s="989"/>
      <c r="B60" s="38"/>
      <c r="C60" s="38" t="s">
        <v>345</v>
      </c>
      <c r="D60" s="38" t="s">
        <v>73</v>
      </c>
      <c r="E60" s="375">
        <f>0.2*100000</f>
        <v>20000</v>
      </c>
      <c r="F60" s="47">
        <f t="shared" si="76"/>
        <v>0</v>
      </c>
      <c r="G60" s="85">
        <f t="shared" si="77"/>
        <v>0</v>
      </c>
      <c r="H60" s="85">
        <f t="shared" si="78"/>
        <v>0</v>
      </c>
      <c r="I60" s="85">
        <f t="shared" si="79"/>
        <v>0</v>
      </c>
      <c r="J60" s="85">
        <f t="shared" si="80"/>
        <v>0</v>
      </c>
      <c r="K60" s="85">
        <f t="shared" si="81"/>
        <v>0</v>
      </c>
      <c r="L60" s="85">
        <f t="shared" si="82"/>
        <v>0</v>
      </c>
      <c r="M60" s="85">
        <f t="shared" si="83"/>
        <v>0</v>
      </c>
      <c r="N60" s="85">
        <f t="shared" si="84"/>
        <v>0</v>
      </c>
      <c r="O60" s="85">
        <f t="shared" si="85"/>
        <v>0</v>
      </c>
      <c r="P60" s="85">
        <f t="shared" si="86"/>
        <v>0</v>
      </c>
      <c r="Q60" s="85">
        <f t="shared" si="87"/>
        <v>0</v>
      </c>
      <c r="R60" s="47"/>
      <c r="S60" s="47"/>
      <c r="T60" s="47"/>
      <c r="U60" s="47"/>
      <c r="V60" s="376">
        <f t="shared" si="89"/>
        <v>0</v>
      </c>
      <c r="W60" s="376">
        <f t="shared" si="90"/>
        <v>0</v>
      </c>
      <c r="X60" s="376">
        <f t="shared" si="91"/>
        <v>0</v>
      </c>
      <c r="Y60" s="376">
        <f t="shared" si="92"/>
        <v>0</v>
      </c>
      <c r="Z60" s="47">
        <v>0</v>
      </c>
      <c r="AA60" s="181">
        <f t="shared" si="20"/>
        <v>0</v>
      </c>
      <c r="AB60" s="47">
        <v>0</v>
      </c>
      <c r="AC60" s="181">
        <f t="shared" si="21"/>
        <v>0</v>
      </c>
      <c r="AD60" s="47">
        <v>0</v>
      </c>
      <c r="AE60" s="181">
        <f t="shared" si="22"/>
        <v>0</v>
      </c>
      <c r="AF60" s="47">
        <v>0</v>
      </c>
      <c r="AG60" s="181">
        <f t="shared" si="23"/>
        <v>0</v>
      </c>
      <c r="AH60" s="47">
        <v>0</v>
      </c>
      <c r="AI60" s="181">
        <f t="shared" si="24"/>
        <v>0</v>
      </c>
      <c r="AJ60" s="47">
        <v>0</v>
      </c>
      <c r="AK60" s="181">
        <f t="shared" si="25"/>
        <v>0</v>
      </c>
      <c r="AL60" s="47">
        <v>0</v>
      </c>
      <c r="AM60" s="181">
        <f t="shared" si="26"/>
        <v>0</v>
      </c>
      <c r="AN60" s="47">
        <v>0</v>
      </c>
      <c r="AO60" s="181">
        <f t="shared" si="27"/>
        <v>0</v>
      </c>
      <c r="AP60" s="47">
        <v>0</v>
      </c>
      <c r="AQ60" s="181">
        <f t="shared" si="28"/>
        <v>0</v>
      </c>
      <c r="AR60" s="47">
        <v>0</v>
      </c>
      <c r="AS60" s="181">
        <f t="shared" si="29"/>
        <v>0</v>
      </c>
      <c r="AT60" s="47">
        <v>0</v>
      </c>
      <c r="AU60" s="181">
        <f t="shared" si="30"/>
        <v>0</v>
      </c>
      <c r="AV60" s="47">
        <v>0</v>
      </c>
      <c r="AW60" s="181">
        <f t="shared" si="31"/>
        <v>0</v>
      </c>
      <c r="AX60" s="47">
        <v>0</v>
      </c>
      <c r="AY60" s="181">
        <f t="shared" si="32"/>
        <v>0</v>
      </c>
      <c r="AZ60" s="47">
        <v>0</v>
      </c>
      <c r="BA60" s="181">
        <f t="shared" si="33"/>
        <v>0</v>
      </c>
      <c r="BB60" s="47">
        <v>0</v>
      </c>
      <c r="BC60" s="181">
        <f t="shared" si="34"/>
        <v>0</v>
      </c>
      <c r="BD60" s="47">
        <v>0</v>
      </c>
      <c r="BE60" s="181">
        <f t="shared" si="35"/>
        <v>0</v>
      </c>
      <c r="BF60" s="47">
        <v>0</v>
      </c>
      <c r="BG60" s="181">
        <f t="shared" si="36"/>
        <v>0</v>
      </c>
      <c r="BH60" s="47">
        <v>0</v>
      </c>
      <c r="BI60" s="181">
        <f t="shared" si="37"/>
        <v>0</v>
      </c>
      <c r="BJ60" s="47">
        <f t="shared" si="88"/>
        <v>0</v>
      </c>
      <c r="BK60" s="117">
        <f t="shared" si="88"/>
        <v>0</v>
      </c>
      <c r="BL60" s="302" t="s">
        <v>470</v>
      </c>
      <c r="BN60" s="113"/>
      <c r="BO60" s="113"/>
      <c r="BP60" s="113"/>
      <c r="BQ60" s="113"/>
      <c r="BR60" s="113">
        <f t="shared" si="93"/>
        <v>0</v>
      </c>
      <c r="BS60" s="113"/>
      <c r="BT60" s="113"/>
      <c r="BU60" s="125">
        <f t="shared" si="94"/>
        <v>0</v>
      </c>
      <c r="BV60" s="181">
        <f t="shared" si="0"/>
        <v>0</v>
      </c>
    </row>
    <row r="61" spans="1:74" ht="31.5" x14ac:dyDescent="0.25">
      <c r="A61" s="989"/>
      <c r="B61" s="38"/>
      <c r="C61" s="38" t="s">
        <v>346</v>
      </c>
      <c r="D61" s="38" t="s">
        <v>73</v>
      </c>
      <c r="E61" s="375">
        <f>0.3*100000</f>
        <v>30000</v>
      </c>
      <c r="F61" s="47">
        <f t="shared" si="76"/>
        <v>0</v>
      </c>
      <c r="G61" s="85">
        <f t="shared" si="77"/>
        <v>0</v>
      </c>
      <c r="H61" s="85">
        <f t="shared" si="78"/>
        <v>0</v>
      </c>
      <c r="I61" s="85">
        <f t="shared" si="79"/>
        <v>0</v>
      </c>
      <c r="J61" s="85">
        <f t="shared" si="80"/>
        <v>0</v>
      </c>
      <c r="K61" s="85">
        <f t="shared" si="81"/>
        <v>0</v>
      </c>
      <c r="L61" s="85">
        <f t="shared" si="82"/>
        <v>0</v>
      </c>
      <c r="M61" s="85">
        <f t="shared" si="83"/>
        <v>0</v>
      </c>
      <c r="N61" s="85">
        <f t="shared" si="84"/>
        <v>0</v>
      </c>
      <c r="O61" s="85">
        <f t="shared" si="85"/>
        <v>0</v>
      </c>
      <c r="P61" s="85">
        <f t="shared" si="86"/>
        <v>0</v>
      </c>
      <c r="Q61" s="85">
        <f t="shared" si="87"/>
        <v>0</v>
      </c>
      <c r="R61" s="47"/>
      <c r="S61" s="47"/>
      <c r="T61" s="47"/>
      <c r="U61" s="47"/>
      <c r="V61" s="376">
        <f t="shared" si="89"/>
        <v>0</v>
      </c>
      <c r="W61" s="376">
        <f t="shared" si="90"/>
        <v>0</v>
      </c>
      <c r="X61" s="376">
        <f t="shared" si="91"/>
        <v>0</v>
      </c>
      <c r="Y61" s="376">
        <f t="shared" si="92"/>
        <v>0</v>
      </c>
      <c r="Z61" s="47">
        <v>0</v>
      </c>
      <c r="AA61" s="181">
        <f t="shared" si="20"/>
        <v>0</v>
      </c>
      <c r="AB61" s="47">
        <v>0</v>
      </c>
      <c r="AC61" s="181">
        <f t="shared" si="21"/>
        <v>0</v>
      </c>
      <c r="AD61" s="47">
        <v>0</v>
      </c>
      <c r="AE61" s="181">
        <f t="shared" si="22"/>
        <v>0</v>
      </c>
      <c r="AF61" s="47">
        <v>0</v>
      </c>
      <c r="AG61" s="181">
        <f t="shared" si="23"/>
        <v>0</v>
      </c>
      <c r="AH61" s="47">
        <v>0</v>
      </c>
      <c r="AI61" s="181">
        <f t="shared" si="24"/>
        <v>0</v>
      </c>
      <c r="AJ61" s="47">
        <v>0</v>
      </c>
      <c r="AK61" s="181">
        <f t="shared" si="25"/>
        <v>0</v>
      </c>
      <c r="AL61" s="47">
        <v>0</v>
      </c>
      <c r="AM61" s="181">
        <f t="shared" si="26"/>
        <v>0</v>
      </c>
      <c r="AN61" s="47">
        <v>0</v>
      </c>
      <c r="AO61" s="181">
        <f t="shared" si="27"/>
        <v>0</v>
      </c>
      <c r="AP61" s="47">
        <v>0</v>
      </c>
      <c r="AQ61" s="181">
        <f t="shared" si="28"/>
        <v>0</v>
      </c>
      <c r="AR61" s="47">
        <v>0</v>
      </c>
      <c r="AS61" s="181">
        <f t="shared" si="29"/>
        <v>0</v>
      </c>
      <c r="AT61" s="47">
        <v>0</v>
      </c>
      <c r="AU61" s="181">
        <f t="shared" si="30"/>
        <v>0</v>
      </c>
      <c r="AV61" s="47">
        <v>0</v>
      </c>
      <c r="AW61" s="181">
        <f t="shared" si="31"/>
        <v>0</v>
      </c>
      <c r="AX61" s="47">
        <v>0</v>
      </c>
      <c r="AY61" s="181">
        <f t="shared" si="32"/>
        <v>0</v>
      </c>
      <c r="AZ61" s="47">
        <v>0</v>
      </c>
      <c r="BA61" s="181">
        <f t="shared" si="33"/>
        <v>0</v>
      </c>
      <c r="BB61" s="47">
        <v>0</v>
      </c>
      <c r="BC61" s="181">
        <f t="shared" si="34"/>
        <v>0</v>
      </c>
      <c r="BD61" s="47">
        <v>0</v>
      </c>
      <c r="BE61" s="181">
        <f t="shared" si="35"/>
        <v>0</v>
      </c>
      <c r="BF61" s="47">
        <v>0</v>
      </c>
      <c r="BG61" s="181">
        <f t="shared" si="36"/>
        <v>0</v>
      </c>
      <c r="BH61" s="47">
        <v>0</v>
      </c>
      <c r="BI61" s="181">
        <f t="shared" si="37"/>
        <v>0</v>
      </c>
      <c r="BJ61" s="47">
        <f t="shared" si="88"/>
        <v>0</v>
      </c>
      <c r="BK61" s="117">
        <f t="shared" si="88"/>
        <v>0</v>
      </c>
      <c r="BL61" s="302" t="s">
        <v>470</v>
      </c>
      <c r="BN61" s="113"/>
      <c r="BO61" s="113"/>
      <c r="BP61" s="113"/>
      <c r="BQ61" s="113"/>
      <c r="BR61" s="113">
        <f t="shared" si="93"/>
        <v>0</v>
      </c>
      <c r="BS61" s="113"/>
      <c r="BT61" s="113"/>
      <c r="BU61" s="125">
        <f t="shared" si="94"/>
        <v>0</v>
      </c>
      <c r="BV61" s="181">
        <f t="shared" si="0"/>
        <v>0</v>
      </c>
    </row>
    <row r="62" spans="1:74" ht="31.5" x14ac:dyDescent="0.25">
      <c r="A62" s="989"/>
      <c r="B62" s="38"/>
      <c r="C62" s="38" t="s">
        <v>347</v>
      </c>
      <c r="D62" s="38" t="s">
        <v>73</v>
      </c>
      <c r="E62" s="375">
        <f>0.3*100000</f>
        <v>30000</v>
      </c>
      <c r="F62" s="47">
        <f t="shared" si="76"/>
        <v>0</v>
      </c>
      <c r="G62" s="85">
        <f t="shared" si="77"/>
        <v>0</v>
      </c>
      <c r="H62" s="85">
        <f t="shared" si="78"/>
        <v>0</v>
      </c>
      <c r="I62" s="85">
        <f t="shared" si="79"/>
        <v>0</v>
      </c>
      <c r="J62" s="85">
        <f t="shared" si="80"/>
        <v>0</v>
      </c>
      <c r="K62" s="85">
        <f t="shared" si="81"/>
        <v>0</v>
      </c>
      <c r="L62" s="85">
        <f t="shared" si="82"/>
        <v>0</v>
      </c>
      <c r="M62" s="85">
        <f t="shared" si="83"/>
        <v>0</v>
      </c>
      <c r="N62" s="85">
        <f t="shared" si="84"/>
        <v>0</v>
      </c>
      <c r="O62" s="85">
        <f t="shared" si="85"/>
        <v>0</v>
      </c>
      <c r="P62" s="85">
        <f t="shared" si="86"/>
        <v>0</v>
      </c>
      <c r="Q62" s="85">
        <f t="shared" si="87"/>
        <v>0</v>
      </c>
      <c r="R62" s="47"/>
      <c r="S62" s="47"/>
      <c r="T62" s="47"/>
      <c r="U62" s="47"/>
      <c r="V62" s="376">
        <f t="shared" si="89"/>
        <v>0</v>
      </c>
      <c r="W62" s="376">
        <f t="shared" si="90"/>
        <v>0</v>
      </c>
      <c r="X62" s="376">
        <f t="shared" si="91"/>
        <v>0</v>
      </c>
      <c r="Y62" s="376">
        <f t="shared" si="92"/>
        <v>0</v>
      </c>
      <c r="Z62" s="47">
        <v>0</v>
      </c>
      <c r="AA62" s="181">
        <f t="shared" si="20"/>
        <v>0</v>
      </c>
      <c r="AB62" s="47">
        <v>0</v>
      </c>
      <c r="AC62" s="181">
        <f t="shared" si="21"/>
        <v>0</v>
      </c>
      <c r="AD62" s="47">
        <v>0</v>
      </c>
      <c r="AE62" s="181">
        <f t="shared" si="22"/>
        <v>0</v>
      </c>
      <c r="AF62" s="47">
        <v>0</v>
      </c>
      <c r="AG62" s="181">
        <f t="shared" si="23"/>
        <v>0</v>
      </c>
      <c r="AH62" s="47">
        <v>0</v>
      </c>
      <c r="AI62" s="181">
        <f t="shared" si="24"/>
        <v>0</v>
      </c>
      <c r="AJ62" s="47">
        <v>0</v>
      </c>
      <c r="AK62" s="181">
        <f t="shared" si="25"/>
        <v>0</v>
      </c>
      <c r="AL62" s="47">
        <v>0</v>
      </c>
      <c r="AM62" s="181">
        <f t="shared" si="26"/>
        <v>0</v>
      </c>
      <c r="AN62" s="47">
        <v>0</v>
      </c>
      <c r="AO62" s="181">
        <f t="shared" si="27"/>
        <v>0</v>
      </c>
      <c r="AP62" s="47">
        <v>0</v>
      </c>
      <c r="AQ62" s="181">
        <f t="shared" si="28"/>
        <v>0</v>
      </c>
      <c r="AR62" s="47">
        <v>0</v>
      </c>
      <c r="AS62" s="181">
        <f t="shared" si="29"/>
        <v>0</v>
      </c>
      <c r="AT62" s="47">
        <v>0</v>
      </c>
      <c r="AU62" s="181">
        <f t="shared" si="30"/>
        <v>0</v>
      </c>
      <c r="AV62" s="47">
        <v>0</v>
      </c>
      <c r="AW62" s="181">
        <f t="shared" si="31"/>
        <v>0</v>
      </c>
      <c r="AX62" s="47">
        <v>0</v>
      </c>
      <c r="AY62" s="181">
        <f t="shared" si="32"/>
        <v>0</v>
      </c>
      <c r="AZ62" s="47">
        <v>0</v>
      </c>
      <c r="BA62" s="181">
        <f t="shared" si="33"/>
        <v>0</v>
      </c>
      <c r="BB62" s="47">
        <v>0</v>
      </c>
      <c r="BC62" s="181">
        <f t="shared" si="34"/>
        <v>0</v>
      </c>
      <c r="BD62" s="47">
        <v>0</v>
      </c>
      <c r="BE62" s="181">
        <f t="shared" si="35"/>
        <v>0</v>
      </c>
      <c r="BF62" s="47">
        <v>0</v>
      </c>
      <c r="BG62" s="181">
        <f t="shared" si="36"/>
        <v>0</v>
      </c>
      <c r="BH62" s="47">
        <v>0</v>
      </c>
      <c r="BI62" s="181">
        <f t="shared" si="37"/>
        <v>0</v>
      </c>
      <c r="BJ62" s="47">
        <f t="shared" si="88"/>
        <v>0</v>
      </c>
      <c r="BK62" s="117">
        <f t="shared" si="88"/>
        <v>0</v>
      </c>
      <c r="BL62" s="302" t="s">
        <v>470</v>
      </c>
      <c r="BN62" s="113"/>
      <c r="BO62" s="113"/>
      <c r="BP62" s="113"/>
      <c r="BQ62" s="113"/>
      <c r="BR62" s="113">
        <f t="shared" si="93"/>
        <v>0</v>
      </c>
      <c r="BS62" s="113"/>
      <c r="BT62" s="113"/>
      <c r="BU62" s="125">
        <f t="shared" si="94"/>
        <v>0</v>
      </c>
      <c r="BV62" s="181">
        <f t="shared" si="0"/>
        <v>0</v>
      </c>
    </row>
    <row r="63" spans="1:74" ht="31.5" x14ac:dyDescent="0.25">
      <c r="A63" s="989"/>
      <c r="B63" s="38"/>
      <c r="C63" s="38" t="s">
        <v>348</v>
      </c>
      <c r="D63" s="38" t="s">
        <v>73</v>
      </c>
      <c r="E63" s="375">
        <f>0.3*100000</f>
        <v>30000</v>
      </c>
      <c r="F63" s="47">
        <f t="shared" si="76"/>
        <v>0</v>
      </c>
      <c r="G63" s="85">
        <f t="shared" si="77"/>
        <v>0</v>
      </c>
      <c r="H63" s="85">
        <f t="shared" si="78"/>
        <v>0</v>
      </c>
      <c r="I63" s="85">
        <f t="shared" si="79"/>
        <v>0</v>
      </c>
      <c r="J63" s="85">
        <f t="shared" si="80"/>
        <v>0</v>
      </c>
      <c r="K63" s="85">
        <f t="shared" si="81"/>
        <v>0</v>
      </c>
      <c r="L63" s="85">
        <f t="shared" si="82"/>
        <v>0</v>
      </c>
      <c r="M63" s="85">
        <f t="shared" si="83"/>
        <v>0</v>
      </c>
      <c r="N63" s="85">
        <f t="shared" si="84"/>
        <v>0</v>
      </c>
      <c r="O63" s="85">
        <f t="shared" si="85"/>
        <v>0</v>
      </c>
      <c r="P63" s="85">
        <f t="shared" si="86"/>
        <v>0</v>
      </c>
      <c r="Q63" s="85">
        <f t="shared" si="87"/>
        <v>0</v>
      </c>
      <c r="R63" s="47"/>
      <c r="S63" s="47"/>
      <c r="T63" s="47"/>
      <c r="U63" s="47"/>
      <c r="V63" s="376">
        <f t="shared" si="89"/>
        <v>0</v>
      </c>
      <c r="W63" s="376">
        <f t="shared" si="90"/>
        <v>0</v>
      </c>
      <c r="X63" s="376">
        <f t="shared" si="91"/>
        <v>0</v>
      </c>
      <c r="Y63" s="376">
        <f t="shared" si="92"/>
        <v>0</v>
      </c>
      <c r="Z63" s="47">
        <v>0</v>
      </c>
      <c r="AA63" s="181">
        <f t="shared" si="20"/>
        <v>0</v>
      </c>
      <c r="AB63" s="47">
        <v>0</v>
      </c>
      <c r="AC63" s="181">
        <f t="shared" si="21"/>
        <v>0</v>
      </c>
      <c r="AD63" s="47">
        <v>0</v>
      </c>
      <c r="AE63" s="181">
        <f t="shared" si="22"/>
        <v>0</v>
      </c>
      <c r="AF63" s="47">
        <v>0</v>
      </c>
      <c r="AG63" s="181">
        <f t="shared" si="23"/>
        <v>0</v>
      </c>
      <c r="AH63" s="47">
        <v>0</v>
      </c>
      <c r="AI63" s="181">
        <f t="shared" si="24"/>
        <v>0</v>
      </c>
      <c r="AJ63" s="47">
        <v>0</v>
      </c>
      <c r="AK63" s="181">
        <f t="shared" si="25"/>
        <v>0</v>
      </c>
      <c r="AL63" s="47">
        <v>0</v>
      </c>
      <c r="AM63" s="181">
        <f t="shared" si="26"/>
        <v>0</v>
      </c>
      <c r="AN63" s="47">
        <v>0</v>
      </c>
      <c r="AO63" s="181">
        <f t="shared" si="27"/>
        <v>0</v>
      </c>
      <c r="AP63" s="47">
        <v>0</v>
      </c>
      <c r="AQ63" s="181">
        <f t="shared" si="28"/>
        <v>0</v>
      </c>
      <c r="AR63" s="47">
        <v>0</v>
      </c>
      <c r="AS63" s="181">
        <f t="shared" si="29"/>
        <v>0</v>
      </c>
      <c r="AT63" s="47">
        <v>0</v>
      </c>
      <c r="AU63" s="181">
        <f t="shared" si="30"/>
        <v>0</v>
      </c>
      <c r="AV63" s="47">
        <v>0</v>
      </c>
      <c r="AW63" s="181">
        <f t="shared" si="31"/>
        <v>0</v>
      </c>
      <c r="AX63" s="47">
        <v>0</v>
      </c>
      <c r="AY63" s="181">
        <f t="shared" si="32"/>
        <v>0</v>
      </c>
      <c r="AZ63" s="47">
        <v>0</v>
      </c>
      <c r="BA63" s="181">
        <f t="shared" si="33"/>
        <v>0</v>
      </c>
      <c r="BB63" s="47">
        <v>0</v>
      </c>
      <c r="BC63" s="181">
        <f t="shared" si="34"/>
        <v>0</v>
      </c>
      <c r="BD63" s="47">
        <v>0</v>
      </c>
      <c r="BE63" s="181">
        <f t="shared" si="35"/>
        <v>0</v>
      </c>
      <c r="BF63" s="47">
        <v>0</v>
      </c>
      <c r="BG63" s="181">
        <f t="shared" si="36"/>
        <v>0</v>
      </c>
      <c r="BH63" s="47">
        <v>0</v>
      </c>
      <c r="BI63" s="181">
        <f t="shared" si="37"/>
        <v>0</v>
      </c>
      <c r="BJ63" s="47">
        <f t="shared" si="88"/>
        <v>0</v>
      </c>
      <c r="BK63" s="117">
        <f t="shared" si="88"/>
        <v>0</v>
      </c>
      <c r="BL63" s="302" t="s">
        <v>470</v>
      </c>
      <c r="BN63" s="113"/>
      <c r="BO63" s="113"/>
      <c r="BP63" s="113"/>
      <c r="BQ63" s="113"/>
      <c r="BR63" s="113">
        <f t="shared" si="93"/>
        <v>0</v>
      </c>
      <c r="BS63" s="113"/>
      <c r="BT63" s="113"/>
      <c r="BU63" s="125">
        <f t="shared" si="94"/>
        <v>0</v>
      </c>
      <c r="BV63" s="181">
        <f t="shared" si="0"/>
        <v>0</v>
      </c>
    </row>
    <row r="64" spans="1:74" ht="31.5" x14ac:dyDescent="0.25">
      <c r="A64" s="989"/>
      <c r="B64" s="38"/>
      <c r="C64" s="38" t="s">
        <v>349</v>
      </c>
      <c r="D64" s="38" t="s">
        <v>73</v>
      </c>
      <c r="E64" s="375">
        <f>0.3*100000</f>
        <v>30000</v>
      </c>
      <c r="F64" s="47">
        <f t="shared" si="76"/>
        <v>0</v>
      </c>
      <c r="G64" s="85">
        <f t="shared" si="77"/>
        <v>0</v>
      </c>
      <c r="H64" s="85">
        <f t="shared" si="78"/>
        <v>0</v>
      </c>
      <c r="I64" s="85">
        <f t="shared" si="79"/>
        <v>0</v>
      </c>
      <c r="J64" s="85">
        <f t="shared" si="80"/>
        <v>0</v>
      </c>
      <c r="K64" s="85">
        <f t="shared" si="81"/>
        <v>0</v>
      </c>
      <c r="L64" s="85">
        <f t="shared" si="82"/>
        <v>0</v>
      </c>
      <c r="M64" s="85">
        <f t="shared" si="83"/>
        <v>0</v>
      </c>
      <c r="N64" s="85">
        <f t="shared" si="84"/>
        <v>0</v>
      </c>
      <c r="O64" s="85">
        <f t="shared" si="85"/>
        <v>0</v>
      </c>
      <c r="P64" s="85">
        <f t="shared" si="86"/>
        <v>0</v>
      </c>
      <c r="Q64" s="85">
        <f t="shared" si="87"/>
        <v>0</v>
      </c>
      <c r="R64" s="47"/>
      <c r="S64" s="47"/>
      <c r="T64" s="47"/>
      <c r="U64" s="47"/>
      <c r="V64" s="376">
        <f t="shared" si="89"/>
        <v>0</v>
      </c>
      <c r="W64" s="376">
        <f t="shared" si="90"/>
        <v>0</v>
      </c>
      <c r="X64" s="376">
        <f t="shared" si="91"/>
        <v>0</v>
      </c>
      <c r="Y64" s="376">
        <f t="shared" si="92"/>
        <v>0</v>
      </c>
      <c r="Z64" s="47">
        <v>0</v>
      </c>
      <c r="AA64" s="181">
        <f t="shared" si="20"/>
        <v>0</v>
      </c>
      <c r="AB64" s="47">
        <v>0</v>
      </c>
      <c r="AC64" s="181">
        <f t="shared" si="21"/>
        <v>0</v>
      </c>
      <c r="AD64" s="47">
        <v>0</v>
      </c>
      <c r="AE64" s="181">
        <f t="shared" si="22"/>
        <v>0</v>
      </c>
      <c r="AF64" s="47">
        <v>0</v>
      </c>
      <c r="AG64" s="181">
        <f t="shared" si="23"/>
        <v>0</v>
      </c>
      <c r="AH64" s="47">
        <v>0</v>
      </c>
      <c r="AI64" s="181">
        <f t="shared" si="24"/>
        <v>0</v>
      </c>
      <c r="AJ64" s="47">
        <v>0</v>
      </c>
      <c r="AK64" s="181">
        <f t="shared" si="25"/>
        <v>0</v>
      </c>
      <c r="AL64" s="47">
        <v>0</v>
      </c>
      <c r="AM64" s="181">
        <f t="shared" si="26"/>
        <v>0</v>
      </c>
      <c r="AN64" s="47">
        <v>0</v>
      </c>
      <c r="AO64" s="181">
        <f t="shared" si="27"/>
        <v>0</v>
      </c>
      <c r="AP64" s="47">
        <v>0</v>
      </c>
      <c r="AQ64" s="181">
        <f t="shared" si="28"/>
        <v>0</v>
      </c>
      <c r="AR64" s="47">
        <v>0</v>
      </c>
      <c r="AS64" s="181">
        <f t="shared" si="29"/>
        <v>0</v>
      </c>
      <c r="AT64" s="47">
        <v>0</v>
      </c>
      <c r="AU64" s="181">
        <f t="shared" si="30"/>
        <v>0</v>
      </c>
      <c r="AV64" s="47">
        <v>0</v>
      </c>
      <c r="AW64" s="181">
        <f t="shared" si="31"/>
        <v>0</v>
      </c>
      <c r="AX64" s="47">
        <v>0</v>
      </c>
      <c r="AY64" s="181">
        <f t="shared" si="32"/>
        <v>0</v>
      </c>
      <c r="AZ64" s="47">
        <v>0</v>
      </c>
      <c r="BA64" s="181">
        <f t="shared" si="33"/>
        <v>0</v>
      </c>
      <c r="BB64" s="47">
        <v>0</v>
      </c>
      <c r="BC64" s="181">
        <f t="shared" si="34"/>
        <v>0</v>
      </c>
      <c r="BD64" s="47">
        <v>0</v>
      </c>
      <c r="BE64" s="181">
        <f t="shared" si="35"/>
        <v>0</v>
      </c>
      <c r="BF64" s="47">
        <v>0</v>
      </c>
      <c r="BG64" s="181">
        <f t="shared" si="36"/>
        <v>0</v>
      </c>
      <c r="BH64" s="47">
        <v>0</v>
      </c>
      <c r="BI64" s="181">
        <f t="shared" si="37"/>
        <v>0</v>
      </c>
      <c r="BJ64" s="47">
        <f t="shared" si="88"/>
        <v>0</v>
      </c>
      <c r="BK64" s="117">
        <f t="shared" si="88"/>
        <v>0</v>
      </c>
      <c r="BL64" s="302" t="s">
        <v>470</v>
      </c>
      <c r="BN64" s="113"/>
      <c r="BO64" s="113"/>
      <c r="BP64" s="113"/>
      <c r="BQ64" s="113"/>
      <c r="BR64" s="113">
        <f t="shared" si="93"/>
        <v>0</v>
      </c>
      <c r="BS64" s="113"/>
      <c r="BT64" s="113"/>
      <c r="BU64" s="125">
        <f t="shared" si="94"/>
        <v>0</v>
      </c>
      <c r="BV64" s="181">
        <f t="shared" si="0"/>
        <v>0</v>
      </c>
    </row>
    <row r="65" spans="1:74" ht="31.5" x14ac:dyDescent="0.25">
      <c r="A65" s="989"/>
      <c r="B65" s="38"/>
      <c r="C65" s="38" t="s">
        <v>350</v>
      </c>
      <c r="D65" s="38" t="s">
        <v>73</v>
      </c>
      <c r="E65" s="375">
        <f>0.2*100000</f>
        <v>20000</v>
      </c>
      <c r="F65" s="47">
        <f t="shared" si="76"/>
        <v>0</v>
      </c>
      <c r="G65" s="85">
        <f t="shared" si="77"/>
        <v>0</v>
      </c>
      <c r="H65" s="85">
        <f t="shared" si="78"/>
        <v>0</v>
      </c>
      <c r="I65" s="85">
        <f t="shared" si="79"/>
        <v>0</v>
      </c>
      <c r="J65" s="85">
        <f t="shared" si="80"/>
        <v>0</v>
      </c>
      <c r="K65" s="85">
        <f t="shared" si="81"/>
        <v>0</v>
      </c>
      <c r="L65" s="85">
        <f t="shared" si="82"/>
        <v>0</v>
      </c>
      <c r="M65" s="85">
        <f t="shared" si="83"/>
        <v>0</v>
      </c>
      <c r="N65" s="85">
        <f t="shared" si="84"/>
        <v>0</v>
      </c>
      <c r="O65" s="85">
        <f t="shared" si="85"/>
        <v>0</v>
      </c>
      <c r="P65" s="85">
        <f t="shared" si="86"/>
        <v>0</v>
      </c>
      <c r="Q65" s="85">
        <f t="shared" si="87"/>
        <v>0</v>
      </c>
      <c r="R65" s="47"/>
      <c r="S65" s="47"/>
      <c r="T65" s="47"/>
      <c r="U65" s="47"/>
      <c r="V65" s="376">
        <f t="shared" si="89"/>
        <v>0</v>
      </c>
      <c r="W65" s="376">
        <f t="shared" si="90"/>
        <v>0</v>
      </c>
      <c r="X65" s="376">
        <f t="shared" si="91"/>
        <v>0</v>
      </c>
      <c r="Y65" s="376">
        <f t="shared" si="92"/>
        <v>0</v>
      </c>
      <c r="Z65" s="47">
        <v>0</v>
      </c>
      <c r="AA65" s="181">
        <f t="shared" si="20"/>
        <v>0</v>
      </c>
      <c r="AB65" s="47">
        <v>0</v>
      </c>
      <c r="AC65" s="181">
        <f t="shared" si="21"/>
        <v>0</v>
      </c>
      <c r="AD65" s="47">
        <v>0</v>
      </c>
      <c r="AE65" s="181">
        <f t="shared" si="22"/>
        <v>0</v>
      </c>
      <c r="AF65" s="47">
        <v>0</v>
      </c>
      <c r="AG65" s="181">
        <f t="shared" si="23"/>
        <v>0</v>
      </c>
      <c r="AH65" s="47">
        <v>0</v>
      </c>
      <c r="AI65" s="181">
        <f t="shared" si="24"/>
        <v>0</v>
      </c>
      <c r="AJ65" s="47">
        <v>0</v>
      </c>
      <c r="AK65" s="181">
        <f t="shared" si="25"/>
        <v>0</v>
      </c>
      <c r="AL65" s="47">
        <v>0</v>
      </c>
      <c r="AM65" s="181">
        <f t="shared" si="26"/>
        <v>0</v>
      </c>
      <c r="AN65" s="47">
        <v>0</v>
      </c>
      <c r="AO65" s="181">
        <f t="shared" si="27"/>
        <v>0</v>
      </c>
      <c r="AP65" s="47">
        <v>0</v>
      </c>
      <c r="AQ65" s="181">
        <f t="shared" si="28"/>
        <v>0</v>
      </c>
      <c r="AR65" s="47">
        <v>0</v>
      </c>
      <c r="AS65" s="181">
        <f t="shared" si="29"/>
        <v>0</v>
      </c>
      <c r="AT65" s="47">
        <v>0</v>
      </c>
      <c r="AU65" s="181">
        <f t="shared" si="30"/>
        <v>0</v>
      </c>
      <c r="AV65" s="47">
        <v>0</v>
      </c>
      <c r="AW65" s="181">
        <f t="shared" si="31"/>
        <v>0</v>
      </c>
      <c r="AX65" s="47">
        <v>0</v>
      </c>
      <c r="AY65" s="181">
        <f t="shared" si="32"/>
        <v>0</v>
      </c>
      <c r="AZ65" s="47">
        <v>0</v>
      </c>
      <c r="BA65" s="181">
        <f t="shared" si="33"/>
        <v>0</v>
      </c>
      <c r="BB65" s="47">
        <v>0</v>
      </c>
      <c r="BC65" s="181">
        <f t="shared" si="34"/>
        <v>0</v>
      </c>
      <c r="BD65" s="47">
        <v>0</v>
      </c>
      <c r="BE65" s="181">
        <f t="shared" si="35"/>
        <v>0</v>
      </c>
      <c r="BF65" s="47">
        <v>0</v>
      </c>
      <c r="BG65" s="181">
        <f t="shared" si="36"/>
        <v>0</v>
      </c>
      <c r="BH65" s="47">
        <v>0</v>
      </c>
      <c r="BI65" s="181">
        <f t="shared" si="37"/>
        <v>0</v>
      </c>
      <c r="BJ65" s="47">
        <f t="shared" si="88"/>
        <v>0</v>
      </c>
      <c r="BK65" s="117">
        <f t="shared" si="88"/>
        <v>0</v>
      </c>
      <c r="BL65" s="47"/>
      <c r="BN65" s="113"/>
      <c r="BO65" s="113"/>
      <c r="BP65" s="113"/>
      <c r="BQ65" s="113"/>
      <c r="BR65" s="113">
        <f t="shared" si="93"/>
        <v>0</v>
      </c>
      <c r="BS65" s="113"/>
      <c r="BT65" s="113"/>
      <c r="BU65" s="125">
        <f t="shared" si="94"/>
        <v>0</v>
      </c>
      <c r="BV65" s="181">
        <f t="shared" si="0"/>
        <v>0</v>
      </c>
    </row>
    <row r="66" spans="1:74" x14ac:dyDescent="0.25">
      <c r="A66" s="989"/>
      <c r="B66" s="265"/>
      <c r="C66" s="400" t="s">
        <v>351</v>
      </c>
      <c r="D66" s="392"/>
      <c r="E66" s="392"/>
      <c r="F66" s="392">
        <f>SUM(F58:F65)</f>
        <v>0</v>
      </c>
      <c r="G66" s="393">
        <f>SUM(G58:G65)</f>
        <v>0</v>
      </c>
      <c r="H66" s="393">
        <f t="shared" ref="H66:Q66" si="95">SUM(H58:H65)</f>
        <v>0</v>
      </c>
      <c r="I66" s="393">
        <f t="shared" si="95"/>
        <v>0</v>
      </c>
      <c r="J66" s="393">
        <f t="shared" si="95"/>
        <v>0</v>
      </c>
      <c r="K66" s="393">
        <f t="shared" si="95"/>
        <v>0</v>
      </c>
      <c r="L66" s="393">
        <f t="shared" si="95"/>
        <v>0</v>
      </c>
      <c r="M66" s="393">
        <f t="shared" si="95"/>
        <v>0</v>
      </c>
      <c r="N66" s="393">
        <f t="shared" si="95"/>
        <v>0</v>
      </c>
      <c r="O66" s="393">
        <f t="shared" si="95"/>
        <v>0</v>
      </c>
      <c r="P66" s="393">
        <f t="shared" si="95"/>
        <v>0</v>
      </c>
      <c r="Q66" s="393">
        <f t="shared" si="95"/>
        <v>0</v>
      </c>
      <c r="R66" s="392">
        <f t="shared" ref="R66:BK66" si="96">SUM(R58:R65)</f>
        <v>0</v>
      </c>
      <c r="S66" s="392">
        <f t="shared" si="96"/>
        <v>0</v>
      </c>
      <c r="T66" s="392">
        <f t="shared" si="96"/>
        <v>0</v>
      </c>
      <c r="U66" s="392">
        <f t="shared" si="96"/>
        <v>0</v>
      </c>
      <c r="V66" s="393">
        <f t="shared" si="96"/>
        <v>0</v>
      </c>
      <c r="W66" s="393">
        <f t="shared" si="96"/>
        <v>0</v>
      </c>
      <c r="X66" s="393">
        <f t="shared" si="96"/>
        <v>0</v>
      </c>
      <c r="Y66" s="393">
        <f t="shared" si="96"/>
        <v>0</v>
      </c>
      <c r="Z66" s="392">
        <f t="shared" si="96"/>
        <v>0</v>
      </c>
      <c r="AA66" s="181">
        <f t="shared" si="20"/>
        <v>0</v>
      </c>
      <c r="AB66" s="392">
        <f t="shared" si="96"/>
        <v>0</v>
      </c>
      <c r="AC66" s="181">
        <f t="shared" si="21"/>
        <v>0</v>
      </c>
      <c r="AD66" s="392">
        <f t="shared" si="96"/>
        <v>0</v>
      </c>
      <c r="AE66" s="181">
        <f t="shared" si="22"/>
        <v>0</v>
      </c>
      <c r="AF66" s="392">
        <f t="shared" si="96"/>
        <v>0</v>
      </c>
      <c r="AG66" s="181">
        <f t="shared" si="23"/>
        <v>0</v>
      </c>
      <c r="AH66" s="392">
        <f t="shared" si="96"/>
        <v>0</v>
      </c>
      <c r="AI66" s="181">
        <f t="shared" si="24"/>
        <v>0</v>
      </c>
      <c r="AJ66" s="392">
        <f t="shared" si="96"/>
        <v>0</v>
      </c>
      <c r="AK66" s="181">
        <f t="shared" si="25"/>
        <v>0</v>
      </c>
      <c r="AL66" s="392">
        <f t="shared" si="96"/>
        <v>0</v>
      </c>
      <c r="AM66" s="181">
        <f t="shared" si="26"/>
        <v>0</v>
      </c>
      <c r="AN66" s="392">
        <f t="shared" si="96"/>
        <v>0</v>
      </c>
      <c r="AO66" s="181">
        <f t="shared" si="27"/>
        <v>0</v>
      </c>
      <c r="AP66" s="392">
        <f t="shared" si="96"/>
        <v>0</v>
      </c>
      <c r="AQ66" s="181">
        <f t="shared" si="28"/>
        <v>0</v>
      </c>
      <c r="AR66" s="392">
        <f t="shared" si="96"/>
        <v>0</v>
      </c>
      <c r="AS66" s="181">
        <f t="shared" si="29"/>
        <v>0</v>
      </c>
      <c r="AT66" s="392">
        <f t="shared" si="96"/>
        <v>0</v>
      </c>
      <c r="AU66" s="181">
        <f t="shared" si="30"/>
        <v>0</v>
      </c>
      <c r="AV66" s="392">
        <f t="shared" si="96"/>
        <v>0</v>
      </c>
      <c r="AW66" s="181">
        <f t="shared" si="31"/>
        <v>0</v>
      </c>
      <c r="AX66" s="392">
        <f t="shared" si="96"/>
        <v>0</v>
      </c>
      <c r="AY66" s="181">
        <f t="shared" si="32"/>
        <v>0</v>
      </c>
      <c r="AZ66" s="392">
        <f t="shared" si="96"/>
        <v>0</v>
      </c>
      <c r="BA66" s="181">
        <f t="shared" si="33"/>
        <v>0</v>
      </c>
      <c r="BB66" s="392">
        <f t="shared" si="96"/>
        <v>0</v>
      </c>
      <c r="BC66" s="181">
        <f t="shared" si="34"/>
        <v>0</v>
      </c>
      <c r="BD66" s="392">
        <f t="shared" si="96"/>
        <v>0</v>
      </c>
      <c r="BE66" s="181">
        <f t="shared" si="35"/>
        <v>0</v>
      </c>
      <c r="BF66" s="392">
        <f t="shared" si="96"/>
        <v>0</v>
      </c>
      <c r="BG66" s="181">
        <f t="shared" si="36"/>
        <v>0</v>
      </c>
      <c r="BH66" s="392">
        <f t="shared" si="96"/>
        <v>0</v>
      </c>
      <c r="BI66" s="181">
        <f t="shared" si="37"/>
        <v>0</v>
      </c>
      <c r="BJ66" s="392">
        <f t="shared" si="96"/>
        <v>0</v>
      </c>
      <c r="BK66" s="394">
        <f t="shared" si="96"/>
        <v>0</v>
      </c>
      <c r="BL66" s="47"/>
      <c r="BN66" s="394">
        <f t="shared" ref="BN66:BU66" si="97">SUM(BN58:BN65)</f>
        <v>0</v>
      </c>
      <c r="BO66" s="394">
        <f t="shared" si="97"/>
        <v>0</v>
      </c>
      <c r="BP66" s="394">
        <f t="shared" si="97"/>
        <v>0</v>
      </c>
      <c r="BQ66" s="394">
        <f t="shared" si="97"/>
        <v>0</v>
      </c>
      <c r="BR66" s="394">
        <f t="shared" si="97"/>
        <v>0</v>
      </c>
      <c r="BS66" s="394">
        <f t="shared" si="97"/>
        <v>0</v>
      </c>
      <c r="BT66" s="394">
        <f t="shared" si="97"/>
        <v>0</v>
      </c>
      <c r="BU66" s="394">
        <f t="shared" si="97"/>
        <v>0</v>
      </c>
      <c r="BV66" s="395">
        <f t="shared" si="0"/>
        <v>0</v>
      </c>
    </row>
    <row r="67" spans="1:74" ht="31.5" x14ac:dyDescent="0.25">
      <c r="A67" s="989"/>
      <c r="B67" s="38">
        <v>41420</v>
      </c>
      <c r="C67" s="391" t="s">
        <v>352</v>
      </c>
      <c r="D67" s="38"/>
      <c r="E67" s="375"/>
      <c r="F67" s="38"/>
      <c r="G67" s="85"/>
      <c r="H67" s="85"/>
      <c r="I67" s="85"/>
      <c r="J67" s="85"/>
      <c r="K67" s="85"/>
      <c r="L67" s="85"/>
      <c r="M67" s="85"/>
      <c r="N67" s="85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181">
        <f t="shared" si="20"/>
        <v>0</v>
      </c>
      <c r="AB67" s="47"/>
      <c r="AC67" s="181">
        <f t="shared" si="21"/>
        <v>0</v>
      </c>
      <c r="AD67" s="47"/>
      <c r="AE67" s="181">
        <f t="shared" si="22"/>
        <v>0</v>
      </c>
      <c r="AF67" s="47"/>
      <c r="AG67" s="181">
        <f t="shared" si="23"/>
        <v>0</v>
      </c>
      <c r="AH67" s="47"/>
      <c r="AI67" s="181">
        <f t="shared" si="24"/>
        <v>0</v>
      </c>
      <c r="AJ67" s="47"/>
      <c r="AK67" s="181">
        <f t="shared" si="25"/>
        <v>0</v>
      </c>
      <c r="AL67" s="47"/>
      <c r="AM67" s="181">
        <f t="shared" si="26"/>
        <v>0</v>
      </c>
      <c r="AN67" s="47"/>
      <c r="AO67" s="181">
        <f t="shared" si="27"/>
        <v>0</v>
      </c>
      <c r="AP67" s="47"/>
      <c r="AQ67" s="181">
        <f t="shared" si="28"/>
        <v>0</v>
      </c>
      <c r="AR67" s="47"/>
      <c r="AS67" s="181">
        <f t="shared" si="29"/>
        <v>0</v>
      </c>
      <c r="AT67" s="47"/>
      <c r="AU67" s="181">
        <f t="shared" si="30"/>
        <v>0</v>
      </c>
      <c r="AV67" s="47"/>
      <c r="AW67" s="181">
        <f t="shared" si="31"/>
        <v>0</v>
      </c>
      <c r="AX67" s="47"/>
      <c r="AY67" s="181">
        <f t="shared" si="32"/>
        <v>0</v>
      </c>
      <c r="AZ67" s="47"/>
      <c r="BA67" s="181">
        <f t="shared" si="33"/>
        <v>0</v>
      </c>
      <c r="BB67" s="47"/>
      <c r="BC67" s="181">
        <f t="shared" si="34"/>
        <v>0</v>
      </c>
      <c r="BD67" s="47"/>
      <c r="BE67" s="181">
        <f t="shared" si="35"/>
        <v>0</v>
      </c>
      <c r="BF67" s="47"/>
      <c r="BG67" s="181">
        <f t="shared" si="36"/>
        <v>0</v>
      </c>
      <c r="BH67" s="47"/>
      <c r="BI67" s="181">
        <f t="shared" si="37"/>
        <v>0</v>
      </c>
      <c r="BJ67" s="47"/>
      <c r="BK67" s="124"/>
      <c r="BL67" s="47"/>
      <c r="BN67" s="113"/>
      <c r="BO67" s="113"/>
      <c r="BP67" s="113"/>
      <c r="BQ67" s="113"/>
      <c r="BR67" s="113"/>
      <c r="BS67" s="113"/>
      <c r="BT67" s="113"/>
      <c r="BU67" s="125"/>
      <c r="BV67" s="181">
        <f t="shared" si="0"/>
        <v>0</v>
      </c>
    </row>
    <row r="68" spans="1:74" ht="31.5" x14ac:dyDescent="0.25">
      <c r="A68" s="989"/>
      <c r="B68" s="38"/>
      <c r="C68" s="412" t="s">
        <v>353</v>
      </c>
      <c r="D68" s="38" t="s">
        <v>73</v>
      </c>
      <c r="E68" s="375">
        <f>0.25*100000</f>
        <v>25000</v>
      </c>
      <c r="F68" s="47">
        <f>BJ68</f>
        <v>0</v>
      </c>
      <c r="G68" s="85">
        <f>E68*F68</f>
        <v>0</v>
      </c>
      <c r="H68" s="85">
        <f>G68*0.377</f>
        <v>0</v>
      </c>
      <c r="I68" s="85">
        <f>G68*0.398</f>
        <v>0</v>
      </c>
      <c r="J68" s="85">
        <f>G68*0</f>
        <v>0</v>
      </c>
      <c r="K68" s="85">
        <f>G68*0</f>
        <v>0</v>
      </c>
      <c r="L68" s="85">
        <f>G68*0.083</f>
        <v>0</v>
      </c>
      <c r="M68" s="85">
        <f>G68*0</f>
        <v>0</v>
      </c>
      <c r="N68" s="85">
        <f>G68*0</f>
        <v>0</v>
      </c>
      <c r="O68" s="85">
        <f>G68*0</f>
        <v>0</v>
      </c>
      <c r="P68" s="85">
        <f>G68*0</f>
        <v>0</v>
      </c>
      <c r="Q68" s="85">
        <f>G68*0.142</f>
        <v>0</v>
      </c>
      <c r="R68" s="47"/>
      <c r="S68" s="47"/>
      <c r="T68" s="47"/>
      <c r="U68" s="47"/>
      <c r="V68" s="376">
        <f>R68*E68</f>
        <v>0</v>
      </c>
      <c r="W68" s="376">
        <f>S68*E68</f>
        <v>0</v>
      </c>
      <c r="X68" s="376">
        <f>T68*E68</f>
        <v>0</v>
      </c>
      <c r="Y68" s="376">
        <f>U68*E68</f>
        <v>0</v>
      </c>
      <c r="Z68" s="47">
        <v>0</v>
      </c>
      <c r="AA68" s="181">
        <f t="shared" si="20"/>
        <v>0</v>
      </c>
      <c r="AB68" s="47">
        <v>0</v>
      </c>
      <c r="AC68" s="181">
        <f t="shared" si="21"/>
        <v>0</v>
      </c>
      <c r="AD68" s="47">
        <v>0</v>
      </c>
      <c r="AE68" s="181">
        <f t="shared" si="22"/>
        <v>0</v>
      </c>
      <c r="AF68" s="47">
        <v>0</v>
      </c>
      <c r="AG68" s="181">
        <f t="shared" si="23"/>
        <v>0</v>
      </c>
      <c r="AH68" s="47">
        <v>0</v>
      </c>
      <c r="AI68" s="181">
        <f t="shared" si="24"/>
        <v>0</v>
      </c>
      <c r="AJ68" s="47">
        <v>0</v>
      </c>
      <c r="AK68" s="181">
        <f t="shared" si="25"/>
        <v>0</v>
      </c>
      <c r="AL68" s="47">
        <v>0</v>
      </c>
      <c r="AM68" s="181">
        <f t="shared" si="26"/>
        <v>0</v>
      </c>
      <c r="AN68" s="47">
        <v>0</v>
      </c>
      <c r="AO68" s="181">
        <f t="shared" si="27"/>
        <v>0</v>
      </c>
      <c r="AP68" s="47">
        <v>0</v>
      </c>
      <c r="AQ68" s="181">
        <f t="shared" si="28"/>
        <v>0</v>
      </c>
      <c r="AR68" s="47">
        <v>0</v>
      </c>
      <c r="AS68" s="181">
        <f t="shared" si="29"/>
        <v>0</v>
      </c>
      <c r="AT68" s="47">
        <v>0</v>
      </c>
      <c r="AU68" s="181">
        <f t="shared" si="30"/>
        <v>0</v>
      </c>
      <c r="AV68" s="47">
        <v>0</v>
      </c>
      <c r="AW68" s="181">
        <f t="shared" si="31"/>
        <v>0</v>
      </c>
      <c r="AX68" s="47">
        <v>0</v>
      </c>
      <c r="AY68" s="181">
        <f t="shared" si="32"/>
        <v>0</v>
      </c>
      <c r="AZ68" s="47">
        <v>0</v>
      </c>
      <c r="BA68" s="181">
        <f t="shared" si="33"/>
        <v>0</v>
      </c>
      <c r="BB68" s="47">
        <v>0</v>
      </c>
      <c r="BC68" s="181">
        <f t="shared" si="34"/>
        <v>0</v>
      </c>
      <c r="BD68" s="47">
        <v>0</v>
      </c>
      <c r="BE68" s="181">
        <f t="shared" si="35"/>
        <v>0</v>
      </c>
      <c r="BF68" s="47">
        <v>0</v>
      </c>
      <c r="BG68" s="181">
        <f t="shared" si="36"/>
        <v>0</v>
      </c>
      <c r="BH68" s="47">
        <v>0</v>
      </c>
      <c r="BI68" s="181">
        <f t="shared" si="37"/>
        <v>0</v>
      </c>
      <c r="BJ68" s="47">
        <f t="shared" ref="BJ68:BK70" si="98">Z68+AB68+AD68+AF68+AH68+AJ68+AL68+AN68+AP68+AR68+AT68+AV68+AX68+AZ68+BB68+BD68+BF68+BH68</f>
        <v>0</v>
      </c>
      <c r="BK68" s="117">
        <f t="shared" si="98"/>
        <v>0</v>
      </c>
      <c r="BL68" s="47"/>
      <c r="BN68" s="113"/>
      <c r="BO68" s="113"/>
      <c r="BP68" s="113"/>
      <c r="BQ68" s="113"/>
      <c r="BR68" s="113">
        <f>BN68+BO68+BP68+BQ68</f>
        <v>0</v>
      </c>
      <c r="BS68" s="113"/>
      <c r="BT68" s="113"/>
      <c r="BU68" s="125">
        <f>BS68+BT68</f>
        <v>0</v>
      </c>
      <c r="BV68" s="181">
        <f t="shared" si="0"/>
        <v>0</v>
      </c>
    </row>
    <row r="69" spans="1:74" ht="31.5" x14ac:dyDescent="0.25">
      <c r="A69" s="989"/>
      <c r="B69" s="38"/>
      <c r="C69" s="38" t="s">
        <v>354</v>
      </c>
      <c r="D69" s="38" t="s">
        <v>73</v>
      </c>
      <c r="E69" s="375">
        <f>0.1*100000</f>
        <v>10000</v>
      </c>
      <c r="F69" s="47">
        <f>BJ69</f>
        <v>0</v>
      </c>
      <c r="G69" s="85">
        <f>E69*F69</f>
        <v>0</v>
      </c>
      <c r="H69" s="85">
        <f>G69*0.5</f>
        <v>0</v>
      </c>
      <c r="I69" s="85">
        <f>G69*0.5</f>
        <v>0</v>
      </c>
      <c r="J69" s="85">
        <f>G69*0</f>
        <v>0</v>
      </c>
      <c r="K69" s="85">
        <f>G69*0</f>
        <v>0</v>
      </c>
      <c r="L69" s="85">
        <f>G69*0</f>
        <v>0</v>
      </c>
      <c r="M69" s="85">
        <f>G69*0</f>
        <v>0</v>
      </c>
      <c r="N69" s="85">
        <f>G69*0</f>
        <v>0</v>
      </c>
      <c r="O69" s="85">
        <f>G69*0</f>
        <v>0</v>
      </c>
      <c r="P69" s="85">
        <f>G69*0</f>
        <v>0</v>
      </c>
      <c r="Q69" s="85">
        <f>G69*0.142</f>
        <v>0</v>
      </c>
      <c r="R69" s="47"/>
      <c r="S69" s="47"/>
      <c r="T69" s="47"/>
      <c r="U69" s="47"/>
      <c r="V69" s="376">
        <f>R69*E69</f>
        <v>0</v>
      </c>
      <c r="W69" s="376">
        <f>S69*E69</f>
        <v>0</v>
      </c>
      <c r="X69" s="376">
        <f>T69*E69</f>
        <v>0</v>
      </c>
      <c r="Y69" s="376">
        <f>U69*E69</f>
        <v>0</v>
      </c>
      <c r="Z69" s="47">
        <v>0</v>
      </c>
      <c r="AA69" s="181">
        <f t="shared" si="20"/>
        <v>0</v>
      </c>
      <c r="AB69" s="47">
        <v>0</v>
      </c>
      <c r="AC69" s="181">
        <f t="shared" si="21"/>
        <v>0</v>
      </c>
      <c r="AD69" s="47">
        <v>0</v>
      </c>
      <c r="AE69" s="181">
        <f t="shared" si="22"/>
        <v>0</v>
      </c>
      <c r="AF69" s="47">
        <v>0</v>
      </c>
      <c r="AG69" s="181">
        <f t="shared" si="23"/>
        <v>0</v>
      </c>
      <c r="AH69" s="47">
        <v>0</v>
      </c>
      <c r="AI69" s="181">
        <f t="shared" si="24"/>
        <v>0</v>
      </c>
      <c r="AJ69" s="47">
        <v>0</v>
      </c>
      <c r="AK69" s="181">
        <f t="shared" si="25"/>
        <v>0</v>
      </c>
      <c r="AL69" s="47">
        <v>0</v>
      </c>
      <c r="AM69" s="181">
        <f t="shared" si="26"/>
        <v>0</v>
      </c>
      <c r="AN69" s="47">
        <v>0</v>
      </c>
      <c r="AO69" s="181">
        <f t="shared" si="27"/>
        <v>0</v>
      </c>
      <c r="AP69" s="47">
        <v>0</v>
      </c>
      <c r="AQ69" s="181">
        <f t="shared" si="28"/>
        <v>0</v>
      </c>
      <c r="AR69" s="47">
        <v>0</v>
      </c>
      <c r="AS69" s="181">
        <f t="shared" si="29"/>
        <v>0</v>
      </c>
      <c r="AT69" s="47">
        <v>0</v>
      </c>
      <c r="AU69" s="181">
        <f t="shared" si="30"/>
        <v>0</v>
      </c>
      <c r="AV69" s="47">
        <v>0</v>
      </c>
      <c r="AW69" s="181">
        <f t="shared" si="31"/>
        <v>0</v>
      </c>
      <c r="AX69" s="47">
        <v>0</v>
      </c>
      <c r="AY69" s="181">
        <f t="shared" si="32"/>
        <v>0</v>
      </c>
      <c r="AZ69" s="47">
        <v>0</v>
      </c>
      <c r="BA69" s="181">
        <f t="shared" si="33"/>
        <v>0</v>
      </c>
      <c r="BB69" s="47">
        <v>0</v>
      </c>
      <c r="BC69" s="181">
        <f t="shared" si="34"/>
        <v>0</v>
      </c>
      <c r="BD69" s="47">
        <v>0</v>
      </c>
      <c r="BE69" s="181">
        <f t="shared" si="35"/>
        <v>0</v>
      </c>
      <c r="BF69" s="47">
        <v>0</v>
      </c>
      <c r="BG69" s="181">
        <f t="shared" si="36"/>
        <v>0</v>
      </c>
      <c r="BH69" s="47">
        <v>0</v>
      </c>
      <c r="BI69" s="181">
        <f t="shared" si="37"/>
        <v>0</v>
      </c>
      <c r="BJ69" s="47">
        <f t="shared" si="98"/>
        <v>0</v>
      </c>
      <c r="BK69" s="117">
        <f t="shared" si="98"/>
        <v>0</v>
      </c>
      <c r="BL69" s="302" t="s">
        <v>499</v>
      </c>
      <c r="BN69" s="113"/>
      <c r="BO69" s="113"/>
      <c r="BP69" s="113"/>
      <c r="BQ69" s="113"/>
      <c r="BR69" s="113">
        <f>BN69+BO69+BP69+BQ69</f>
        <v>0</v>
      </c>
      <c r="BS69" s="113"/>
      <c r="BT69" s="113"/>
      <c r="BU69" s="125">
        <f>BS69+BT69</f>
        <v>0</v>
      </c>
      <c r="BV69" s="181">
        <f t="shared" si="0"/>
        <v>0</v>
      </c>
    </row>
    <row r="70" spans="1:74" ht="31.5" x14ac:dyDescent="0.25">
      <c r="A70" s="989"/>
      <c r="B70" s="38"/>
      <c r="C70" s="38" t="s">
        <v>355</v>
      </c>
      <c r="D70" s="38" t="s">
        <v>73</v>
      </c>
      <c r="E70" s="375">
        <f>0.21*100000</f>
        <v>21000</v>
      </c>
      <c r="F70" s="47">
        <f>BJ70</f>
        <v>0</v>
      </c>
      <c r="G70" s="85">
        <f>E70*F70</f>
        <v>0</v>
      </c>
      <c r="H70" s="85">
        <f>G70*0.377</f>
        <v>0</v>
      </c>
      <c r="I70" s="85">
        <f>G70*0.398</f>
        <v>0</v>
      </c>
      <c r="J70" s="85">
        <f>G70*0</f>
        <v>0</v>
      </c>
      <c r="K70" s="85">
        <f>G70*0</f>
        <v>0</v>
      </c>
      <c r="L70" s="85">
        <f>G70*0.083</f>
        <v>0</v>
      </c>
      <c r="M70" s="85">
        <f>G70*0</f>
        <v>0</v>
      </c>
      <c r="N70" s="85">
        <f>G70*0</f>
        <v>0</v>
      </c>
      <c r="O70" s="85">
        <f>G70*0</f>
        <v>0</v>
      </c>
      <c r="P70" s="85">
        <f>G70*0</f>
        <v>0</v>
      </c>
      <c r="Q70" s="85">
        <f>G70*0.142</f>
        <v>0</v>
      </c>
      <c r="R70" s="47"/>
      <c r="S70" s="47"/>
      <c r="T70" s="47"/>
      <c r="U70" s="47"/>
      <c r="V70" s="376">
        <f>R70*E70</f>
        <v>0</v>
      </c>
      <c r="W70" s="376">
        <f>S70*E70</f>
        <v>0</v>
      </c>
      <c r="X70" s="376">
        <f>T70*E70</f>
        <v>0</v>
      </c>
      <c r="Y70" s="376">
        <f>U70*E70</f>
        <v>0</v>
      </c>
      <c r="Z70" s="47">
        <v>0</v>
      </c>
      <c r="AA70" s="181">
        <f t="shared" si="20"/>
        <v>0</v>
      </c>
      <c r="AB70" s="47">
        <v>0</v>
      </c>
      <c r="AC70" s="181">
        <f t="shared" si="21"/>
        <v>0</v>
      </c>
      <c r="AD70" s="47">
        <v>0</v>
      </c>
      <c r="AE70" s="181">
        <f t="shared" si="22"/>
        <v>0</v>
      </c>
      <c r="AF70" s="47">
        <v>0</v>
      </c>
      <c r="AG70" s="181">
        <f t="shared" si="23"/>
        <v>0</v>
      </c>
      <c r="AH70" s="47">
        <v>0</v>
      </c>
      <c r="AI70" s="181">
        <f t="shared" si="24"/>
        <v>0</v>
      </c>
      <c r="AJ70" s="47">
        <v>0</v>
      </c>
      <c r="AK70" s="181">
        <f t="shared" si="25"/>
        <v>0</v>
      </c>
      <c r="AL70" s="47">
        <v>0</v>
      </c>
      <c r="AM70" s="181">
        <f t="shared" si="26"/>
        <v>0</v>
      </c>
      <c r="AN70" s="47">
        <v>0</v>
      </c>
      <c r="AO70" s="181">
        <f t="shared" si="27"/>
        <v>0</v>
      </c>
      <c r="AP70" s="47">
        <v>0</v>
      </c>
      <c r="AQ70" s="181">
        <f t="shared" si="28"/>
        <v>0</v>
      </c>
      <c r="AR70" s="47">
        <v>0</v>
      </c>
      <c r="AS70" s="181">
        <f t="shared" si="29"/>
        <v>0</v>
      </c>
      <c r="AT70" s="47">
        <v>0</v>
      </c>
      <c r="AU70" s="181">
        <f t="shared" si="30"/>
        <v>0</v>
      </c>
      <c r="AV70" s="47">
        <v>0</v>
      </c>
      <c r="AW70" s="181">
        <f t="shared" si="31"/>
        <v>0</v>
      </c>
      <c r="AX70" s="47">
        <v>0</v>
      </c>
      <c r="AY70" s="181">
        <f t="shared" si="32"/>
        <v>0</v>
      </c>
      <c r="AZ70" s="47">
        <v>0</v>
      </c>
      <c r="BA70" s="181">
        <f t="shared" si="33"/>
        <v>0</v>
      </c>
      <c r="BB70" s="47">
        <v>0</v>
      </c>
      <c r="BC70" s="181">
        <f t="shared" si="34"/>
        <v>0</v>
      </c>
      <c r="BD70" s="47">
        <v>0</v>
      </c>
      <c r="BE70" s="181">
        <f t="shared" si="35"/>
        <v>0</v>
      </c>
      <c r="BF70" s="47">
        <v>0</v>
      </c>
      <c r="BG70" s="181">
        <f t="shared" si="36"/>
        <v>0</v>
      </c>
      <c r="BH70" s="47">
        <v>0</v>
      </c>
      <c r="BI70" s="181">
        <f t="shared" si="37"/>
        <v>0</v>
      </c>
      <c r="BJ70" s="47">
        <f t="shared" si="98"/>
        <v>0</v>
      </c>
      <c r="BK70" s="117">
        <f t="shared" si="98"/>
        <v>0</v>
      </c>
      <c r="BL70" s="302" t="s">
        <v>470</v>
      </c>
      <c r="BN70" s="113"/>
      <c r="BO70" s="113"/>
      <c r="BP70" s="113"/>
      <c r="BQ70" s="113"/>
      <c r="BR70" s="113">
        <f>BN70+BO70+BP70+BQ70</f>
        <v>0</v>
      </c>
      <c r="BS70" s="113"/>
      <c r="BT70" s="113"/>
      <c r="BU70" s="125">
        <f>BS70+BT70</f>
        <v>0</v>
      </c>
      <c r="BV70" s="181">
        <f t="shared" si="0"/>
        <v>0</v>
      </c>
    </row>
    <row r="71" spans="1:74" x14ac:dyDescent="0.25">
      <c r="A71" s="989"/>
      <c r="B71" s="265"/>
      <c r="C71" s="400" t="s">
        <v>356</v>
      </c>
      <c r="D71" s="392"/>
      <c r="E71" s="392"/>
      <c r="F71" s="392">
        <f>SUM(F68:F70)</f>
        <v>0</v>
      </c>
      <c r="G71" s="393">
        <f>SUM(G68:G70)</f>
        <v>0</v>
      </c>
      <c r="H71" s="393">
        <f t="shared" ref="H71:Q71" si="99">SUM(H68:H70)</f>
        <v>0</v>
      </c>
      <c r="I71" s="393">
        <f t="shared" si="99"/>
        <v>0</v>
      </c>
      <c r="J71" s="393">
        <f t="shared" si="99"/>
        <v>0</v>
      </c>
      <c r="K71" s="393">
        <f t="shared" si="99"/>
        <v>0</v>
      </c>
      <c r="L71" s="393">
        <f t="shared" si="99"/>
        <v>0</v>
      </c>
      <c r="M71" s="393">
        <f t="shared" si="99"/>
        <v>0</v>
      </c>
      <c r="N71" s="393">
        <f t="shared" si="99"/>
        <v>0</v>
      </c>
      <c r="O71" s="393">
        <f t="shared" si="99"/>
        <v>0</v>
      </c>
      <c r="P71" s="393">
        <f t="shared" si="99"/>
        <v>0</v>
      </c>
      <c r="Q71" s="393">
        <f t="shared" si="99"/>
        <v>0</v>
      </c>
      <c r="R71" s="392">
        <f t="shared" ref="R71:BK71" si="100">SUM(R68:R70)</f>
        <v>0</v>
      </c>
      <c r="S71" s="392">
        <f t="shared" si="100"/>
        <v>0</v>
      </c>
      <c r="T71" s="392">
        <f t="shared" si="100"/>
        <v>0</v>
      </c>
      <c r="U71" s="392">
        <f t="shared" si="100"/>
        <v>0</v>
      </c>
      <c r="V71" s="393">
        <f t="shared" si="100"/>
        <v>0</v>
      </c>
      <c r="W71" s="393">
        <f t="shared" si="100"/>
        <v>0</v>
      </c>
      <c r="X71" s="393">
        <f t="shared" si="100"/>
        <v>0</v>
      </c>
      <c r="Y71" s="393">
        <f t="shared" si="100"/>
        <v>0</v>
      </c>
      <c r="Z71" s="392">
        <f t="shared" si="100"/>
        <v>0</v>
      </c>
      <c r="AA71" s="392">
        <f t="shared" si="100"/>
        <v>0</v>
      </c>
      <c r="AB71" s="392">
        <f t="shared" si="100"/>
        <v>0</v>
      </c>
      <c r="AC71" s="392">
        <f t="shared" si="100"/>
        <v>0</v>
      </c>
      <c r="AD71" s="392">
        <f t="shared" si="100"/>
        <v>0</v>
      </c>
      <c r="AE71" s="392">
        <f t="shared" si="100"/>
        <v>0</v>
      </c>
      <c r="AF71" s="392">
        <f t="shared" si="100"/>
        <v>0</v>
      </c>
      <c r="AG71" s="392">
        <f t="shared" si="100"/>
        <v>0</v>
      </c>
      <c r="AH71" s="392">
        <f t="shared" si="100"/>
        <v>0</v>
      </c>
      <c r="AI71" s="392">
        <f t="shared" si="100"/>
        <v>0</v>
      </c>
      <c r="AJ71" s="392">
        <f t="shared" si="100"/>
        <v>0</v>
      </c>
      <c r="AK71" s="392">
        <f t="shared" si="100"/>
        <v>0</v>
      </c>
      <c r="AL71" s="392">
        <f t="shared" si="100"/>
        <v>0</v>
      </c>
      <c r="AM71" s="392">
        <f t="shared" si="100"/>
        <v>0</v>
      </c>
      <c r="AN71" s="392">
        <f t="shared" si="100"/>
        <v>0</v>
      </c>
      <c r="AO71" s="392">
        <f t="shared" si="100"/>
        <v>0</v>
      </c>
      <c r="AP71" s="392">
        <f t="shared" si="100"/>
        <v>0</v>
      </c>
      <c r="AQ71" s="392">
        <f t="shared" si="100"/>
        <v>0</v>
      </c>
      <c r="AR71" s="392">
        <f t="shared" si="100"/>
        <v>0</v>
      </c>
      <c r="AS71" s="392">
        <f t="shared" si="100"/>
        <v>0</v>
      </c>
      <c r="AT71" s="392">
        <f t="shared" si="100"/>
        <v>0</v>
      </c>
      <c r="AU71" s="392">
        <f t="shared" si="100"/>
        <v>0</v>
      </c>
      <c r="AV71" s="392">
        <f t="shared" si="100"/>
        <v>0</v>
      </c>
      <c r="AW71" s="392">
        <f t="shared" si="100"/>
        <v>0</v>
      </c>
      <c r="AX71" s="392">
        <f t="shared" si="100"/>
        <v>0</v>
      </c>
      <c r="AY71" s="392">
        <f t="shared" si="100"/>
        <v>0</v>
      </c>
      <c r="AZ71" s="392">
        <f t="shared" si="100"/>
        <v>0</v>
      </c>
      <c r="BA71" s="392">
        <f t="shared" si="100"/>
        <v>0</v>
      </c>
      <c r="BB71" s="392">
        <f t="shared" si="100"/>
        <v>0</v>
      </c>
      <c r="BC71" s="392">
        <f t="shared" si="100"/>
        <v>0</v>
      </c>
      <c r="BD71" s="392">
        <f t="shared" si="100"/>
        <v>0</v>
      </c>
      <c r="BE71" s="392">
        <f t="shared" si="100"/>
        <v>0</v>
      </c>
      <c r="BF71" s="392">
        <f t="shared" si="100"/>
        <v>0</v>
      </c>
      <c r="BG71" s="392">
        <f t="shared" si="100"/>
        <v>0</v>
      </c>
      <c r="BH71" s="392">
        <f t="shared" si="100"/>
        <v>0</v>
      </c>
      <c r="BI71" s="392">
        <f t="shared" si="100"/>
        <v>0</v>
      </c>
      <c r="BJ71" s="392">
        <f t="shared" si="100"/>
        <v>0</v>
      </c>
      <c r="BK71" s="394">
        <f t="shared" si="100"/>
        <v>0</v>
      </c>
      <c r="BL71" s="47"/>
      <c r="BN71" s="394">
        <f t="shared" ref="BN71:BU71" si="101">SUM(BN68:BN70)</f>
        <v>0</v>
      </c>
      <c r="BO71" s="394">
        <f t="shared" si="101"/>
        <v>0</v>
      </c>
      <c r="BP71" s="394">
        <f t="shared" si="101"/>
        <v>0</v>
      </c>
      <c r="BQ71" s="394">
        <f t="shared" si="101"/>
        <v>0</v>
      </c>
      <c r="BR71" s="394">
        <f t="shared" si="101"/>
        <v>0</v>
      </c>
      <c r="BS71" s="394">
        <f t="shared" si="101"/>
        <v>0</v>
      </c>
      <c r="BT71" s="394">
        <f t="shared" si="101"/>
        <v>0</v>
      </c>
      <c r="BU71" s="394">
        <f t="shared" si="101"/>
        <v>0</v>
      </c>
      <c r="BV71" s="395">
        <f t="shared" si="0"/>
        <v>0</v>
      </c>
    </row>
    <row r="72" spans="1:74" x14ac:dyDescent="0.25">
      <c r="A72" s="989"/>
      <c r="B72" s="38">
        <v>41410</v>
      </c>
      <c r="C72" s="391" t="s">
        <v>357</v>
      </c>
      <c r="D72" s="38"/>
      <c r="E72" s="375"/>
      <c r="F72" s="38"/>
      <c r="G72" s="85"/>
      <c r="H72" s="85"/>
      <c r="I72" s="85"/>
      <c r="J72" s="85"/>
      <c r="K72" s="85"/>
      <c r="L72" s="85"/>
      <c r="M72" s="85"/>
      <c r="N72" s="85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181">
        <f t="shared" si="20"/>
        <v>0</v>
      </c>
      <c r="AB72" s="47"/>
      <c r="AC72" s="181">
        <f t="shared" si="21"/>
        <v>0</v>
      </c>
      <c r="AD72" s="47"/>
      <c r="AE72" s="181">
        <f t="shared" si="22"/>
        <v>0</v>
      </c>
      <c r="AF72" s="47"/>
      <c r="AG72" s="181">
        <f t="shared" si="23"/>
        <v>0</v>
      </c>
      <c r="AH72" s="47"/>
      <c r="AI72" s="181">
        <f t="shared" si="24"/>
        <v>0</v>
      </c>
      <c r="AJ72" s="47"/>
      <c r="AK72" s="181">
        <f t="shared" si="25"/>
        <v>0</v>
      </c>
      <c r="AL72" s="47"/>
      <c r="AM72" s="181">
        <f t="shared" si="26"/>
        <v>0</v>
      </c>
      <c r="AN72" s="47"/>
      <c r="AO72" s="181">
        <f t="shared" si="27"/>
        <v>0</v>
      </c>
      <c r="AP72" s="47"/>
      <c r="AQ72" s="181">
        <f t="shared" si="28"/>
        <v>0</v>
      </c>
      <c r="AR72" s="47"/>
      <c r="AS72" s="181">
        <f t="shared" si="29"/>
        <v>0</v>
      </c>
      <c r="AT72" s="47"/>
      <c r="AU72" s="181">
        <f t="shared" si="30"/>
        <v>0</v>
      </c>
      <c r="AV72" s="47"/>
      <c r="AW72" s="181">
        <f t="shared" si="31"/>
        <v>0</v>
      </c>
      <c r="AX72" s="47"/>
      <c r="AY72" s="181">
        <f t="shared" si="32"/>
        <v>0</v>
      </c>
      <c r="AZ72" s="47"/>
      <c r="BA72" s="181">
        <f t="shared" si="33"/>
        <v>0</v>
      </c>
      <c r="BB72" s="47"/>
      <c r="BC72" s="181">
        <f t="shared" si="34"/>
        <v>0</v>
      </c>
      <c r="BD72" s="47"/>
      <c r="BE72" s="181">
        <f t="shared" si="35"/>
        <v>0</v>
      </c>
      <c r="BF72" s="47"/>
      <c r="BG72" s="181">
        <f t="shared" si="36"/>
        <v>0</v>
      </c>
      <c r="BH72" s="47"/>
      <c r="BI72" s="181">
        <f t="shared" si="37"/>
        <v>0</v>
      </c>
      <c r="BJ72" s="47"/>
      <c r="BK72" s="124"/>
      <c r="BL72" s="47"/>
      <c r="BN72" s="113"/>
      <c r="BO72" s="113"/>
      <c r="BP72" s="113"/>
      <c r="BQ72" s="113"/>
      <c r="BR72" s="113"/>
      <c r="BS72" s="113"/>
      <c r="BT72" s="113"/>
      <c r="BU72" s="125"/>
      <c r="BV72" s="181">
        <f t="shared" si="0"/>
        <v>0</v>
      </c>
    </row>
    <row r="73" spans="1:74" s="165" customFormat="1" ht="31.5" x14ac:dyDescent="0.25">
      <c r="A73" s="989"/>
      <c r="B73" s="141"/>
      <c r="C73" s="141" t="s">
        <v>358</v>
      </c>
      <c r="D73" s="141" t="s">
        <v>73</v>
      </c>
      <c r="E73" s="142">
        <v>45000</v>
      </c>
      <c r="F73" s="47">
        <f>BJ73</f>
        <v>204</v>
      </c>
      <c r="G73" s="134">
        <f>E73*F73</f>
        <v>9180000</v>
      </c>
      <c r="H73" s="134">
        <f>G73*0.5</f>
        <v>4590000</v>
      </c>
      <c r="I73" s="134">
        <f>G73*0.5</f>
        <v>4590000</v>
      </c>
      <c r="J73" s="134">
        <f>G73*0</f>
        <v>0</v>
      </c>
      <c r="K73" s="134">
        <f>G73*0</f>
        <v>0</v>
      </c>
      <c r="L73" s="134">
        <f>G73*0</f>
        <v>0</v>
      </c>
      <c r="M73" s="134">
        <f>G73*0</f>
        <v>0</v>
      </c>
      <c r="N73" s="134">
        <f>G73*0</f>
        <v>0</v>
      </c>
      <c r="O73" s="134">
        <f>G73*0</f>
        <v>0</v>
      </c>
      <c r="P73" s="134">
        <f>G73*0</f>
        <v>0</v>
      </c>
      <c r="Q73" s="134">
        <f>G73*0</f>
        <v>0</v>
      </c>
      <c r="R73" s="136">
        <f>F73*0.25</f>
        <v>51</v>
      </c>
      <c r="S73" s="136">
        <f>F73*0.25</f>
        <v>51</v>
      </c>
      <c r="T73" s="136">
        <f>F73*0.25</f>
        <v>51</v>
      </c>
      <c r="U73" s="136">
        <f>F73*0.25</f>
        <v>51</v>
      </c>
      <c r="V73" s="376">
        <f>R73*E73</f>
        <v>2295000</v>
      </c>
      <c r="W73" s="376">
        <f>S73*E73</f>
        <v>2295000</v>
      </c>
      <c r="X73" s="376">
        <f>T73*E73</f>
        <v>2295000</v>
      </c>
      <c r="Y73" s="376">
        <f>U73*E73</f>
        <v>2295000</v>
      </c>
      <c r="Z73" s="136">
        <v>12</v>
      </c>
      <c r="AA73" s="181">
        <f t="shared" si="20"/>
        <v>540000</v>
      </c>
      <c r="AB73" s="136">
        <v>12</v>
      </c>
      <c r="AC73" s="181">
        <f t="shared" si="21"/>
        <v>540000</v>
      </c>
      <c r="AD73" s="136">
        <v>12</v>
      </c>
      <c r="AE73" s="181">
        <f t="shared" si="22"/>
        <v>540000</v>
      </c>
      <c r="AF73" s="136">
        <v>12</v>
      </c>
      <c r="AG73" s="181">
        <f t="shared" si="23"/>
        <v>540000</v>
      </c>
      <c r="AH73" s="136">
        <v>12</v>
      </c>
      <c r="AI73" s="181">
        <f t="shared" si="24"/>
        <v>540000</v>
      </c>
      <c r="AJ73" s="136">
        <v>12</v>
      </c>
      <c r="AK73" s="181">
        <f t="shared" si="25"/>
        <v>540000</v>
      </c>
      <c r="AL73" s="136">
        <v>12</v>
      </c>
      <c r="AM73" s="181">
        <f t="shared" si="26"/>
        <v>540000</v>
      </c>
      <c r="AN73" s="136">
        <v>12</v>
      </c>
      <c r="AO73" s="181">
        <f t="shared" si="27"/>
        <v>540000</v>
      </c>
      <c r="AP73" s="136">
        <v>12</v>
      </c>
      <c r="AQ73" s="181">
        <f t="shared" si="28"/>
        <v>540000</v>
      </c>
      <c r="AR73" s="136">
        <v>12</v>
      </c>
      <c r="AS73" s="181">
        <f t="shared" si="29"/>
        <v>540000</v>
      </c>
      <c r="AT73" s="136">
        <v>12</v>
      </c>
      <c r="AU73" s="181">
        <f t="shared" si="30"/>
        <v>540000</v>
      </c>
      <c r="AV73" s="136">
        <v>12</v>
      </c>
      <c r="AW73" s="181">
        <f t="shared" si="31"/>
        <v>540000</v>
      </c>
      <c r="AX73" s="136">
        <v>12</v>
      </c>
      <c r="AY73" s="181">
        <f t="shared" si="32"/>
        <v>540000</v>
      </c>
      <c r="AZ73" s="136">
        <v>12</v>
      </c>
      <c r="BA73" s="181">
        <f t="shared" si="33"/>
        <v>540000</v>
      </c>
      <c r="BB73" s="136">
        <v>12</v>
      </c>
      <c r="BC73" s="181">
        <f t="shared" si="34"/>
        <v>540000</v>
      </c>
      <c r="BD73" s="136">
        <v>12</v>
      </c>
      <c r="BE73" s="181">
        <f t="shared" si="35"/>
        <v>540000</v>
      </c>
      <c r="BF73" s="136">
        <v>12</v>
      </c>
      <c r="BG73" s="181">
        <f t="shared" si="36"/>
        <v>540000</v>
      </c>
      <c r="BH73" s="136">
        <v>0</v>
      </c>
      <c r="BI73" s="181">
        <f t="shared" si="37"/>
        <v>0</v>
      </c>
      <c r="BJ73" s="136">
        <f t="shared" ref="BJ73:BK77" si="102">Z73+AB73+AD73+AF73+AH73+AJ73+AL73+AN73+AP73+AR73+AT73+AV73+AX73+AZ73+BB73+BD73+BF73+BH73</f>
        <v>204</v>
      </c>
      <c r="BK73" s="331">
        <f t="shared" si="102"/>
        <v>9180000</v>
      </c>
      <c r="BL73" s="303" t="s">
        <v>472</v>
      </c>
      <c r="BN73" s="178"/>
      <c r="BO73" s="178"/>
      <c r="BP73" s="178"/>
      <c r="BQ73" s="178"/>
      <c r="BR73" s="178">
        <f>BN73+BO73+BP73+BQ73</f>
        <v>0</v>
      </c>
      <c r="BS73" s="178">
        <f>G73</f>
        <v>9180000</v>
      </c>
      <c r="BT73" s="178"/>
      <c r="BU73" s="166">
        <f>BS73+BT73</f>
        <v>9180000</v>
      </c>
      <c r="BV73" s="191">
        <f t="shared" si="0"/>
        <v>9180000</v>
      </c>
    </row>
    <row r="74" spans="1:74" s="165" customFormat="1" ht="31.5" x14ac:dyDescent="0.25">
      <c r="A74" s="989"/>
      <c r="B74" s="171"/>
      <c r="C74" s="171" t="s">
        <v>359</v>
      </c>
      <c r="D74" s="171" t="s">
        <v>73</v>
      </c>
      <c r="E74" s="180">
        <v>30000</v>
      </c>
      <c r="F74" s="47">
        <f>BJ74</f>
        <v>204</v>
      </c>
      <c r="G74" s="134">
        <f>E74*F74</f>
        <v>6120000</v>
      </c>
      <c r="H74" s="134">
        <f>G74*0.5</f>
        <v>3060000</v>
      </c>
      <c r="I74" s="134">
        <f>G74*0.5</f>
        <v>3060000</v>
      </c>
      <c r="J74" s="134">
        <f>G74*0</f>
        <v>0</v>
      </c>
      <c r="K74" s="134">
        <f>G74*0</f>
        <v>0</v>
      </c>
      <c r="L74" s="134">
        <f>G74*0</f>
        <v>0</v>
      </c>
      <c r="M74" s="134">
        <f>G74*0</f>
        <v>0</v>
      </c>
      <c r="N74" s="134">
        <f>G74*0</f>
        <v>0</v>
      </c>
      <c r="O74" s="134">
        <f>G74*0</f>
        <v>0</v>
      </c>
      <c r="P74" s="134">
        <f>G74*0</f>
        <v>0</v>
      </c>
      <c r="Q74" s="134">
        <f>G74*0</f>
        <v>0</v>
      </c>
      <c r="R74" s="136">
        <f>F74*0.25</f>
        <v>51</v>
      </c>
      <c r="S74" s="136">
        <f>F74*0.25</f>
        <v>51</v>
      </c>
      <c r="T74" s="136">
        <f>F74*0.25</f>
        <v>51</v>
      </c>
      <c r="U74" s="136">
        <f>F74*0.25</f>
        <v>51</v>
      </c>
      <c r="V74" s="376">
        <f>R74*E74</f>
        <v>1530000</v>
      </c>
      <c r="W74" s="376">
        <f>S74*E74</f>
        <v>1530000</v>
      </c>
      <c r="X74" s="376">
        <f>T74*E74</f>
        <v>1530000</v>
      </c>
      <c r="Y74" s="376">
        <f>U74*E74</f>
        <v>1530000</v>
      </c>
      <c r="Z74" s="136">
        <v>12</v>
      </c>
      <c r="AA74" s="181">
        <f t="shared" si="20"/>
        <v>360000</v>
      </c>
      <c r="AB74" s="136">
        <v>12</v>
      </c>
      <c r="AC74" s="181">
        <f t="shared" si="21"/>
        <v>360000</v>
      </c>
      <c r="AD74" s="136">
        <v>12</v>
      </c>
      <c r="AE74" s="181">
        <f t="shared" si="22"/>
        <v>360000</v>
      </c>
      <c r="AF74" s="136">
        <v>12</v>
      </c>
      <c r="AG74" s="181">
        <f t="shared" si="23"/>
        <v>360000</v>
      </c>
      <c r="AH74" s="136">
        <v>12</v>
      </c>
      <c r="AI74" s="181">
        <f t="shared" si="24"/>
        <v>360000</v>
      </c>
      <c r="AJ74" s="136">
        <v>12</v>
      </c>
      <c r="AK74" s="181">
        <f t="shared" si="25"/>
        <v>360000</v>
      </c>
      <c r="AL74" s="136">
        <v>12</v>
      </c>
      <c r="AM74" s="181">
        <f t="shared" si="26"/>
        <v>360000</v>
      </c>
      <c r="AN74" s="136">
        <v>12</v>
      </c>
      <c r="AO74" s="181">
        <f t="shared" si="27"/>
        <v>360000</v>
      </c>
      <c r="AP74" s="136">
        <v>12</v>
      </c>
      <c r="AQ74" s="181">
        <f t="shared" si="28"/>
        <v>360000</v>
      </c>
      <c r="AR74" s="136">
        <v>12</v>
      </c>
      <c r="AS74" s="181">
        <f t="shared" si="29"/>
        <v>360000</v>
      </c>
      <c r="AT74" s="136">
        <v>12</v>
      </c>
      <c r="AU74" s="181">
        <f t="shared" si="30"/>
        <v>360000</v>
      </c>
      <c r="AV74" s="136">
        <v>12</v>
      </c>
      <c r="AW74" s="181">
        <f t="shared" si="31"/>
        <v>360000</v>
      </c>
      <c r="AX74" s="136">
        <v>12</v>
      </c>
      <c r="AY74" s="181">
        <f t="shared" si="32"/>
        <v>360000</v>
      </c>
      <c r="AZ74" s="136">
        <v>12</v>
      </c>
      <c r="BA74" s="181">
        <f t="shared" si="33"/>
        <v>360000</v>
      </c>
      <c r="BB74" s="136">
        <v>12</v>
      </c>
      <c r="BC74" s="181">
        <f t="shared" si="34"/>
        <v>360000</v>
      </c>
      <c r="BD74" s="136">
        <v>12</v>
      </c>
      <c r="BE74" s="181">
        <f t="shared" si="35"/>
        <v>360000</v>
      </c>
      <c r="BF74" s="136">
        <v>12</v>
      </c>
      <c r="BG74" s="181">
        <f t="shared" si="36"/>
        <v>360000</v>
      </c>
      <c r="BH74" s="136">
        <v>0</v>
      </c>
      <c r="BI74" s="181">
        <f t="shared" si="37"/>
        <v>0</v>
      </c>
      <c r="BJ74" s="136">
        <f t="shared" si="102"/>
        <v>204</v>
      </c>
      <c r="BK74" s="331">
        <f t="shared" si="102"/>
        <v>6120000</v>
      </c>
      <c r="BL74" s="303" t="s">
        <v>472</v>
      </c>
      <c r="BN74" s="178"/>
      <c r="BO74" s="178"/>
      <c r="BP74" s="178"/>
      <c r="BQ74" s="178"/>
      <c r="BR74" s="178">
        <f>BN74+BO74+BP74+BQ74</f>
        <v>0</v>
      </c>
      <c r="BS74" s="178">
        <f>G74</f>
        <v>6120000</v>
      </c>
      <c r="BT74" s="178"/>
      <c r="BU74" s="166">
        <f>BS74+BT74</f>
        <v>6120000</v>
      </c>
      <c r="BV74" s="191">
        <f t="shared" si="0"/>
        <v>6120000</v>
      </c>
    </row>
    <row r="75" spans="1:74" ht="31.5" x14ac:dyDescent="0.25">
      <c r="A75" s="989"/>
      <c r="B75" s="38"/>
      <c r="C75" s="38" t="s">
        <v>360</v>
      </c>
      <c r="D75" s="38" t="s">
        <v>73</v>
      </c>
      <c r="E75" s="375">
        <v>22000</v>
      </c>
      <c r="F75" s="47">
        <f>BJ75</f>
        <v>204</v>
      </c>
      <c r="G75" s="85">
        <f>E75*F75</f>
        <v>4488000</v>
      </c>
      <c r="H75" s="85">
        <f>G75*0.5</f>
        <v>2244000</v>
      </c>
      <c r="I75" s="85">
        <f>G75*0.5</f>
        <v>2244000</v>
      </c>
      <c r="J75" s="85">
        <f>G75*0</f>
        <v>0</v>
      </c>
      <c r="K75" s="85">
        <f>G75*0</f>
        <v>0</v>
      </c>
      <c r="L75" s="85">
        <f>G75*0</f>
        <v>0</v>
      </c>
      <c r="M75" s="85">
        <f>G75*0</f>
        <v>0</v>
      </c>
      <c r="N75" s="85">
        <f>G75*0</f>
        <v>0</v>
      </c>
      <c r="O75" s="85">
        <f>G75*0</f>
        <v>0</v>
      </c>
      <c r="P75" s="85">
        <f>G75*0</f>
        <v>0</v>
      </c>
      <c r="Q75" s="85">
        <f>G75*0</f>
        <v>0</v>
      </c>
      <c r="R75" s="47">
        <f>F75*0.25</f>
        <v>51</v>
      </c>
      <c r="S75" s="47">
        <f>F75*0.25</f>
        <v>51</v>
      </c>
      <c r="T75" s="47">
        <f>F75*0.25</f>
        <v>51</v>
      </c>
      <c r="U75" s="47">
        <f>F75*0.25</f>
        <v>51</v>
      </c>
      <c r="V75" s="376">
        <f>R75*E75</f>
        <v>1122000</v>
      </c>
      <c r="W75" s="376">
        <f>S75*E75</f>
        <v>1122000</v>
      </c>
      <c r="X75" s="376">
        <f>T75*E75</f>
        <v>1122000</v>
      </c>
      <c r="Y75" s="376">
        <f>U75*E75</f>
        <v>1122000</v>
      </c>
      <c r="Z75" s="47">
        <v>0</v>
      </c>
      <c r="AA75" s="181">
        <f t="shared" si="20"/>
        <v>0</v>
      </c>
      <c r="AB75" s="47">
        <v>0</v>
      </c>
      <c r="AC75" s="181">
        <f t="shared" si="21"/>
        <v>0</v>
      </c>
      <c r="AD75" s="47">
        <v>0</v>
      </c>
      <c r="AE75" s="181">
        <f t="shared" si="22"/>
        <v>0</v>
      </c>
      <c r="AF75" s="47">
        <v>0</v>
      </c>
      <c r="AG75" s="181">
        <f t="shared" si="23"/>
        <v>0</v>
      </c>
      <c r="AH75" s="47">
        <v>0</v>
      </c>
      <c r="AI75" s="181">
        <f t="shared" si="24"/>
        <v>0</v>
      </c>
      <c r="AJ75" s="47">
        <v>0</v>
      </c>
      <c r="AK75" s="181">
        <f t="shared" si="25"/>
        <v>0</v>
      </c>
      <c r="AL75" s="47">
        <v>0</v>
      </c>
      <c r="AM75" s="181">
        <f t="shared" si="26"/>
        <v>0</v>
      </c>
      <c r="AN75" s="47">
        <v>0</v>
      </c>
      <c r="AO75" s="181">
        <f t="shared" si="27"/>
        <v>0</v>
      </c>
      <c r="AP75" s="47">
        <v>0</v>
      </c>
      <c r="AQ75" s="181">
        <f t="shared" si="28"/>
        <v>0</v>
      </c>
      <c r="AR75" s="47">
        <v>0</v>
      </c>
      <c r="AS75" s="181">
        <f t="shared" si="29"/>
        <v>0</v>
      </c>
      <c r="AT75" s="47">
        <v>0</v>
      </c>
      <c r="AU75" s="181">
        <f t="shared" si="30"/>
        <v>0</v>
      </c>
      <c r="AV75" s="47">
        <v>0</v>
      </c>
      <c r="AW75" s="181">
        <f t="shared" si="31"/>
        <v>0</v>
      </c>
      <c r="AX75" s="47">
        <v>0</v>
      </c>
      <c r="AY75" s="181">
        <f t="shared" si="32"/>
        <v>0</v>
      </c>
      <c r="AZ75" s="47">
        <v>0</v>
      </c>
      <c r="BA75" s="181">
        <f t="shared" si="33"/>
        <v>0</v>
      </c>
      <c r="BB75" s="47">
        <v>0</v>
      </c>
      <c r="BC75" s="181">
        <f t="shared" si="34"/>
        <v>0</v>
      </c>
      <c r="BD75" s="47">
        <v>0</v>
      </c>
      <c r="BE75" s="181">
        <f t="shared" si="35"/>
        <v>0</v>
      </c>
      <c r="BF75" s="47">
        <v>0</v>
      </c>
      <c r="BG75" s="181">
        <f t="shared" si="36"/>
        <v>0</v>
      </c>
      <c r="BH75" s="47">
        <f>17*1*12</f>
        <v>204</v>
      </c>
      <c r="BI75" s="181">
        <f t="shared" si="37"/>
        <v>4488000</v>
      </c>
      <c r="BJ75" s="47">
        <f t="shared" si="102"/>
        <v>204</v>
      </c>
      <c r="BK75" s="117">
        <f t="shared" si="102"/>
        <v>4488000</v>
      </c>
      <c r="BL75" s="303" t="s">
        <v>472</v>
      </c>
      <c r="BN75" s="113"/>
      <c r="BO75" s="113"/>
      <c r="BP75" s="113"/>
      <c r="BQ75" s="113"/>
      <c r="BR75" s="113">
        <f>BN75+BO75+BP75+BQ75</f>
        <v>0</v>
      </c>
      <c r="BS75" s="113">
        <f>G75</f>
        <v>4488000</v>
      </c>
      <c r="BT75" s="113"/>
      <c r="BU75" s="125">
        <f>BS75+BT75</f>
        <v>4488000</v>
      </c>
      <c r="BV75" s="181">
        <f t="shared" si="0"/>
        <v>4488000</v>
      </c>
    </row>
    <row r="76" spans="1:74" ht="31.5" x14ac:dyDescent="0.25">
      <c r="A76" s="989"/>
      <c r="B76" s="38"/>
      <c r="C76" s="38" t="s">
        <v>361</v>
      </c>
      <c r="D76" s="38" t="s">
        <v>73</v>
      </c>
      <c r="E76" s="375">
        <v>27600</v>
      </c>
      <c r="F76" s="47">
        <f>BJ76</f>
        <v>204</v>
      </c>
      <c r="G76" s="85">
        <f>E76*F76</f>
        <v>5630400</v>
      </c>
      <c r="H76" s="85">
        <f>G76*0.5</f>
        <v>2815200</v>
      </c>
      <c r="I76" s="85">
        <f>G76*0.5</f>
        <v>2815200</v>
      </c>
      <c r="J76" s="85">
        <f>G76*0</f>
        <v>0</v>
      </c>
      <c r="K76" s="85">
        <f>G76*0</f>
        <v>0</v>
      </c>
      <c r="L76" s="85">
        <f>G76*0</f>
        <v>0</v>
      </c>
      <c r="M76" s="85">
        <f>G76*0</f>
        <v>0</v>
      </c>
      <c r="N76" s="85">
        <f>G76*0</f>
        <v>0</v>
      </c>
      <c r="O76" s="85">
        <f>G76*0</f>
        <v>0</v>
      </c>
      <c r="P76" s="85">
        <f>G76*0</f>
        <v>0</v>
      </c>
      <c r="Q76" s="85">
        <f>G76*0</f>
        <v>0</v>
      </c>
      <c r="R76" s="47">
        <f>F76*0.25</f>
        <v>51</v>
      </c>
      <c r="S76" s="47">
        <f>F76*0.25</f>
        <v>51</v>
      </c>
      <c r="T76" s="47">
        <f>F76*0.25</f>
        <v>51</v>
      </c>
      <c r="U76" s="47">
        <f>F76*0.25</f>
        <v>51</v>
      </c>
      <c r="V76" s="376">
        <f>R76*E76</f>
        <v>1407600</v>
      </c>
      <c r="W76" s="376">
        <f>S76*E76</f>
        <v>1407600</v>
      </c>
      <c r="X76" s="376">
        <f>T76*E76</f>
        <v>1407600</v>
      </c>
      <c r="Y76" s="376">
        <f>U76*E76</f>
        <v>1407600</v>
      </c>
      <c r="Z76" s="47">
        <v>12</v>
      </c>
      <c r="AA76" s="181">
        <f t="shared" si="20"/>
        <v>331200</v>
      </c>
      <c r="AB76" s="47">
        <v>12</v>
      </c>
      <c r="AC76" s="181">
        <f t="shared" si="21"/>
        <v>331200</v>
      </c>
      <c r="AD76" s="47">
        <v>12</v>
      </c>
      <c r="AE76" s="181">
        <f t="shared" si="22"/>
        <v>331200</v>
      </c>
      <c r="AF76" s="47">
        <v>12</v>
      </c>
      <c r="AG76" s="181">
        <f t="shared" si="23"/>
        <v>331200</v>
      </c>
      <c r="AH76" s="47">
        <v>12</v>
      </c>
      <c r="AI76" s="181">
        <f t="shared" si="24"/>
        <v>331200</v>
      </c>
      <c r="AJ76" s="47">
        <v>12</v>
      </c>
      <c r="AK76" s="181">
        <f t="shared" si="25"/>
        <v>331200</v>
      </c>
      <c r="AL76" s="47">
        <v>12</v>
      </c>
      <c r="AM76" s="181">
        <f t="shared" si="26"/>
        <v>331200</v>
      </c>
      <c r="AN76" s="47">
        <v>12</v>
      </c>
      <c r="AO76" s="181">
        <f t="shared" si="27"/>
        <v>331200</v>
      </c>
      <c r="AP76" s="47">
        <v>12</v>
      </c>
      <c r="AQ76" s="181">
        <f t="shared" si="28"/>
        <v>331200</v>
      </c>
      <c r="AR76" s="47">
        <v>12</v>
      </c>
      <c r="AS76" s="181">
        <f t="shared" si="29"/>
        <v>331200</v>
      </c>
      <c r="AT76" s="47">
        <v>12</v>
      </c>
      <c r="AU76" s="181">
        <f t="shared" si="30"/>
        <v>331200</v>
      </c>
      <c r="AV76" s="47">
        <v>12</v>
      </c>
      <c r="AW76" s="181">
        <f t="shared" si="31"/>
        <v>331200</v>
      </c>
      <c r="AX76" s="47">
        <v>12</v>
      </c>
      <c r="AY76" s="181">
        <f t="shared" si="32"/>
        <v>331200</v>
      </c>
      <c r="AZ76" s="47">
        <v>12</v>
      </c>
      <c r="BA76" s="181">
        <f t="shared" si="33"/>
        <v>331200</v>
      </c>
      <c r="BB76" s="47">
        <v>12</v>
      </c>
      <c r="BC76" s="181">
        <f t="shared" si="34"/>
        <v>331200</v>
      </c>
      <c r="BD76" s="47">
        <v>12</v>
      </c>
      <c r="BE76" s="181">
        <f t="shared" si="35"/>
        <v>331200</v>
      </c>
      <c r="BF76" s="47">
        <v>12</v>
      </c>
      <c r="BG76" s="181">
        <f t="shared" si="36"/>
        <v>331200</v>
      </c>
      <c r="BH76" s="47">
        <v>0</v>
      </c>
      <c r="BI76" s="181">
        <f t="shared" si="37"/>
        <v>0</v>
      </c>
      <c r="BJ76" s="47">
        <f t="shared" si="102"/>
        <v>204</v>
      </c>
      <c r="BK76" s="117">
        <f t="shared" si="102"/>
        <v>5630400</v>
      </c>
      <c r="BL76" s="303" t="s">
        <v>472</v>
      </c>
      <c r="BN76" s="113"/>
      <c r="BO76" s="113"/>
      <c r="BP76" s="113"/>
      <c r="BQ76" s="113"/>
      <c r="BR76" s="113">
        <f>BN76+BO76+BP76+BQ76</f>
        <v>0</v>
      </c>
      <c r="BS76" s="113">
        <f>G76</f>
        <v>5630400</v>
      </c>
      <c r="BT76" s="113"/>
      <c r="BU76" s="125">
        <f>BS76+BT76</f>
        <v>5630400</v>
      </c>
      <c r="BV76" s="181">
        <f t="shared" si="0"/>
        <v>5630400</v>
      </c>
    </row>
    <row r="77" spans="1:74" ht="31.5" x14ac:dyDescent="0.25">
      <c r="A77" s="989"/>
      <c r="B77" s="210"/>
      <c r="C77" s="210" t="s">
        <v>362</v>
      </c>
      <c r="D77" s="210" t="s">
        <v>73</v>
      </c>
      <c r="E77" s="388">
        <v>15000</v>
      </c>
      <c r="F77" s="47">
        <f>BJ77</f>
        <v>204</v>
      </c>
      <c r="G77" s="85">
        <f>E77*F77</f>
        <v>3060000</v>
      </c>
      <c r="H77" s="85">
        <f>G77*0.5</f>
        <v>1530000</v>
      </c>
      <c r="I77" s="85">
        <f>G77*0.5</f>
        <v>1530000</v>
      </c>
      <c r="J77" s="85">
        <f>G77*0</f>
        <v>0</v>
      </c>
      <c r="K77" s="85">
        <f>G77*0</f>
        <v>0</v>
      </c>
      <c r="L77" s="85">
        <f>G77*0</f>
        <v>0</v>
      </c>
      <c r="M77" s="85">
        <f>G77*0</f>
        <v>0</v>
      </c>
      <c r="N77" s="85">
        <f>G77*0</f>
        <v>0</v>
      </c>
      <c r="O77" s="85">
        <f>G77*0</f>
        <v>0</v>
      </c>
      <c r="P77" s="85">
        <f>G77*0</f>
        <v>0</v>
      </c>
      <c r="Q77" s="85">
        <f>G77*0</f>
        <v>0</v>
      </c>
      <c r="R77" s="47">
        <f>F77*0.25</f>
        <v>51</v>
      </c>
      <c r="S77" s="47">
        <f>F77*0.25</f>
        <v>51</v>
      </c>
      <c r="T77" s="47">
        <f>F77*0.25</f>
        <v>51</v>
      </c>
      <c r="U77" s="47">
        <f>F77*0.25</f>
        <v>51</v>
      </c>
      <c r="V77" s="376">
        <f>R77*E77</f>
        <v>765000</v>
      </c>
      <c r="W77" s="376">
        <f>S77*E77</f>
        <v>765000</v>
      </c>
      <c r="X77" s="376">
        <f>T77*E77</f>
        <v>765000</v>
      </c>
      <c r="Y77" s="376">
        <f>U77*E77</f>
        <v>765000</v>
      </c>
      <c r="Z77" s="47">
        <v>0</v>
      </c>
      <c r="AA77" s="181">
        <f t="shared" ref="AA77:AA110" si="103">Z77*E77</f>
        <v>0</v>
      </c>
      <c r="AB77" s="47">
        <v>0</v>
      </c>
      <c r="AC77" s="181">
        <f t="shared" ref="AC77:AC110" si="104">AB77*E77</f>
        <v>0</v>
      </c>
      <c r="AD77" s="47">
        <v>0</v>
      </c>
      <c r="AE77" s="181">
        <f t="shared" ref="AE77:AE110" si="105">AD77*E77</f>
        <v>0</v>
      </c>
      <c r="AF77" s="47">
        <v>0</v>
      </c>
      <c r="AG77" s="181">
        <f t="shared" ref="AG77:AG110" si="106">AF77*E77</f>
        <v>0</v>
      </c>
      <c r="AH77" s="47">
        <v>0</v>
      </c>
      <c r="AI77" s="181">
        <f t="shared" ref="AI77:AI110" si="107">AH77*E77</f>
        <v>0</v>
      </c>
      <c r="AJ77" s="47">
        <v>0</v>
      </c>
      <c r="AK77" s="181">
        <f t="shared" ref="AK77:AK110" si="108">AJ77*E77</f>
        <v>0</v>
      </c>
      <c r="AL77" s="47">
        <v>0</v>
      </c>
      <c r="AM77" s="181">
        <f t="shared" ref="AM77:AM110" si="109">AL77*E77</f>
        <v>0</v>
      </c>
      <c r="AN77" s="47">
        <v>0</v>
      </c>
      <c r="AO77" s="181">
        <f t="shared" ref="AO77:AO110" si="110">AN77*E77</f>
        <v>0</v>
      </c>
      <c r="AP77" s="47">
        <v>0</v>
      </c>
      <c r="AQ77" s="181">
        <f t="shared" ref="AQ77:AQ110" si="111">AP77*E77</f>
        <v>0</v>
      </c>
      <c r="AR77" s="47">
        <v>0</v>
      </c>
      <c r="AS77" s="181">
        <f t="shared" ref="AS77:AS110" si="112">AR77*E77</f>
        <v>0</v>
      </c>
      <c r="AT77" s="47">
        <v>0</v>
      </c>
      <c r="AU77" s="181">
        <f t="shared" ref="AU77:AU110" si="113">AT77*E77</f>
        <v>0</v>
      </c>
      <c r="AV77" s="47">
        <v>0</v>
      </c>
      <c r="AW77" s="181">
        <f t="shared" ref="AW77:AW110" si="114">AV77*E77</f>
        <v>0</v>
      </c>
      <c r="AX77" s="47">
        <v>0</v>
      </c>
      <c r="AY77" s="181">
        <f t="shared" ref="AY77:AY110" si="115">AX77*E77</f>
        <v>0</v>
      </c>
      <c r="AZ77" s="47">
        <v>0</v>
      </c>
      <c r="BA77" s="181">
        <f t="shared" ref="BA77:BA110" si="116">AZ77*E77</f>
        <v>0</v>
      </c>
      <c r="BB77" s="47">
        <v>0</v>
      </c>
      <c r="BC77" s="181">
        <f t="shared" ref="BC77:BC110" si="117">BB77*E77</f>
        <v>0</v>
      </c>
      <c r="BD77" s="47">
        <v>0</v>
      </c>
      <c r="BE77" s="181">
        <f t="shared" ref="BE77:BE110" si="118">BD77*E77</f>
        <v>0</v>
      </c>
      <c r="BF77" s="47">
        <v>0</v>
      </c>
      <c r="BG77" s="181">
        <f t="shared" ref="BG77:BG110" si="119">BF77*E77</f>
        <v>0</v>
      </c>
      <c r="BH77" s="47">
        <f>17*1*12</f>
        <v>204</v>
      </c>
      <c r="BI77" s="181">
        <f t="shared" ref="BI77:BI110" si="120">BH77*E77</f>
        <v>3060000</v>
      </c>
      <c r="BJ77" s="47">
        <f t="shared" si="102"/>
        <v>204</v>
      </c>
      <c r="BK77" s="117">
        <f t="shared" si="102"/>
        <v>3060000</v>
      </c>
      <c r="BL77" s="303" t="s">
        <v>472</v>
      </c>
      <c r="BN77" s="113"/>
      <c r="BO77" s="113"/>
      <c r="BP77" s="113"/>
      <c r="BQ77" s="113"/>
      <c r="BR77" s="113">
        <f>BN77+BO77+BP77+BQ77</f>
        <v>0</v>
      </c>
      <c r="BS77" s="113">
        <f>G77</f>
        <v>3060000</v>
      </c>
      <c r="BT77" s="113"/>
      <c r="BU77" s="125">
        <f>BS77+BT77</f>
        <v>3060000</v>
      </c>
      <c r="BV77" s="181">
        <f t="shared" ref="BV77:BV112" si="121">BR77+BU77</f>
        <v>3060000</v>
      </c>
    </row>
    <row r="78" spans="1:74" x14ac:dyDescent="0.25">
      <c r="A78" s="989"/>
      <c r="B78" s="265"/>
      <c r="C78" s="400" t="s">
        <v>363</v>
      </c>
      <c r="D78" s="392"/>
      <c r="E78" s="392"/>
      <c r="F78" s="392">
        <f>SUM(F73:F77)</f>
        <v>1020</v>
      </c>
      <c r="G78" s="401">
        <f>SUM(G73:G77)</f>
        <v>28478400</v>
      </c>
      <c r="H78" s="401">
        <f t="shared" ref="H78:Q78" si="122">SUM(H73:H77)</f>
        <v>14239200</v>
      </c>
      <c r="I78" s="401">
        <f t="shared" si="122"/>
        <v>14239200</v>
      </c>
      <c r="J78" s="401">
        <f t="shared" si="122"/>
        <v>0</v>
      </c>
      <c r="K78" s="401">
        <f t="shared" si="122"/>
        <v>0</v>
      </c>
      <c r="L78" s="401">
        <f t="shared" si="122"/>
        <v>0</v>
      </c>
      <c r="M78" s="401">
        <f t="shared" si="122"/>
        <v>0</v>
      </c>
      <c r="N78" s="401">
        <f t="shared" si="122"/>
        <v>0</v>
      </c>
      <c r="O78" s="401">
        <f t="shared" si="122"/>
        <v>0</v>
      </c>
      <c r="P78" s="401">
        <f t="shared" si="122"/>
        <v>0</v>
      </c>
      <c r="Q78" s="401">
        <f t="shared" si="122"/>
        <v>0</v>
      </c>
      <c r="R78" s="248">
        <f t="shared" ref="R78:R105" si="123">F78*0.25</f>
        <v>255</v>
      </c>
      <c r="S78" s="248">
        <f t="shared" ref="S78:S105" si="124">F78*0.25</f>
        <v>255</v>
      </c>
      <c r="T78" s="248">
        <f t="shared" ref="T78:T105" si="125">F78*0.25</f>
        <v>255</v>
      </c>
      <c r="U78" s="248">
        <f t="shared" ref="U78:U105" si="126">F78*0.25</f>
        <v>255</v>
      </c>
      <c r="V78" s="248">
        <f>G78*0.25</f>
        <v>7119600</v>
      </c>
      <c r="W78" s="248">
        <f>G78*0.25</f>
        <v>7119600</v>
      </c>
      <c r="X78" s="248">
        <f>G78*0.25</f>
        <v>7119600</v>
      </c>
      <c r="Y78" s="248">
        <f>G78*0.25</f>
        <v>7119600</v>
      </c>
      <c r="Z78" s="402">
        <f t="shared" ref="Z78:BK78" si="127">SUM(Z73:Z77)</f>
        <v>36</v>
      </c>
      <c r="AA78" s="402">
        <f t="shared" si="127"/>
        <v>1231200</v>
      </c>
      <c r="AB78" s="402">
        <f t="shared" si="127"/>
        <v>36</v>
      </c>
      <c r="AC78" s="402">
        <f t="shared" si="127"/>
        <v>1231200</v>
      </c>
      <c r="AD78" s="402">
        <f t="shared" si="127"/>
        <v>36</v>
      </c>
      <c r="AE78" s="402">
        <f t="shared" si="127"/>
        <v>1231200</v>
      </c>
      <c r="AF78" s="402">
        <f t="shared" si="127"/>
        <v>36</v>
      </c>
      <c r="AG78" s="402">
        <f t="shared" si="127"/>
        <v>1231200</v>
      </c>
      <c r="AH78" s="402">
        <f t="shared" si="127"/>
        <v>36</v>
      </c>
      <c r="AI78" s="402">
        <f t="shared" si="127"/>
        <v>1231200</v>
      </c>
      <c r="AJ78" s="402">
        <f t="shared" si="127"/>
        <v>36</v>
      </c>
      <c r="AK78" s="402">
        <f t="shared" si="127"/>
        <v>1231200</v>
      </c>
      <c r="AL78" s="402">
        <f t="shared" si="127"/>
        <v>36</v>
      </c>
      <c r="AM78" s="402">
        <f t="shared" si="127"/>
        <v>1231200</v>
      </c>
      <c r="AN78" s="402">
        <f t="shared" si="127"/>
        <v>36</v>
      </c>
      <c r="AO78" s="402">
        <f t="shared" si="127"/>
        <v>1231200</v>
      </c>
      <c r="AP78" s="402">
        <f t="shared" si="127"/>
        <v>36</v>
      </c>
      <c r="AQ78" s="402">
        <f t="shared" si="127"/>
        <v>1231200</v>
      </c>
      <c r="AR78" s="402">
        <f t="shared" si="127"/>
        <v>36</v>
      </c>
      <c r="AS78" s="402">
        <f t="shared" si="127"/>
        <v>1231200</v>
      </c>
      <c r="AT78" s="402">
        <f t="shared" si="127"/>
        <v>36</v>
      </c>
      <c r="AU78" s="402">
        <f t="shared" si="127"/>
        <v>1231200</v>
      </c>
      <c r="AV78" s="402">
        <f t="shared" si="127"/>
        <v>36</v>
      </c>
      <c r="AW78" s="402">
        <f t="shared" si="127"/>
        <v>1231200</v>
      </c>
      <c r="AX78" s="402">
        <f t="shared" si="127"/>
        <v>36</v>
      </c>
      <c r="AY78" s="402">
        <f t="shared" si="127"/>
        <v>1231200</v>
      </c>
      <c r="AZ78" s="402">
        <f t="shared" si="127"/>
        <v>36</v>
      </c>
      <c r="BA78" s="402">
        <f t="shared" si="127"/>
        <v>1231200</v>
      </c>
      <c r="BB78" s="402">
        <f t="shared" si="127"/>
        <v>36</v>
      </c>
      <c r="BC78" s="402">
        <f t="shared" si="127"/>
        <v>1231200</v>
      </c>
      <c r="BD78" s="402">
        <f t="shared" si="127"/>
        <v>36</v>
      </c>
      <c r="BE78" s="402">
        <f t="shared" si="127"/>
        <v>1231200</v>
      </c>
      <c r="BF78" s="402">
        <f t="shared" si="127"/>
        <v>36</v>
      </c>
      <c r="BG78" s="402">
        <f t="shared" si="127"/>
        <v>1231200</v>
      </c>
      <c r="BH78" s="402">
        <f t="shared" si="127"/>
        <v>408</v>
      </c>
      <c r="BI78" s="402">
        <f t="shared" si="127"/>
        <v>7548000</v>
      </c>
      <c r="BJ78" s="392">
        <f t="shared" si="127"/>
        <v>1020</v>
      </c>
      <c r="BK78" s="403">
        <f t="shared" si="127"/>
        <v>28478400</v>
      </c>
      <c r="BL78" s="47"/>
      <c r="BN78" s="394">
        <f t="shared" ref="BN78:BU78" si="128">SUM(BN73:BN77)</f>
        <v>0</v>
      </c>
      <c r="BO78" s="394">
        <f t="shared" si="128"/>
        <v>0</v>
      </c>
      <c r="BP78" s="394">
        <f t="shared" si="128"/>
        <v>0</v>
      </c>
      <c r="BQ78" s="394">
        <f t="shared" si="128"/>
        <v>0</v>
      </c>
      <c r="BR78" s="394">
        <f t="shared" si="128"/>
        <v>0</v>
      </c>
      <c r="BS78" s="394">
        <f t="shared" si="128"/>
        <v>28478400</v>
      </c>
      <c r="BT78" s="394">
        <f t="shared" si="128"/>
        <v>0</v>
      </c>
      <c r="BU78" s="394">
        <f t="shared" si="128"/>
        <v>28478400</v>
      </c>
      <c r="BV78" s="395">
        <f t="shared" si="121"/>
        <v>28478400</v>
      </c>
    </row>
    <row r="79" spans="1:74" ht="31.5" x14ac:dyDescent="0.25">
      <c r="A79" s="989"/>
      <c r="B79" s="38">
        <v>41420</v>
      </c>
      <c r="C79" s="391" t="s">
        <v>312</v>
      </c>
      <c r="D79" s="38"/>
      <c r="E79" s="375"/>
      <c r="F79" s="38"/>
      <c r="G79" s="85"/>
      <c r="H79" s="85"/>
      <c r="I79" s="85"/>
      <c r="J79" s="85"/>
      <c r="K79" s="85"/>
      <c r="L79" s="85"/>
      <c r="M79" s="85"/>
      <c r="N79" s="85"/>
      <c r="O79" s="47"/>
      <c r="P79" s="47"/>
      <c r="Q79" s="47"/>
      <c r="R79" s="47">
        <f t="shared" si="123"/>
        <v>0</v>
      </c>
      <c r="S79" s="47">
        <f t="shared" si="124"/>
        <v>0</v>
      </c>
      <c r="T79" s="47">
        <f t="shared" si="125"/>
        <v>0</v>
      </c>
      <c r="U79" s="47">
        <f t="shared" si="126"/>
        <v>0</v>
      </c>
      <c r="V79" s="376">
        <f>R79*E79</f>
        <v>0</v>
      </c>
      <c r="W79" s="376">
        <f>S79*E79</f>
        <v>0</v>
      </c>
      <c r="X79" s="376">
        <f>T79*E79</f>
        <v>0</v>
      </c>
      <c r="Y79" s="376">
        <f>U79*E79</f>
        <v>0</v>
      </c>
      <c r="Z79" s="47"/>
      <c r="AA79" s="181">
        <f t="shared" si="103"/>
        <v>0</v>
      </c>
      <c r="AB79" s="47"/>
      <c r="AC79" s="181">
        <f t="shared" si="104"/>
        <v>0</v>
      </c>
      <c r="AD79" s="47"/>
      <c r="AE79" s="181">
        <f t="shared" si="105"/>
        <v>0</v>
      </c>
      <c r="AF79" s="47"/>
      <c r="AG79" s="181">
        <f t="shared" si="106"/>
        <v>0</v>
      </c>
      <c r="AH79" s="47"/>
      <c r="AI79" s="181">
        <f t="shared" si="107"/>
        <v>0</v>
      </c>
      <c r="AJ79" s="47"/>
      <c r="AK79" s="181">
        <f t="shared" si="108"/>
        <v>0</v>
      </c>
      <c r="AL79" s="47"/>
      <c r="AM79" s="181">
        <f t="shared" si="109"/>
        <v>0</v>
      </c>
      <c r="AN79" s="47"/>
      <c r="AO79" s="181">
        <f t="shared" si="110"/>
        <v>0</v>
      </c>
      <c r="AP79" s="47"/>
      <c r="AQ79" s="181">
        <f t="shared" si="111"/>
        <v>0</v>
      </c>
      <c r="AR79" s="47"/>
      <c r="AS79" s="181">
        <f t="shared" si="112"/>
        <v>0</v>
      </c>
      <c r="AT79" s="47"/>
      <c r="AU79" s="181">
        <f t="shared" si="113"/>
        <v>0</v>
      </c>
      <c r="AV79" s="47"/>
      <c r="AW79" s="181">
        <f t="shared" si="114"/>
        <v>0</v>
      </c>
      <c r="AX79" s="47"/>
      <c r="AY79" s="181">
        <f t="shared" si="115"/>
        <v>0</v>
      </c>
      <c r="AZ79" s="47"/>
      <c r="BA79" s="181">
        <f t="shared" si="116"/>
        <v>0</v>
      </c>
      <c r="BB79" s="47"/>
      <c r="BC79" s="181">
        <f t="shared" si="117"/>
        <v>0</v>
      </c>
      <c r="BD79" s="47"/>
      <c r="BE79" s="181">
        <f t="shared" si="118"/>
        <v>0</v>
      </c>
      <c r="BF79" s="47"/>
      <c r="BG79" s="181">
        <f t="shared" si="119"/>
        <v>0</v>
      </c>
      <c r="BH79" s="47"/>
      <c r="BI79" s="181">
        <f t="shared" si="120"/>
        <v>0</v>
      </c>
      <c r="BJ79" s="47"/>
      <c r="BK79" s="124"/>
      <c r="BL79" s="47"/>
      <c r="BN79" s="113"/>
      <c r="BO79" s="113"/>
      <c r="BP79" s="113"/>
      <c r="BQ79" s="113"/>
      <c r="BR79" s="113"/>
      <c r="BS79" s="113"/>
      <c r="BT79" s="113"/>
      <c r="BU79" s="125"/>
      <c r="BV79" s="181">
        <f t="shared" si="121"/>
        <v>0</v>
      </c>
    </row>
    <row r="80" spans="1:74" s="165" customFormat="1" ht="31.5" x14ac:dyDescent="0.25">
      <c r="A80" s="989"/>
      <c r="B80" s="171"/>
      <c r="C80" s="171" t="s">
        <v>313</v>
      </c>
      <c r="D80" s="171" t="s">
        <v>73</v>
      </c>
      <c r="E80" s="180">
        <v>25000</v>
      </c>
      <c r="F80" s="47">
        <f t="shared" ref="F80:F86" si="129">BJ80</f>
        <v>204</v>
      </c>
      <c r="G80" s="134">
        <f t="shared" ref="G80:G86" si="130">E80*F80</f>
        <v>5100000</v>
      </c>
      <c r="H80" s="134">
        <f>G80*0.5</f>
        <v>2550000</v>
      </c>
      <c r="I80" s="134">
        <f>G80*0.5</f>
        <v>2550000</v>
      </c>
      <c r="J80" s="134">
        <f>G80*0</f>
        <v>0</v>
      </c>
      <c r="K80" s="134">
        <f>G80*0</f>
        <v>0</v>
      </c>
      <c r="L80" s="134">
        <f>G80*0</f>
        <v>0</v>
      </c>
      <c r="M80" s="134">
        <f>G80*0</f>
        <v>0</v>
      </c>
      <c r="N80" s="134">
        <f>G80*0</f>
        <v>0</v>
      </c>
      <c r="O80" s="134">
        <f>G80*0</f>
        <v>0</v>
      </c>
      <c r="P80" s="134">
        <f>G80*0</f>
        <v>0</v>
      </c>
      <c r="Q80" s="134">
        <f>G80*0</f>
        <v>0</v>
      </c>
      <c r="R80" s="136">
        <f t="shared" si="123"/>
        <v>51</v>
      </c>
      <c r="S80" s="136">
        <f t="shared" si="124"/>
        <v>51</v>
      </c>
      <c r="T80" s="136">
        <f t="shared" si="125"/>
        <v>51</v>
      </c>
      <c r="U80" s="136">
        <f t="shared" si="126"/>
        <v>51</v>
      </c>
      <c r="V80" s="376">
        <f t="shared" ref="V80:V86" si="131">R80*E80</f>
        <v>1275000</v>
      </c>
      <c r="W80" s="376">
        <f t="shared" ref="W80:W86" si="132">S80*E80</f>
        <v>1275000</v>
      </c>
      <c r="X80" s="376">
        <f t="shared" ref="X80:X86" si="133">T80*E80</f>
        <v>1275000</v>
      </c>
      <c r="Y80" s="376">
        <f t="shared" ref="Y80:Y86" si="134">U80*E80</f>
        <v>1275000</v>
      </c>
      <c r="Z80" s="136">
        <v>12</v>
      </c>
      <c r="AA80" s="181">
        <f t="shared" si="103"/>
        <v>300000</v>
      </c>
      <c r="AB80" s="136">
        <v>12</v>
      </c>
      <c r="AC80" s="181">
        <f t="shared" si="104"/>
        <v>300000</v>
      </c>
      <c r="AD80" s="136">
        <v>12</v>
      </c>
      <c r="AE80" s="181">
        <f t="shared" si="105"/>
        <v>300000</v>
      </c>
      <c r="AF80" s="136">
        <v>12</v>
      </c>
      <c r="AG80" s="181">
        <f t="shared" si="106"/>
        <v>300000</v>
      </c>
      <c r="AH80" s="136">
        <v>12</v>
      </c>
      <c r="AI80" s="181">
        <f t="shared" si="107"/>
        <v>300000</v>
      </c>
      <c r="AJ80" s="136">
        <v>12</v>
      </c>
      <c r="AK80" s="181">
        <f t="shared" si="108"/>
        <v>300000</v>
      </c>
      <c r="AL80" s="136">
        <v>12</v>
      </c>
      <c r="AM80" s="181">
        <f t="shared" si="109"/>
        <v>300000</v>
      </c>
      <c r="AN80" s="136">
        <v>12</v>
      </c>
      <c r="AO80" s="181">
        <f t="shared" si="110"/>
        <v>300000</v>
      </c>
      <c r="AP80" s="136">
        <v>12</v>
      </c>
      <c r="AQ80" s="181">
        <f t="shared" si="111"/>
        <v>300000</v>
      </c>
      <c r="AR80" s="136">
        <v>12</v>
      </c>
      <c r="AS80" s="181">
        <f t="shared" si="112"/>
        <v>300000</v>
      </c>
      <c r="AT80" s="136">
        <v>12</v>
      </c>
      <c r="AU80" s="181">
        <f t="shared" si="113"/>
        <v>300000</v>
      </c>
      <c r="AV80" s="136">
        <v>12</v>
      </c>
      <c r="AW80" s="181">
        <f t="shared" si="114"/>
        <v>300000</v>
      </c>
      <c r="AX80" s="136">
        <v>12</v>
      </c>
      <c r="AY80" s="181">
        <f t="shared" si="115"/>
        <v>300000</v>
      </c>
      <c r="AZ80" s="136">
        <v>12</v>
      </c>
      <c r="BA80" s="181">
        <f t="shared" si="116"/>
        <v>300000</v>
      </c>
      <c r="BB80" s="136">
        <v>12</v>
      </c>
      <c r="BC80" s="181">
        <f t="shared" si="117"/>
        <v>300000</v>
      </c>
      <c r="BD80" s="136">
        <v>12</v>
      </c>
      <c r="BE80" s="181">
        <f t="shared" si="118"/>
        <v>300000</v>
      </c>
      <c r="BF80" s="136">
        <v>12</v>
      </c>
      <c r="BG80" s="181">
        <f t="shared" si="119"/>
        <v>300000</v>
      </c>
      <c r="BH80" s="136">
        <v>0</v>
      </c>
      <c r="BI80" s="181">
        <f t="shared" si="120"/>
        <v>0</v>
      </c>
      <c r="BJ80" s="136">
        <f t="shared" ref="BJ80:BK86" si="135">Z80+AB80+AD80+AF80+AH80+AJ80+AL80+AN80+AP80+AR80+AT80+AV80+AX80+AZ80+BB80+BD80+BF80+BH80</f>
        <v>204</v>
      </c>
      <c r="BK80" s="331">
        <f t="shared" si="135"/>
        <v>5100000</v>
      </c>
      <c r="BL80" s="307" t="s">
        <v>472</v>
      </c>
      <c r="BN80" s="178"/>
      <c r="BO80" s="178"/>
      <c r="BP80" s="178"/>
      <c r="BQ80" s="178"/>
      <c r="BR80" s="178">
        <f>BN80+BO80+BP80+BQ80</f>
        <v>0</v>
      </c>
      <c r="BS80" s="178">
        <f t="shared" ref="BS80:BS86" si="136">G80</f>
        <v>5100000</v>
      </c>
      <c r="BT80" s="178"/>
      <c r="BU80" s="166">
        <f>BS80+BT80</f>
        <v>5100000</v>
      </c>
      <c r="BV80" s="191">
        <f t="shared" si="121"/>
        <v>5100000</v>
      </c>
    </row>
    <row r="81" spans="1:74" ht="31.5" x14ac:dyDescent="0.25">
      <c r="A81" s="989"/>
      <c r="B81" s="38"/>
      <c r="C81" s="38" t="s">
        <v>314</v>
      </c>
      <c r="D81" s="38" t="s">
        <v>73</v>
      </c>
      <c r="E81" s="375">
        <f>0*100000</f>
        <v>0</v>
      </c>
      <c r="F81" s="47">
        <f t="shared" si="129"/>
        <v>0</v>
      </c>
      <c r="G81" s="85">
        <f t="shared" si="130"/>
        <v>0</v>
      </c>
      <c r="H81" s="85">
        <f t="shared" ref="H81:H86" si="137">G81*0.5</f>
        <v>0</v>
      </c>
      <c r="I81" s="85">
        <f t="shared" ref="I81:I86" si="138">G81*0.5</f>
        <v>0</v>
      </c>
      <c r="J81" s="85">
        <f t="shared" ref="J81:J86" si="139">G81*0</f>
        <v>0</v>
      </c>
      <c r="K81" s="85">
        <f t="shared" ref="K81:K86" si="140">G81*0</f>
        <v>0</v>
      </c>
      <c r="L81" s="85">
        <f t="shared" ref="L81:L86" si="141">G81*0</f>
        <v>0</v>
      </c>
      <c r="M81" s="85">
        <f t="shared" ref="M81:M86" si="142">G81*0</f>
        <v>0</v>
      </c>
      <c r="N81" s="85">
        <f t="shared" ref="N81:N86" si="143">G81*0</f>
        <v>0</v>
      </c>
      <c r="O81" s="85">
        <f t="shared" ref="O81:O86" si="144">G81*0</f>
        <v>0</v>
      </c>
      <c r="P81" s="85">
        <f t="shared" ref="P81:P86" si="145">G81*0</f>
        <v>0</v>
      </c>
      <c r="Q81" s="85">
        <f t="shared" ref="Q81:Q86" si="146">G81*0</f>
        <v>0</v>
      </c>
      <c r="R81" s="47">
        <f t="shared" si="123"/>
        <v>0</v>
      </c>
      <c r="S81" s="47">
        <f t="shared" si="124"/>
        <v>0</v>
      </c>
      <c r="T81" s="47">
        <f t="shared" si="125"/>
        <v>0</v>
      </c>
      <c r="U81" s="47">
        <f t="shared" si="126"/>
        <v>0</v>
      </c>
      <c r="V81" s="376">
        <f t="shared" si="131"/>
        <v>0</v>
      </c>
      <c r="W81" s="376">
        <f t="shared" si="132"/>
        <v>0</v>
      </c>
      <c r="X81" s="376">
        <f t="shared" si="133"/>
        <v>0</v>
      </c>
      <c r="Y81" s="376">
        <f t="shared" si="134"/>
        <v>0</v>
      </c>
      <c r="Z81" s="136">
        <v>0</v>
      </c>
      <c r="AA81" s="181">
        <f t="shared" si="103"/>
        <v>0</v>
      </c>
      <c r="AB81" s="136">
        <v>0</v>
      </c>
      <c r="AC81" s="181">
        <f t="shared" si="104"/>
        <v>0</v>
      </c>
      <c r="AD81" s="136">
        <v>0</v>
      </c>
      <c r="AE81" s="181">
        <f t="shared" si="105"/>
        <v>0</v>
      </c>
      <c r="AF81" s="136">
        <v>0</v>
      </c>
      <c r="AG81" s="181">
        <f t="shared" si="106"/>
        <v>0</v>
      </c>
      <c r="AH81" s="136">
        <v>0</v>
      </c>
      <c r="AI81" s="181">
        <f t="shared" si="107"/>
        <v>0</v>
      </c>
      <c r="AJ81" s="136">
        <v>0</v>
      </c>
      <c r="AK81" s="181">
        <f t="shared" si="108"/>
        <v>0</v>
      </c>
      <c r="AL81" s="136">
        <v>0</v>
      </c>
      <c r="AM81" s="181">
        <f t="shared" si="109"/>
        <v>0</v>
      </c>
      <c r="AN81" s="136">
        <v>0</v>
      </c>
      <c r="AO81" s="181">
        <f t="shared" si="110"/>
        <v>0</v>
      </c>
      <c r="AP81" s="136">
        <v>0</v>
      </c>
      <c r="AQ81" s="181">
        <f t="shared" si="111"/>
        <v>0</v>
      </c>
      <c r="AR81" s="136">
        <v>0</v>
      </c>
      <c r="AS81" s="181">
        <f t="shared" si="112"/>
        <v>0</v>
      </c>
      <c r="AT81" s="136">
        <v>0</v>
      </c>
      <c r="AU81" s="181">
        <f t="shared" si="113"/>
        <v>0</v>
      </c>
      <c r="AV81" s="136">
        <v>0</v>
      </c>
      <c r="AW81" s="181">
        <f t="shared" si="114"/>
        <v>0</v>
      </c>
      <c r="AX81" s="136">
        <v>0</v>
      </c>
      <c r="AY81" s="181">
        <f t="shared" si="115"/>
        <v>0</v>
      </c>
      <c r="AZ81" s="136">
        <v>0</v>
      </c>
      <c r="BA81" s="181">
        <f t="shared" si="116"/>
        <v>0</v>
      </c>
      <c r="BB81" s="136">
        <v>0</v>
      </c>
      <c r="BC81" s="181">
        <f t="shared" si="117"/>
        <v>0</v>
      </c>
      <c r="BD81" s="136">
        <v>0</v>
      </c>
      <c r="BE81" s="181">
        <f t="shared" si="118"/>
        <v>0</v>
      </c>
      <c r="BF81" s="136">
        <v>0</v>
      </c>
      <c r="BG81" s="181">
        <f t="shared" si="119"/>
        <v>0</v>
      </c>
      <c r="BH81" s="136">
        <v>0</v>
      </c>
      <c r="BI81" s="181">
        <f t="shared" si="120"/>
        <v>0</v>
      </c>
      <c r="BJ81" s="47">
        <f t="shared" si="135"/>
        <v>0</v>
      </c>
      <c r="BK81" s="117">
        <f t="shared" si="135"/>
        <v>0</v>
      </c>
      <c r="BL81" s="302" t="s">
        <v>472</v>
      </c>
      <c r="BN81" s="113"/>
      <c r="BO81" s="113"/>
      <c r="BP81" s="113"/>
      <c r="BQ81" s="113"/>
      <c r="BR81" s="113">
        <f t="shared" ref="BR81:BR86" si="147">BN81+BO81+BP81+BQ81</f>
        <v>0</v>
      </c>
      <c r="BS81" s="113">
        <f t="shared" si="136"/>
        <v>0</v>
      </c>
      <c r="BT81" s="113"/>
      <c r="BU81" s="125">
        <f t="shared" ref="BU81:BU86" si="148">BS81+BT81</f>
        <v>0</v>
      </c>
      <c r="BV81" s="181">
        <f t="shared" si="121"/>
        <v>0</v>
      </c>
    </row>
    <row r="82" spans="1:74" s="165" customFormat="1" ht="47.25" x14ac:dyDescent="0.25">
      <c r="A82" s="989"/>
      <c r="B82" s="171"/>
      <c r="C82" s="171" t="s">
        <v>364</v>
      </c>
      <c r="D82" s="171" t="s">
        <v>17</v>
      </c>
      <c r="E82" s="180">
        <v>60000</v>
      </c>
      <c r="F82" s="47">
        <f t="shared" si="129"/>
        <v>17</v>
      </c>
      <c r="G82" s="134">
        <f t="shared" si="130"/>
        <v>1020000</v>
      </c>
      <c r="H82" s="134">
        <f t="shared" si="137"/>
        <v>510000</v>
      </c>
      <c r="I82" s="134">
        <f t="shared" si="138"/>
        <v>510000</v>
      </c>
      <c r="J82" s="134">
        <f t="shared" si="139"/>
        <v>0</v>
      </c>
      <c r="K82" s="134">
        <f t="shared" si="140"/>
        <v>0</v>
      </c>
      <c r="L82" s="134">
        <f t="shared" si="141"/>
        <v>0</v>
      </c>
      <c r="M82" s="134">
        <f t="shared" si="142"/>
        <v>0</v>
      </c>
      <c r="N82" s="134">
        <f t="shared" si="143"/>
        <v>0</v>
      </c>
      <c r="O82" s="134">
        <f t="shared" si="144"/>
        <v>0</v>
      </c>
      <c r="P82" s="134">
        <f t="shared" si="145"/>
        <v>0</v>
      </c>
      <c r="Q82" s="134">
        <f t="shared" si="146"/>
        <v>0</v>
      </c>
      <c r="R82" s="136">
        <f t="shared" si="123"/>
        <v>4.25</v>
      </c>
      <c r="S82" s="136">
        <f t="shared" si="124"/>
        <v>4.25</v>
      </c>
      <c r="T82" s="136">
        <f t="shared" si="125"/>
        <v>4.25</v>
      </c>
      <c r="U82" s="136">
        <f t="shared" si="126"/>
        <v>4.25</v>
      </c>
      <c r="V82" s="376">
        <f t="shared" si="131"/>
        <v>255000</v>
      </c>
      <c r="W82" s="376">
        <f t="shared" si="132"/>
        <v>255000</v>
      </c>
      <c r="X82" s="376">
        <f t="shared" si="133"/>
        <v>255000</v>
      </c>
      <c r="Y82" s="376">
        <f t="shared" si="134"/>
        <v>255000</v>
      </c>
      <c r="Z82" s="136">
        <v>1</v>
      </c>
      <c r="AA82" s="181">
        <f t="shared" si="103"/>
        <v>60000</v>
      </c>
      <c r="AB82" s="136">
        <v>1</v>
      </c>
      <c r="AC82" s="181">
        <f t="shared" si="104"/>
        <v>60000</v>
      </c>
      <c r="AD82" s="136">
        <v>1</v>
      </c>
      <c r="AE82" s="181">
        <f t="shared" si="105"/>
        <v>60000</v>
      </c>
      <c r="AF82" s="136">
        <v>1</v>
      </c>
      <c r="AG82" s="181">
        <f t="shared" si="106"/>
        <v>60000</v>
      </c>
      <c r="AH82" s="136">
        <v>1</v>
      </c>
      <c r="AI82" s="181">
        <f t="shared" si="107"/>
        <v>60000</v>
      </c>
      <c r="AJ82" s="136">
        <v>1</v>
      </c>
      <c r="AK82" s="181">
        <f t="shared" si="108"/>
        <v>60000</v>
      </c>
      <c r="AL82" s="136">
        <v>1</v>
      </c>
      <c r="AM82" s="181">
        <f t="shared" si="109"/>
        <v>60000</v>
      </c>
      <c r="AN82" s="136">
        <v>1</v>
      </c>
      <c r="AO82" s="181">
        <f t="shared" si="110"/>
        <v>60000</v>
      </c>
      <c r="AP82" s="136">
        <v>1</v>
      </c>
      <c r="AQ82" s="181">
        <f t="shared" si="111"/>
        <v>60000</v>
      </c>
      <c r="AR82" s="136">
        <v>1</v>
      </c>
      <c r="AS82" s="181">
        <f t="shared" si="112"/>
        <v>60000</v>
      </c>
      <c r="AT82" s="136">
        <v>1</v>
      </c>
      <c r="AU82" s="181">
        <f t="shared" si="113"/>
        <v>60000</v>
      </c>
      <c r="AV82" s="136">
        <v>1</v>
      </c>
      <c r="AW82" s="181">
        <f t="shared" si="114"/>
        <v>60000</v>
      </c>
      <c r="AX82" s="136">
        <v>1</v>
      </c>
      <c r="AY82" s="181">
        <f t="shared" si="115"/>
        <v>60000</v>
      </c>
      <c r="AZ82" s="136">
        <v>1</v>
      </c>
      <c r="BA82" s="181">
        <f t="shared" si="116"/>
        <v>60000</v>
      </c>
      <c r="BB82" s="136">
        <v>1</v>
      </c>
      <c r="BC82" s="181">
        <f t="shared" si="117"/>
        <v>60000</v>
      </c>
      <c r="BD82" s="136">
        <v>1</v>
      </c>
      <c r="BE82" s="181">
        <f t="shared" si="118"/>
        <v>60000</v>
      </c>
      <c r="BF82" s="136">
        <v>1</v>
      </c>
      <c r="BG82" s="181">
        <f t="shared" si="119"/>
        <v>60000</v>
      </c>
      <c r="BH82" s="136">
        <v>0</v>
      </c>
      <c r="BI82" s="181">
        <f t="shared" si="120"/>
        <v>0</v>
      </c>
      <c r="BJ82" s="136">
        <f t="shared" si="135"/>
        <v>17</v>
      </c>
      <c r="BK82" s="331">
        <f t="shared" si="135"/>
        <v>1020000</v>
      </c>
      <c r="BL82" s="307" t="s">
        <v>472</v>
      </c>
      <c r="BN82" s="178"/>
      <c r="BO82" s="178"/>
      <c r="BP82" s="178"/>
      <c r="BQ82" s="178"/>
      <c r="BR82" s="178">
        <f t="shared" si="147"/>
        <v>0</v>
      </c>
      <c r="BS82" s="178">
        <f t="shared" si="136"/>
        <v>1020000</v>
      </c>
      <c r="BT82" s="178"/>
      <c r="BU82" s="166">
        <f t="shared" si="148"/>
        <v>1020000</v>
      </c>
      <c r="BV82" s="191">
        <f t="shared" si="121"/>
        <v>1020000</v>
      </c>
    </row>
    <row r="83" spans="1:74" ht="31.5" x14ac:dyDescent="0.25">
      <c r="A83" s="989"/>
      <c r="B83" s="38"/>
      <c r="C83" s="38" t="s">
        <v>315</v>
      </c>
      <c r="D83" s="38" t="s">
        <v>73</v>
      </c>
      <c r="E83" s="375">
        <f>0.0475*100000</f>
        <v>4750</v>
      </c>
      <c r="F83" s="47">
        <f t="shared" si="129"/>
        <v>204</v>
      </c>
      <c r="G83" s="85">
        <f t="shared" si="130"/>
        <v>969000</v>
      </c>
      <c r="H83" s="85">
        <f t="shared" si="137"/>
        <v>484500</v>
      </c>
      <c r="I83" s="85">
        <f t="shared" si="138"/>
        <v>484500</v>
      </c>
      <c r="J83" s="85">
        <f t="shared" si="139"/>
        <v>0</v>
      </c>
      <c r="K83" s="85">
        <f t="shared" si="140"/>
        <v>0</v>
      </c>
      <c r="L83" s="85">
        <f t="shared" si="141"/>
        <v>0</v>
      </c>
      <c r="M83" s="85">
        <f t="shared" si="142"/>
        <v>0</v>
      </c>
      <c r="N83" s="85">
        <f t="shared" si="143"/>
        <v>0</v>
      </c>
      <c r="O83" s="85">
        <f t="shared" si="144"/>
        <v>0</v>
      </c>
      <c r="P83" s="85">
        <f t="shared" si="145"/>
        <v>0</v>
      </c>
      <c r="Q83" s="85">
        <f t="shared" si="146"/>
        <v>0</v>
      </c>
      <c r="R83" s="47">
        <f t="shared" si="123"/>
        <v>51</v>
      </c>
      <c r="S83" s="47">
        <f t="shared" si="124"/>
        <v>51</v>
      </c>
      <c r="T83" s="47">
        <f t="shared" si="125"/>
        <v>51</v>
      </c>
      <c r="U83" s="47">
        <f t="shared" si="126"/>
        <v>51</v>
      </c>
      <c r="V83" s="376">
        <f t="shared" si="131"/>
        <v>242250</v>
      </c>
      <c r="W83" s="376">
        <f t="shared" si="132"/>
        <v>242250</v>
      </c>
      <c r="X83" s="376">
        <f t="shared" si="133"/>
        <v>242250</v>
      </c>
      <c r="Y83" s="376">
        <f t="shared" si="134"/>
        <v>242250</v>
      </c>
      <c r="Z83" s="47">
        <v>12</v>
      </c>
      <c r="AA83" s="181">
        <f t="shared" si="103"/>
        <v>57000</v>
      </c>
      <c r="AB83" s="47">
        <v>12</v>
      </c>
      <c r="AC83" s="181">
        <f t="shared" si="104"/>
        <v>57000</v>
      </c>
      <c r="AD83" s="47">
        <v>12</v>
      </c>
      <c r="AE83" s="181">
        <f t="shared" si="105"/>
        <v>57000</v>
      </c>
      <c r="AF83" s="47">
        <v>12</v>
      </c>
      <c r="AG83" s="181">
        <f t="shared" si="106"/>
        <v>57000</v>
      </c>
      <c r="AH83" s="47">
        <v>12</v>
      </c>
      <c r="AI83" s="181">
        <f t="shared" si="107"/>
        <v>57000</v>
      </c>
      <c r="AJ83" s="47">
        <v>12</v>
      </c>
      <c r="AK83" s="181">
        <f t="shared" si="108"/>
        <v>57000</v>
      </c>
      <c r="AL83" s="47">
        <v>12</v>
      </c>
      <c r="AM83" s="181">
        <f t="shared" si="109"/>
        <v>57000</v>
      </c>
      <c r="AN83" s="47">
        <v>12</v>
      </c>
      <c r="AO83" s="181">
        <f t="shared" si="110"/>
        <v>57000</v>
      </c>
      <c r="AP83" s="47">
        <v>12</v>
      </c>
      <c r="AQ83" s="181">
        <f t="shared" si="111"/>
        <v>57000</v>
      </c>
      <c r="AR83" s="47">
        <v>12</v>
      </c>
      <c r="AS83" s="181">
        <f t="shared" si="112"/>
        <v>57000</v>
      </c>
      <c r="AT83" s="47">
        <v>12</v>
      </c>
      <c r="AU83" s="181">
        <f t="shared" si="113"/>
        <v>57000</v>
      </c>
      <c r="AV83" s="47">
        <v>12</v>
      </c>
      <c r="AW83" s="181">
        <f t="shared" si="114"/>
        <v>57000</v>
      </c>
      <c r="AX83" s="47">
        <v>12</v>
      </c>
      <c r="AY83" s="181">
        <f t="shared" si="115"/>
        <v>57000</v>
      </c>
      <c r="AZ83" s="47">
        <v>12</v>
      </c>
      <c r="BA83" s="181">
        <f t="shared" si="116"/>
        <v>57000</v>
      </c>
      <c r="BB83" s="47">
        <v>12</v>
      </c>
      <c r="BC83" s="181">
        <f t="shared" si="117"/>
        <v>57000</v>
      </c>
      <c r="BD83" s="47">
        <v>12</v>
      </c>
      <c r="BE83" s="181">
        <f t="shared" si="118"/>
        <v>57000</v>
      </c>
      <c r="BF83" s="47">
        <v>12</v>
      </c>
      <c r="BG83" s="181">
        <f t="shared" si="119"/>
        <v>57000</v>
      </c>
      <c r="BH83" s="47">
        <v>0</v>
      </c>
      <c r="BI83" s="181">
        <f t="shared" si="120"/>
        <v>0</v>
      </c>
      <c r="BJ83" s="47">
        <f t="shared" si="135"/>
        <v>204</v>
      </c>
      <c r="BK83" s="117">
        <f t="shared" si="135"/>
        <v>969000</v>
      </c>
      <c r="BL83" s="302" t="s">
        <v>472</v>
      </c>
      <c r="BN83" s="113"/>
      <c r="BO83" s="113"/>
      <c r="BP83" s="113"/>
      <c r="BQ83" s="113"/>
      <c r="BR83" s="113">
        <f t="shared" si="147"/>
        <v>0</v>
      </c>
      <c r="BS83" s="113">
        <f t="shared" si="136"/>
        <v>969000</v>
      </c>
      <c r="BT83" s="113"/>
      <c r="BU83" s="125">
        <f t="shared" si="148"/>
        <v>969000</v>
      </c>
      <c r="BV83" s="181">
        <f t="shared" si="121"/>
        <v>969000</v>
      </c>
    </row>
    <row r="84" spans="1:74" ht="31.5" x14ac:dyDescent="0.25">
      <c r="A84" s="989"/>
      <c r="B84" s="38"/>
      <c r="C84" s="38" t="s">
        <v>316</v>
      </c>
      <c r="D84" s="38" t="s">
        <v>73</v>
      </c>
      <c r="E84" s="375">
        <f>0.05*100000</f>
        <v>5000</v>
      </c>
      <c r="F84" s="47">
        <f t="shared" si="129"/>
        <v>204</v>
      </c>
      <c r="G84" s="85">
        <f t="shared" si="130"/>
        <v>1020000</v>
      </c>
      <c r="H84" s="85">
        <f t="shared" si="137"/>
        <v>510000</v>
      </c>
      <c r="I84" s="85">
        <f t="shared" si="138"/>
        <v>510000</v>
      </c>
      <c r="J84" s="85">
        <f t="shared" si="139"/>
        <v>0</v>
      </c>
      <c r="K84" s="85">
        <f t="shared" si="140"/>
        <v>0</v>
      </c>
      <c r="L84" s="85">
        <f t="shared" si="141"/>
        <v>0</v>
      </c>
      <c r="M84" s="85">
        <f t="shared" si="142"/>
        <v>0</v>
      </c>
      <c r="N84" s="85">
        <f t="shared" si="143"/>
        <v>0</v>
      </c>
      <c r="O84" s="85">
        <f t="shared" si="144"/>
        <v>0</v>
      </c>
      <c r="P84" s="85">
        <f t="shared" si="145"/>
        <v>0</v>
      </c>
      <c r="Q84" s="85">
        <f t="shared" si="146"/>
        <v>0</v>
      </c>
      <c r="R84" s="47">
        <f t="shared" si="123"/>
        <v>51</v>
      </c>
      <c r="S84" s="47">
        <f t="shared" si="124"/>
        <v>51</v>
      </c>
      <c r="T84" s="47">
        <f t="shared" si="125"/>
        <v>51</v>
      </c>
      <c r="U84" s="47">
        <f t="shared" si="126"/>
        <v>51</v>
      </c>
      <c r="V84" s="376">
        <f t="shared" si="131"/>
        <v>255000</v>
      </c>
      <c r="W84" s="376">
        <f t="shared" si="132"/>
        <v>255000</v>
      </c>
      <c r="X84" s="376">
        <f t="shared" si="133"/>
        <v>255000</v>
      </c>
      <c r="Y84" s="376">
        <f t="shared" si="134"/>
        <v>255000</v>
      </c>
      <c r="Z84" s="47">
        <v>12</v>
      </c>
      <c r="AA84" s="181">
        <f t="shared" si="103"/>
        <v>60000</v>
      </c>
      <c r="AB84" s="47">
        <v>12</v>
      </c>
      <c r="AC84" s="181">
        <f t="shared" si="104"/>
        <v>60000</v>
      </c>
      <c r="AD84" s="47">
        <v>12</v>
      </c>
      <c r="AE84" s="181">
        <f t="shared" si="105"/>
        <v>60000</v>
      </c>
      <c r="AF84" s="47">
        <v>12</v>
      </c>
      <c r="AG84" s="181">
        <f t="shared" si="106"/>
        <v>60000</v>
      </c>
      <c r="AH84" s="47">
        <v>12</v>
      </c>
      <c r="AI84" s="181">
        <f t="shared" si="107"/>
        <v>60000</v>
      </c>
      <c r="AJ84" s="47">
        <v>12</v>
      </c>
      <c r="AK84" s="181">
        <f t="shared" si="108"/>
        <v>60000</v>
      </c>
      <c r="AL84" s="47">
        <v>12</v>
      </c>
      <c r="AM84" s="181">
        <f t="shared" si="109"/>
        <v>60000</v>
      </c>
      <c r="AN84" s="47">
        <v>12</v>
      </c>
      <c r="AO84" s="181">
        <f t="shared" si="110"/>
        <v>60000</v>
      </c>
      <c r="AP84" s="47">
        <v>12</v>
      </c>
      <c r="AQ84" s="181">
        <f t="shared" si="111"/>
        <v>60000</v>
      </c>
      <c r="AR84" s="47">
        <v>12</v>
      </c>
      <c r="AS84" s="181">
        <f t="shared" si="112"/>
        <v>60000</v>
      </c>
      <c r="AT84" s="47">
        <v>12</v>
      </c>
      <c r="AU84" s="181">
        <f t="shared" si="113"/>
        <v>60000</v>
      </c>
      <c r="AV84" s="47">
        <v>12</v>
      </c>
      <c r="AW84" s="181">
        <f t="shared" si="114"/>
        <v>60000</v>
      </c>
      <c r="AX84" s="47">
        <v>12</v>
      </c>
      <c r="AY84" s="181">
        <f t="shared" si="115"/>
        <v>60000</v>
      </c>
      <c r="AZ84" s="47">
        <v>12</v>
      </c>
      <c r="BA84" s="181">
        <f t="shared" si="116"/>
        <v>60000</v>
      </c>
      <c r="BB84" s="47">
        <v>12</v>
      </c>
      <c r="BC84" s="181">
        <f t="shared" si="117"/>
        <v>60000</v>
      </c>
      <c r="BD84" s="47">
        <v>12</v>
      </c>
      <c r="BE84" s="181">
        <f t="shared" si="118"/>
        <v>60000</v>
      </c>
      <c r="BF84" s="47">
        <v>12</v>
      </c>
      <c r="BG84" s="181">
        <f t="shared" si="119"/>
        <v>60000</v>
      </c>
      <c r="BH84" s="47">
        <v>0</v>
      </c>
      <c r="BI84" s="181">
        <f t="shared" si="120"/>
        <v>0</v>
      </c>
      <c r="BJ84" s="47">
        <f t="shared" si="135"/>
        <v>204</v>
      </c>
      <c r="BK84" s="117">
        <f t="shared" si="135"/>
        <v>1020000</v>
      </c>
      <c r="BL84" s="302" t="s">
        <v>472</v>
      </c>
      <c r="BN84" s="113"/>
      <c r="BO84" s="113"/>
      <c r="BP84" s="113"/>
      <c r="BQ84" s="113"/>
      <c r="BR84" s="113">
        <f t="shared" si="147"/>
        <v>0</v>
      </c>
      <c r="BS84" s="113">
        <f t="shared" si="136"/>
        <v>1020000</v>
      </c>
      <c r="BT84" s="113"/>
      <c r="BU84" s="125">
        <f t="shared" si="148"/>
        <v>1020000</v>
      </c>
      <c r="BV84" s="181">
        <f t="shared" si="121"/>
        <v>1020000</v>
      </c>
    </row>
    <row r="85" spans="1:74" ht="31.5" x14ac:dyDescent="0.25">
      <c r="A85" s="989"/>
      <c r="B85" s="38"/>
      <c r="C85" s="38" t="s">
        <v>317</v>
      </c>
      <c r="D85" s="38" t="s">
        <v>73</v>
      </c>
      <c r="E85" s="375">
        <f>0.0375*100000</f>
        <v>3750</v>
      </c>
      <c r="F85" s="47">
        <f t="shared" si="129"/>
        <v>204</v>
      </c>
      <c r="G85" s="85">
        <f t="shared" si="130"/>
        <v>765000</v>
      </c>
      <c r="H85" s="85">
        <f t="shared" si="137"/>
        <v>382500</v>
      </c>
      <c r="I85" s="85">
        <f t="shared" si="138"/>
        <v>382500</v>
      </c>
      <c r="J85" s="85">
        <f t="shared" si="139"/>
        <v>0</v>
      </c>
      <c r="K85" s="85">
        <f t="shared" si="140"/>
        <v>0</v>
      </c>
      <c r="L85" s="85">
        <f t="shared" si="141"/>
        <v>0</v>
      </c>
      <c r="M85" s="85">
        <f t="shared" si="142"/>
        <v>0</v>
      </c>
      <c r="N85" s="85">
        <f t="shared" si="143"/>
        <v>0</v>
      </c>
      <c r="O85" s="85">
        <f t="shared" si="144"/>
        <v>0</v>
      </c>
      <c r="P85" s="85">
        <f t="shared" si="145"/>
        <v>0</v>
      </c>
      <c r="Q85" s="85">
        <f t="shared" si="146"/>
        <v>0</v>
      </c>
      <c r="R85" s="47">
        <f t="shared" si="123"/>
        <v>51</v>
      </c>
      <c r="S85" s="47">
        <f t="shared" si="124"/>
        <v>51</v>
      </c>
      <c r="T85" s="47">
        <f t="shared" si="125"/>
        <v>51</v>
      </c>
      <c r="U85" s="47">
        <f t="shared" si="126"/>
        <v>51</v>
      </c>
      <c r="V85" s="376">
        <f t="shared" si="131"/>
        <v>191250</v>
      </c>
      <c r="W85" s="376">
        <f t="shared" si="132"/>
        <v>191250</v>
      </c>
      <c r="X85" s="376">
        <f t="shared" si="133"/>
        <v>191250</v>
      </c>
      <c r="Y85" s="376">
        <f t="shared" si="134"/>
        <v>191250</v>
      </c>
      <c r="Z85" s="47">
        <v>12</v>
      </c>
      <c r="AA85" s="181">
        <f t="shared" si="103"/>
        <v>45000</v>
      </c>
      <c r="AB85" s="47">
        <v>12</v>
      </c>
      <c r="AC85" s="181">
        <f t="shared" si="104"/>
        <v>45000</v>
      </c>
      <c r="AD85" s="47">
        <v>12</v>
      </c>
      <c r="AE85" s="181">
        <f t="shared" si="105"/>
        <v>45000</v>
      </c>
      <c r="AF85" s="47">
        <v>12</v>
      </c>
      <c r="AG85" s="181">
        <f t="shared" si="106"/>
        <v>45000</v>
      </c>
      <c r="AH85" s="47">
        <v>12</v>
      </c>
      <c r="AI85" s="181">
        <f t="shared" si="107"/>
        <v>45000</v>
      </c>
      <c r="AJ85" s="47">
        <v>12</v>
      </c>
      <c r="AK85" s="181">
        <f t="shared" si="108"/>
        <v>45000</v>
      </c>
      <c r="AL85" s="47">
        <v>12</v>
      </c>
      <c r="AM85" s="181">
        <f t="shared" si="109"/>
        <v>45000</v>
      </c>
      <c r="AN85" s="47">
        <v>12</v>
      </c>
      <c r="AO85" s="181">
        <f t="shared" si="110"/>
        <v>45000</v>
      </c>
      <c r="AP85" s="47">
        <v>12</v>
      </c>
      <c r="AQ85" s="181">
        <f t="shared" si="111"/>
        <v>45000</v>
      </c>
      <c r="AR85" s="47">
        <v>12</v>
      </c>
      <c r="AS85" s="181">
        <f t="shared" si="112"/>
        <v>45000</v>
      </c>
      <c r="AT85" s="47">
        <v>12</v>
      </c>
      <c r="AU85" s="181">
        <f t="shared" si="113"/>
        <v>45000</v>
      </c>
      <c r="AV85" s="47">
        <v>12</v>
      </c>
      <c r="AW85" s="181">
        <f t="shared" si="114"/>
        <v>45000</v>
      </c>
      <c r="AX85" s="47">
        <v>12</v>
      </c>
      <c r="AY85" s="181">
        <f t="shared" si="115"/>
        <v>45000</v>
      </c>
      <c r="AZ85" s="47">
        <v>12</v>
      </c>
      <c r="BA85" s="181">
        <f t="shared" si="116"/>
        <v>45000</v>
      </c>
      <c r="BB85" s="47">
        <v>12</v>
      </c>
      <c r="BC85" s="181">
        <f t="shared" si="117"/>
        <v>45000</v>
      </c>
      <c r="BD85" s="47">
        <v>12</v>
      </c>
      <c r="BE85" s="181">
        <f t="shared" si="118"/>
        <v>45000</v>
      </c>
      <c r="BF85" s="47">
        <v>12</v>
      </c>
      <c r="BG85" s="181">
        <f t="shared" si="119"/>
        <v>45000</v>
      </c>
      <c r="BH85" s="47">
        <v>0</v>
      </c>
      <c r="BI85" s="181">
        <f t="shared" si="120"/>
        <v>0</v>
      </c>
      <c r="BJ85" s="47">
        <f t="shared" si="135"/>
        <v>204</v>
      </c>
      <c r="BK85" s="117">
        <f t="shared" si="135"/>
        <v>765000</v>
      </c>
      <c r="BL85" s="302" t="s">
        <v>472</v>
      </c>
      <c r="BN85" s="113"/>
      <c r="BO85" s="113"/>
      <c r="BP85" s="113"/>
      <c r="BQ85" s="113"/>
      <c r="BR85" s="113">
        <f t="shared" si="147"/>
        <v>0</v>
      </c>
      <c r="BS85" s="113">
        <f t="shared" si="136"/>
        <v>765000</v>
      </c>
      <c r="BT85" s="113"/>
      <c r="BU85" s="125">
        <f t="shared" si="148"/>
        <v>765000</v>
      </c>
      <c r="BV85" s="181">
        <f t="shared" si="121"/>
        <v>765000</v>
      </c>
    </row>
    <row r="86" spans="1:74" ht="31.5" x14ac:dyDescent="0.25">
      <c r="A86" s="989"/>
      <c r="B86" s="38"/>
      <c r="C86" s="38" t="s">
        <v>318</v>
      </c>
      <c r="D86" s="38" t="s">
        <v>73</v>
      </c>
      <c r="E86" s="375">
        <f>0.14*100000</f>
        <v>14000.000000000002</v>
      </c>
      <c r="F86" s="47">
        <f t="shared" si="129"/>
        <v>0</v>
      </c>
      <c r="G86" s="85">
        <f t="shared" si="130"/>
        <v>0</v>
      </c>
      <c r="H86" s="85">
        <f t="shared" si="137"/>
        <v>0</v>
      </c>
      <c r="I86" s="85">
        <f t="shared" si="138"/>
        <v>0</v>
      </c>
      <c r="J86" s="85">
        <f t="shared" si="139"/>
        <v>0</v>
      </c>
      <c r="K86" s="85">
        <f t="shared" si="140"/>
        <v>0</v>
      </c>
      <c r="L86" s="85">
        <f t="shared" si="141"/>
        <v>0</v>
      </c>
      <c r="M86" s="85">
        <f t="shared" si="142"/>
        <v>0</v>
      </c>
      <c r="N86" s="85">
        <f t="shared" si="143"/>
        <v>0</v>
      </c>
      <c r="O86" s="85">
        <f t="shared" si="144"/>
        <v>0</v>
      </c>
      <c r="P86" s="85">
        <f t="shared" si="145"/>
        <v>0</v>
      </c>
      <c r="Q86" s="85">
        <f t="shared" si="146"/>
        <v>0</v>
      </c>
      <c r="R86" s="47">
        <f t="shared" si="123"/>
        <v>0</v>
      </c>
      <c r="S86" s="47">
        <f t="shared" si="124"/>
        <v>0</v>
      </c>
      <c r="T86" s="47">
        <f t="shared" si="125"/>
        <v>0</v>
      </c>
      <c r="U86" s="47">
        <f t="shared" si="126"/>
        <v>0</v>
      </c>
      <c r="V86" s="376">
        <f t="shared" si="131"/>
        <v>0</v>
      </c>
      <c r="W86" s="376">
        <f t="shared" si="132"/>
        <v>0</v>
      </c>
      <c r="X86" s="376">
        <f t="shared" si="133"/>
        <v>0</v>
      </c>
      <c r="Y86" s="376">
        <f t="shared" si="134"/>
        <v>0</v>
      </c>
      <c r="Z86" s="47">
        <v>0</v>
      </c>
      <c r="AA86" s="181">
        <f t="shared" si="103"/>
        <v>0</v>
      </c>
      <c r="AB86" s="47">
        <v>0</v>
      </c>
      <c r="AC86" s="181">
        <f t="shared" si="104"/>
        <v>0</v>
      </c>
      <c r="AD86" s="47">
        <v>0</v>
      </c>
      <c r="AE86" s="181">
        <f t="shared" si="105"/>
        <v>0</v>
      </c>
      <c r="AF86" s="47">
        <v>0</v>
      </c>
      <c r="AG86" s="181">
        <f t="shared" si="106"/>
        <v>0</v>
      </c>
      <c r="AH86" s="47">
        <v>0</v>
      </c>
      <c r="AI86" s="181">
        <f t="shared" si="107"/>
        <v>0</v>
      </c>
      <c r="AJ86" s="47">
        <v>0</v>
      </c>
      <c r="AK86" s="181">
        <f t="shared" si="108"/>
        <v>0</v>
      </c>
      <c r="AL86" s="47">
        <v>0</v>
      </c>
      <c r="AM86" s="181">
        <f t="shared" si="109"/>
        <v>0</v>
      </c>
      <c r="AN86" s="47">
        <v>0</v>
      </c>
      <c r="AO86" s="181">
        <f t="shared" si="110"/>
        <v>0</v>
      </c>
      <c r="AP86" s="47">
        <v>0</v>
      </c>
      <c r="AQ86" s="181">
        <f t="shared" si="111"/>
        <v>0</v>
      </c>
      <c r="AR86" s="47">
        <v>0</v>
      </c>
      <c r="AS86" s="181">
        <f t="shared" si="112"/>
        <v>0</v>
      </c>
      <c r="AT86" s="47">
        <v>0</v>
      </c>
      <c r="AU86" s="181">
        <f t="shared" si="113"/>
        <v>0</v>
      </c>
      <c r="AV86" s="47">
        <v>0</v>
      </c>
      <c r="AW86" s="181">
        <f t="shared" si="114"/>
        <v>0</v>
      </c>
      <c r="AX86" s="47">
        <v>0</v>
      </c>
      <c r="AY86" s="181">
        <f t="shared" si="115"/>
        <v>0</v>
      </c>
      <c r="AZ86" s="47">
        <v>0</v>
      </c>
      <c r="BA86" s="181">
        <f t="shared" si="116"/>
        <v>0</v>
      </c>
      <c r="BB86" s="47">
        <v>0</v>
      </c>
      <c r="BC86" s="181">
        <f t="shared" si="117"/>
        <v>0</v>
      </c>
      <c r="BD86" s="47">
        <v>0</v>
      </c>
      <c r="BE86" s="181">
        <f t="shared" si="118"/>
        <v>0</v>
      </c>
      <c r="BF86" s="47">
        <v>0</v>
      </c>
      <c r="BG86" s="181">
        <f t="shared" si="119"/>
        <v>0</v>
      </c>
      <c r="BH86" s="47">
        <v>0</v>
      </c>
      <c r="BI86" s="181">
        <f t="shared" si="120"/>
        <v>0</v>
      </c>
      <c r="BJ86" s="47">
        <f t="shared" si="135"/>
        <v>0</v>
      </c>
      <c r="BK86" s="117">
        <f t="shared" si="135"/>
        <v>0</v>
      </c>
      <c r="BL86" s="302" t="s">
        <v>472</v>
      </c>
      <c r="BN86" s="113"/>
      <c r="BO86" s="113"/>
      <c r="BP86" s="113"/>
      <c r="BQ86" s="113"/>
      <c r="BR86" s="113">
        <f t="shared" si="147"/>
        <v>0</v>
      </c>
      <c r="BS86" s="113">
        <f t="shared" si="136"/>
        <v>0</v>
      </c>
      <c r="BT86" s="113"/>
      <c r="BU86" s="125">
        <f t="shared" si="148"/>
        <v>0</v>
      </c>
      <c r="BV86" s="181">
        <f t="shared" si="121"/>
        <v>0</v>
      </c>
    </row>
    <row r="87" spans="1:74" x14ac:dyDescent="0.25">
      <c r="A87" s="989"/>
      <c r="B87" s="265"/>
      <c r="C87" s="400" t="s">
        <v>365</v>
      </c>
      <c r="D87" s="392"/>
      <c r="E87" s="402"/>
      <c r="F87" s="402">
        <f>SUM(F80:F86)</f>
        <v>833</v>
      </c>
      <c r="G87" s="401">
        <f>SUM(G80:G86)</f>
        <v>8874000</v>
      </c>
      <c r="H87" s="401">
        <f t="shared" ref="H87:Q87" si="149">SUM(H80:H86)</f>
        <v>4437000</v>
      </c>
      <c r="I87" s="401">
        <f t="shared" si="149"/>
        <v>4437000</v>
      </c>
      <c r="J87" s="401">
        <f t="shared" si="149"/>
        <v>0</v>
      </c>
      <c r="K87" s="401">
        <f t="shared" si="149"/>
        <v>0</v>
      </c>
      <c r="L87" s="401">
        <f t="shared" si="149"/>
        <v>0</v>
      </c>
      <c r="M87" s="401">
        <f t="shared" si="149"/>
        <v>0</v>
      </c>
      <c r="N87" s="401">
        <f t="shared" si="149"/>
        <v>0</v>
      </c>
      <c r="O87" s="401">
        <f t="shared" si="149"/>
        <v>0</v>
      </c>
      <c r="P87" s="401">
        <f t="shared" si="149"/>
        <v>0</v>
      </c>
      <c r="Q87" s="401">
        <f t="shared" si="149"/>
        <v>0</v>
      </c>
      <c r="R87" s="248">
        <f t="shared" si="123"/>
        <v>208.25</v>
      </c>
      <c r="S87" s="248">
        <f t="shared" si="124"/>
        <v>208.25</v>
      </c>
      <c r="T87" s="248">
        <f t="shared" si="125"/>
        <v>208.25</v>
      </c>
      <c r="U87" s="248">
        <f t="shared" si="126"/>
        <v>208.25</v>
      </c>
      <c r="V87" s="248">
        <f>G87*0.25</f>
        <v>2218500</v>
      </c>
      <c r="W87" s="248">
        <f>G87*0.25</f>
        <v>2218500</v>
      </c>
      <c r="X87" s="248">
        <f>G87*0.25</f>
        <v>2218500</v>
      </c>
      <c r="Y87" s="248">
        <f>G87*0.25</f>
        <v>2218500</v>
      </c>
      <c r="Z87" s="402">
        <f t="shared" ref="Z87:BK87" si="150">SUM(Z80:Z86)</f>
        <v>49</v>
      </c>
      <c r="AA87" s="402">
        <f t="shared" si="150"/>
        <v>522000</v>
      </c>
      <c r="AB87" s="402">
        <f t="shared" si="150"/>
        <v>49</v>
      </c>
      <c r="AC87" s="402">
        <f t="shared" si="150"/>
        <v>522000</v>
      </c>
      <c r="AD87" s="402">
        <f t="shared" si="150"/>
        <v>49</v>
      </c>
      <c r="AE87" s="402">
        <f t="shared" si="150"/>
        <v>522000</v>
      </c>
      <c r="AF87" s="402">
        <f t="shared" si="150"/>
        <v>49</v>
      </c>
      <c r="AG87" s="402">
        <f t="shared" si="150"/>
        <v>522000</v>
      </c>
      <c r="AH87" s="402">
        <f t="shared" si="150"/>
        <v>49</v>
      </c>
      <c r="AI87" s="402">
        <f t="shared" si="150"/>
        <v>522000</v>
      </c>
      <c r="AJ87" s="402">
        <f t="shared" si="150"/>
        <v>49</v>
      </c>
      <c r="AK87" s="402">
        <f t="shared" si="150"/>
        <v>522000</v>
      </c>
      <c r="AL87" s="402">
        <f t="shared" si="150"/>
        <v>49</v>
      </c>
      <c r="AM87" s="402">
        <f t="shared" si="150"/>
        <v>522000</v>
      </c>
      <c r="AN87" s="402">
        <f t="shared" si="150"/>
        <v>49</v>
      </c>
      <c r="AO87" s="402">
        <f t="shared" si="150"/>
        <v>522000</v>
      </c>
      <c r="AP87" s="402">
        <f t="shared" si="150"/>
        <v>49</v>
      </c>
      <c r="AQ87" s="402">
        <f t="shared" si="150"/>
        <v>522000</v>
      </c>
      <c r="AR87" s="402">
        <f t="shared" si="150"/>
        <v>49</v>
      </c>
      <c r="AS87" s="402">
        <f t="shared" si="150"/>
        <v>522000</v>
      </c>
      <c r="AT87" s="402">
        <f t="shared" si="150"/>
        <v>49</v>
      </c>
      <c r="AU87" s="402">
        <f t="shared" si="150"/>
        <v>522000</v>
      </c>
      <c r="AV87" s="402">
        <f t="shared" si="150"/>
        <v>49</v>
      </c>
      <c r="AW87" s="402">
        <f t="shared" si="150"/>
        <v>522000</v>
      </c>
      <c r="AX87" s="402">
        <f t="shared" si="150"/>
        <v>49</v>
      </c>
      <c r="AY87" s="402">
        <f t="shared" si="150"/>
        <v>522000</v>
      </c>
      <c r="AZ87" s="402">
        <f t="shared" si="150"/>
        <v>49</v>
      </c>
      <c r="BA87" s="402">
        <f t="shared" si="150"/>
        <v>522000</v>
      </c>
      <c r="BB87" s="402">
        <f t="shared" si="150"/>
        <v>49</v>
      </c>
      <c r="BC87" s="402">
        <f t="shared" si="150"/>
        <v>522000</v>
      </c>
      <c r="BD87" s="402">
        <f t="shared" si="150"/>
        <v>49</v>
      </c>
      <c r="BE87" s="402">
        <f t="shared" si="150"/>
        <v>522000</v>
      </c>
      <c r="BF87" s="402">
        <f t="shared" si="150"/>
        <v>49</v>
      </c>
      <c r="BG87" s="402">
        <f t="shared" si="150"/>
        <v>522000</v>
      </c>
      <c r="BH87" s="402">
        <f t="shared" si="150"/>
        <v>0</v>
      </c>
      <c r="BI87" s="402">
        <f t="shared" si="150"/>
        <v>0</v>
      </c>
      <c r="BJ87" s="392">
        <f t="shared" si="150"/>
        <v>833</v>
      </c>
      <c r="BK87" s="403">
        <f t="shared" si="150"/>
        <v>8874000</v>
      </c>
      <c r="BL87" s="302"/>
      <c r="BN87" s="394">
        <f t="shared" ref="BN87:BU87" si="151">SUM(BN80:BN86)</f>
        <v>0</v>
      </c>
      <c r="BO87" s="394">
        <f t="shared" si="151"/>
        <v>0</v>
      </c>
      <c r="BP87" s="394">
        <f t="shared" si="151"/>
        <v>0</v>
      </c>
      <c r="BQ87" s="394">
        <f t="shared" si="151"/>
        <v>0</v>
      </c>
      <c r="BR87" s="394">
        <f t="shared" si="151"/>
        <v>0</v>
      </c>
      <c r="BS87" s="394">
        <f t="shared" si="151"/>
        <v>8874000</v>
      </c>
      <c r="BT87" s="394">
        <f t="shared" si="151"/>
        <v>0</v>
      </c>
      <c r="BU87" s="394">
        <f t="shared" si="151"/>
        <v>8874000</v>
      </c>
      <c r="BV87" s="395">
        <f t="shared" si="121"/>
        <v>8874000</v>
      </c>
    </row>
    <row r="88" spans="1:74" s="67" customFormat="1" x14ac:dyDescent="0.25">
      <c r="A88" s="989"/>
      <c r="B88" s="377"/>
      <c r="C88" s="379"/>
      <c r="D88" s="379"/>
      <c r="E88" s="379"/>
      <c r="F88" s="379">
        <f>F87+F78+F71+F66</f>
        <v>1853</v>
      </c>
      <c r="G88" s="380">
        <f>G87+G78+G71+G66</f>
        <v>37352400</v>
      </c>
      <c r="H88" s="380">
        <f t="shared" ref="H88:Q88" si="152">H87+H78+H71+H66</f>
        <v>18676200</v>
      </c>
      <c r="I88" s="380">
        <f t="shared" si="152"/>
        <v>18676200</v>
      </c>
      <c r="J88" s="380">
        <f t="shared" si="152"/>
        <v>0</v>
      </c>
      <c r="K88" s="380">
        <f t="shared" si="152"/>
        <v>0</v>
      </c>
      <c r="L88" s="380">
        <f t="shared" si="152"/>
        <v>0</v>
      </c>
      <c r="M88" s="380">
        <f t="shared" si="152"/>
        <v>0</v>
      </c>
      <c r="N88" s="380">
        <f t="shared" si="152"/>
        <v>0</v>
      </c>
      <c r="O88" s="380">
        <f t="shared" si="152"/>
        <v>0</v>
      </c>
      <c r="P88" s="380">
        <f t="shared" si="152"/>
        <v>0</v>
      </c>
      <c r="Q88" s="380">
        <f t="shared" si="152"/>
        <v>0</v>
      </c>
      <c r="R88" s="404">
        <f t="shared" si="123"/>
        <v>463.25</v>
      </c>
      <c r="S88" s="404">
        <f t="shared" si="124"/>
        <v>463.25</v>
      </c>
      <c r="T88" s="404">
        <f t="shared" si="125"/>
        <v>463.25</v>
      </c>
      <c r="U88" s="404">
        <f t="shared" si="126"/>
        <v>463.25</v>
      </c>
      <c r="V88" s="404">
        <f>G88*0.25</f>
        <v>9338100</v>
      </c>
      <c r="W88" s="404">
        <f>G88*0.25</f>
        <v>9338100</v>
      </c>
      <c r="X88" s="404">
        <f>G88*0.25</f>
        <v>9338100</v>
      </c>
      <c r="Y88" s="404">
        <f>G88*0.25</f>
        <v>9338100</v>
      </c>
      <c r="Z88" s="379">
        <f t="shared" ref="Z88:BK88" si="153">Z87+Z78+Z71+Z66</f>
        <v>85</v>
      </c>
      <c r="AA88" s="379">
        <f t="shared" si="153"/>
        <v>1753200</v>
      </c>
      <c r="AB88" s="379">
        <f t="shared" si="153"/>
        <v>85</v>
      </c>
      <c r="AC88" s="379">
        <f t="shared" si="153"/>
        <v>1753200</v>
      </c>
      <c r="AD88" s="379">
        <f t="shared" si="153"/>
        <v>85</v>
      </c>
      <c r="AE88" s="379">
        <f t="shared" si="153"/>
        <v>1753200</v>
      </c>
      <c r="AF88" s="379">
        <f t="shared" si="153"/>
        <v>85</v>
      </c>
      <c r="AG88" s="379">
        <f t="shared" si="153"/>
        <v>1753200</v>
      </c>
      <c r="AH88" s="379">
        <f t="shared" si="153"/>
        <v>85</v>
      </c>
      <c r="AI88" s="379">
        <f t="shared" si="153"/>
        <v>1753200</v>
      </c>
      <c r="AJ88" s="379">
        <f t="shared" si="153"/>
        <v>85</v>
      </c>
      <c r="AK88" s="379">
        <f t="shared" si="153"/>
        <v>1753200</v>
      </c>
      <c r="AL88" s="379">
        <f t="shared" si="153"/>
        <v>85</v>
      </c>
      <c r="AM88" s="379">
        <f t="shared" si="153"/>
        <v>1753200</v>
      </c>
      <c r="AN88" s="379">
        <f t="shared" si="153"/>
        <v>85</v>
      </c>
      <c r="AO88" s="379">
        <f t="shared" si="153"/>
        <v>1753200</v>
      </c>
      <c r="AP88" s="379">
        <f t="shared" si="153"/>
        <v>85</v>
      </c>
      <c r="AQ88" s="379">
        <f t="shared" si="153"/>
        <v>1753200</v>
      </c>
      <c r="AR88" s="379">
        <f t="shared" si="153"/>
        <v>85</v>
      </c>
      <c r="AS88" s="379">
        <f t="shared" si="153"/>
        <v>1753200</v>
      </c>
      <c r="AT88" s="379">
        <f t="shared" si="153"/>
        <v>85</v>
      </c>
      <c r="AU88" s="379">
        <f t="shared" si="153"/>
        <v>1753200</v>
      </c>
      <c r="AV88" s="379">
        <f t="shared" si="153"/>
        <v>85</v>
      </c>
      <c r="AW88" s="379">
        <f t="shared" si="153"/>
        <v>1753200</v>
      </c>
      <c r="AX88" s="379">
        <f t="shared" si="153"/>
        <v>85</v>
      </c>
      <c r="AY88" s="379">
        <f t="shared" si="153"/>
        <v>1753200</v>
      </c>
      <c r="AZ88" s="379">
        <f t="shared" si="153"/>
        <v>85</v>
      </c>
      <c r="BA88" s="379">
        <f t="shared" si="153"/>
        <v>1753200</v>
      </c>
      <c r="BB88" s="379">
        <f t="shared" si="153"/>
        <v>85</v>
      </c>
      <c r="BC88" s="379">
        <f t="shared" si="153"/>
        <v>1753200</v>
      </c>
      <c r="BD88" s="379">
        <f t="shared" si="153"/>
        <v>85</v>
      </c>
      <c r="BE88" s="379">
        <f t="shared" si="153"/>
        <v>1753200</v>
      </c>
      <c r="BF88" s="379">
        <f t="shared" si="153"/>
        <v>85</v>
      </c>
      <c r="BG88" s="379">
        <f t="shared" si="153"/>
        <v>1753200</v>
      </c>
      <c r="BH88" s="379">
        <f t="shared" si="153"/>
        <v>408</v>
      </c>
      <c r="BI88" s="379">
        <f t="shared" si="153"/>
        <v>7548000</v>
      </c>
      <c r="BJ88" s="379">
        <f t="shared" si="153"/>
        <v>1853</v>
      </c>
      <c r="BK88" s="381">
        <f t="shared" si="153"/>
        <v>37352400</v>
      </c>
      <c r="BL88" s="118"/>
      <c r="BN88" s="381">
        <f t="shared" ref="BN88:BU88" si="154">BN87+BN78+BN71+BN66</f>
        <v>0</v>
      </c>
      <c r="BO88" s="381">
        <f t="shared" si="154"/>
        <v>0</v>
      </c>
      <c r="BP88" s="381">
        <f t="shared" si="154"/>
        <v>0</v>
      </c>
      <c r="BQ88" s="381">
        <f t="shared" si="154"/>
        <v>0</v>
      </c>
      <c r="BR88" s="381">
        <f t="shared" si="154"/>
        <v>0</v>
      </c>
      <c r="BS88" s="381">
        <f t="shared" si="154"/>
        <v>37352400</v>
      </c>
      <c r="BT88" s="381">
        <f t="shared" si="154"/>
        <v>0</v>
      </c>
      <c r="BU88" s="381">
        <f t="shared" si="154"/>
        <v>37352400</v>
      </c>
      <c r="BV88" s="390">
        <f t="shared" si="121"/>
        <v>37352400</v>
      </c>
    </row>
    <row r="89" spans="1:74" x14ac:dyDescent="0.25">
      <c r="A89" s="989"/>
      <c r="B89" s="38">
        <v>41500</v>
      </c>
      <c r="C89" s="38" t="s">
        <v>321</v>
      </c>
      <c r="D89" s="38"/>
      <c r="E89" s="375"/>
      <c r="F89" s="38"/>
      <c r="G89" s="85"/>
      <c r="H89" s="85"/>
      <c r="I89" s="85"/>
      <c r="J89" s="85"/>
      <c r="K89" s="85"/>
      <c r="L89" s="85"/>
      <c r="M89" s="85"/>
      <c r="N89" s="85"/>
      <c r="O89" s="47"/>
      <c r="P89" s="47"/>
      <c r="Q89" s="47"/>
      <c r="R89" s="47">
        <f t="shared" si="123"/>
        <v>0</v>
      </c>
      <c r="S89" s="47">
        <f t="shared" si="124"/>
        <v>0</v>
      </c>
      <c r="T89" s="47">
        <f t="shared" si="125"/>
        <v>0</v>
      </c>
      <c r="U89" s="47">
        <f t="shared" si="126"/>
        <v>0</v>
      </c>
      <c r="V89" s="47">
        <f>G89*0.25</f>
        <v>0</v>
      </c>
      <c r="W89" s="47">
        <f>G89*0.25</f>
        <v>0</v>
      </c>
      <c r="X89" s="47">
        <f>G89*0.25</f>
        <v>0</v>
      </c>
      <c r="Y89" s="47">
        <f>G89*0.25</f>
        <v>0</v>
      </c>
      <c r="Z89" s="47"/>
      <c r="AA89" s="181">
        <f t="shared" si="103"/>
        <v>0</v>
      </c>
      <c r="AB89" s="47"/>
      <c r="AC89" s="181">
        <f t="shared" si="104"/>
        <v>0</v>
      </c>
      <c r="AD89" s="47"/>
      <c r="AE89" s="181">
        <f t="shared" si="105"/>
        <v>0</v>
      </c>
      <c r="AF89" s="47"/>
      <c r="AG89" s="181">
        <f t="shared" si="106"/>
        <v>0</v>
      </c>
      <c r="AH89" s="47"/>
      <c r="AI89" s="181">
        <f t="shared" si="107"/>
        <v>0</v>
      </c>
      <c r="AJ89" s="47"/>
      <c r="AK89" s="181">
        <f t="shared" si="108"/>
        <v>0</v>
      </c>
      <c r="AL89" s="47"/>
      <c r="AM89" s="181">
        <f t="shared" si="109"/>
        <v>0</v>
      </c>
      <c r="AN89" s="47"/>
      <c r="AO89" s="181">
        <f t="shared" si="110"/>
        <v>0</v>
      </c>
      <c r="AP89" s="47"/>
      <c r="AQ89" s="181">
        <f t="shared" si="111"/>
        <v>0</v>
      </c>
      <c r="AR89" s="47"/>
      <c r="AS89" s="181">
        <f t="shared" si="112"/>
        <v>0</v>
      </c>
      <c r="AT89" s="47"/>
      <c r="AU89" s="181">
        <f t="shared" si="113"/>
        <v>0</v>
      </c>
      <c r="AV89" s="47"/>
      <c r="AW89" s="181">
        <f t="shared" si="114"/>
        <v>0</v>
      </c>
      <c r="AX89" s="47"/>
      <c r="AY89" s="181">
        <f t="shared" si="115"/>
        <v>0</v>
      </c>
      <c r="AZ89" s="47"/>
      <c r="BA89" s="181">
        <f t="shared" si="116"/>
        <v>0</v>
      </c>
      <c r="BB89" s="47"/>
      <c r="BC89" s="181">
        <f t="shared" si="117"/>
        <v>0</v>
      </c>
      <c r="BD89" s="47"/>
      <c r="BE89" s="181">
        <f t="shared" si="118"/>
        <v>0</v>
      </c>
      <c r="BF89" s="47"/>
      <c r="BG89" s="181">
        <f t="shared" si="119"/>
        <v>0</v>
      </c>
      <c r="BH89" s="47"/>
      <c r="BI89" s="181">
        <f t="shared" si="120"/>
        <v>0</v>
      </c>
      <c r="BJ89" s="47"/>
      <c r="BK89" s="124"/>
      <c r="BL89" s="47"/>
      <c r="BN89" s="113"/>
      <c r="BO89" s="113"/>
      <c r="BP89" s="113"/>
      <c r="BQ89" s="113"/>
      <c r="BR89" s="113"/>
      <c r="BS89" s="113"/>
      <c r="BT89" s="113"/>
      <c r="BU89" s="125"/>
      <c r="BV89" s="181">
        <f t="shared" si="121"/>
        <v>0</v>
      </c>
    </row>
    <row r="90" spans="1:74" s="165" customFormat="1" ht="31.5" x14ac:dyDescent="0.25">
      <c r="A90" s="989"/>
      <c r="B90" s="171">
        <v>41501</v>
      </c>
      <c r="C90" s="171" t="s">
        <v>892</v>
      </c>
      <c r="D90" s="171" t="s">
        <v>17</v>
      </c>
      <c r="E90" s="180">
        <v>100000</v>
      </c>
      <c r="F90" s="47">
        <f t="shared" ref="F90:F105" si="155">BJ90</f>
        <v>17</v>
      </c>
      <c r="G90" s="134">
        <f t="shared" ref="G90:G105" si="156">E90*F90</f>
        <v>1700000</v>
      </c>
      <c r="H90" s="134">
        <f>G90*0.5</f>
        <v>850000</v>
      </c>
      <c r="I90" s="134">
        <f>G90*0.5</f>
        <v>850000</v>
      </c>
      <c r="J90" s="134">
        <f>G90*0</f>
        <v>0</v>
      </c>
      <c r="K90" s="134">
        <f>G90*0</f>
        <v>0</v>
      </c>
      <c r="L90" s="134">
        <f>G90*0</f>
        <v>0</v>
      </c>
      <c r="M90" s="134">
        <f>G90*0</f>
        <v>0</v>
      </c>
      <c r="N90" s="134">
        <f>G90*0</f>
        <v>0</v>
      </c>
      <c r="O90" s="134">
        <f>G90*0</f>
        <v>0</v>
      </c>
      <c r="P90" s="134">
        <f>G90*0</f>
        <v>0</v>
      </c>
      <c r="Q90" s="134">
        <f>G90*0</f>
        <v>0</v>
      </c>
      <c r="R90" s="136">
        <f t="shared" si="123"/>
        <v>4.25</v>
      </c>
      <c r="S90" s="136">
        <f t="shared" si="124"/>
        <v>4.25</v>
      </c>
      <c r="T90" s="136">
        <f t="shared" si="125"/>
        <v>4.25</v>
      </c>
      <c r="U90" s="136">
        <f t="shared" si="126"/>
        <v>4.25</v>
      </c>
      <c r="V90" s="376">
        <f>R90*E90</f>
        <v>425000</v>
      </c>
      <c r="W90" s="376">
        <f>S90*E90</f>
        <v>425000</v>
      </c>
      <c r="X90" s="376">
        <f>T90*E90</f>
        <v>425000</v>
      </c>
      <c r="Y90" s="376">
        <f>U90*E90</f>
        <v>425000</v>
      </c>
      <c r="Z90" s="136">
        <v>1</v>
      </c>
      <c r="AA90" s="181">
        <f t="shared" si="103"/>
        <v>100000</v>
      </c>
      <c r="AB90" s="136">
        <v>1</v>
      </c>
      <c r="AC90" s="181">
        <f t="shared" si="104"/>
        <v>100000</v>
      </c>
      <c r="AD90" s="136">
        <v>1</v>
      </c>
      <c r="AE90" s="181">
        <f t="shared" si="105"/>
        <v>100000</v>
      </c>
      <c r="AF90" s="136">
        <v>1</v>
      </c>
      <c r="AG90" s="181">
        <f t="shared" si="106"/>
        <v>100000</v>
      </c>
      <c r="AH90" s="136">
        <v>1</v>
      </c>
      <c r="AI90" s="181">
        <f t="shared" si="107"/>
        <v>100000</v>
      </c>
      <c r="AJ90" s="136">
        <v>1</v>
      </c>
      <c r="AK90" s="181">
        <f t="shared" si="108"/>
        <v>100000</v>
      </c>
      <c r="AL90" s="136">
        <v>1</v>
      </c>
      <c r="AM90" s="181">
        <f t="shared" si="109"/>
        <v>100000</v>
      </c>
      <c r="AN90" s="136">
        <v>1</v>
      </c>
      <c r="AO90" s="181">
        <f t="shared" si="110"/>
        <v>100000</v>
      </c>
      <c r="AP90" s="136">
        <v>1</v>
      </c>
      <c r="AQ90" s="181">
        <f t="shared" si="111"/>
        <v>100000</v>
      </c>
      <c r="AR90" s="136">
        <v>1</v>
      </c>
      <c r="AS90" s="181">
        <f t="shared" si="112"/>
        <v>100000</v>
      </c>
      <c r="AT90" s="136">
        <v>1</v>
      </c>
      <c r="AU90" s="181">
        <f t="shared" si="113"/>
        <v>100000</v>
      </c>
      <c r="AV90" s="136">
        <v>1</v>
      </c>
      <c r="AW90" s="181">
        <f t="shared" si="114"/>
        <v>100000</v>
      </c>
      <c r="AX90" s="136">
        <v>1</v>
      </c>
      <c r="AY90" s="181">
        <f t="shared" si="115"/>
        <v>100000</v>
      </c>
      <c r="AZ90" s="136">
        <v>1</v>
      </c>
      <c r="BA90" s="181">
        <f t="shared" si="116"/>
        <v>100000</v>
      </c>
      <c r="BB90" s="136">
        <v>1</v>
      </c>
      <c r="BC90" s="181">
        <f t="shared" si="117"/>
        <v>100000</v>
      </c>
      <c r="BD90" s="136">
        <v>1</v>
      </c>
      <c r="BE90" s="181">
        <f t="shared" si="118"/>
        <v>100000</v>
      </c>
      <c r="BF90" s="136">
        <v>1</v>
      </c>
      <c r="BG90" s="181">
        <f t="shared" si="119"/>
        <v>100000</v>
      </c>
      <c r="BH90" s="136">
        <v>0</v>
      </c>
      <c r="BI90" s="181">
        <f t="shared" si="120"/>
        <v>0</v>
      </c>
      <c r="BJ90" s="136">
        <f t="shared" ref="BJ90:BK105" si="157">Z90+AB90+AD90+AF90+AH90+AJ90+AL90+AN90+AP90+AR90+AT90+AV90+AX90+AZ90+BB90+BD90+BF90+BH90</f>
        <v>17</v>
      </c>
      <c r="BK90" s="331">
        <f t="shared" si="157"/>
        <v>1700000</v>
      </c>
      <c r="BL90" s="307" t="s">
        <v>472</v>
      </c>
      <c r="BN90" s="178"/>
      <c r="BO90" s="178"/>
      <c r="BP90" s="178"/>
      <c r="BQ90" s="178"/>
      <c r="BR90" s="178">
        <f>BN90+BO90+BP90+BQ90</f>
        <v>0</v>
      </c>
      <c r="BS90" s="178"/>
      <c r="BT90" s="178">
        <f>G90</f>
        <v>1700000</v>
      </c>
      <c r="BU90" s="166">
        <f>BS90+BT90</f>
        <v>1700000</v>
      </c>
      <c r="BV90" s="191">
        <f t="shared" si="121"/>
        <v>1700000</v>
      </c>
    </row>
    <row r="91" spans="1:74" s="165" customFormat="1" x14ac:dyDescent="0.25">
      <c r="A91" s="989"/>
      <c r="B91" s="171">
        <v>41502</v>
      </c>
      <c r="C91" s="171" t="s">
        <v>322</v>
      </c>
      <c r="D91" s="171" t="s">
        <v>17</v>
      </c>
      <c r="E91" s="180">
        <f>0.05*100000</f>
        <v>5000</v>
      </c>
      <c r="F91" s="47">
        <f t="shared" si="155"/>
        <v>17</v>
      </c>
      <c r="G91" s="134">
        <f t="shared" si="156"/>
        <v>85000</v>
      </c>
      <c r="H91" s="134">
        <f t="shared" ref="H91:H105" si="158">G91*0.5</f>
        <v>42500</v>
      </c>
      <c r="I91" s="134">
        <f t="shared" ref="I91:I105" si="159">G91*0.5</f>
        <v>42500</v>
      </c>
      <c r="J91" s="134">
        <f t="shared" ref="J91:J105" si="160">G91*0</f>
        <v>0</v>
      </c>
      <c r="K91" s="134">
        <f t="shared" ref="K91:K105" si="161">G91*0</f>
        <v>0</v>
      </c>
      <c r="L91" s="134">
        <f t="shared" ref="L91:L105" si="162">G91*0</f>
        <v>0</v>
      </c>
      <c r="M91" s="134">
        <f t="shared" ref="M91:M105" si="163">G91*0</f>
        <v>0</v>
      </c>
      <c r="N91" s="134">
        <f t="shared" ref="N91:N105" si="164">G91*0</f>
        <v>0</v>
      </c>
      <c r="O91" s="134">
        <f t="shared" ref="O91:O105" si="165">G91*0</f>
        <v>0</v>
      </c>
      <c r="P91" s="134">
        <f t="shared" ref="P91:P105" si="166">G91*0</f>
        <v>0</v>
      </c>
      <c r="Q91" s="134">
        <f t="shared" ref="Q91:Q105" si="167">G91*0</f>
        <v>0</v>
      </c>
      <c r="R91" s="136">
        <f t="shared" si="123"/>
        <v>4.25</v>
      </c>
      <c r="S91" s="136">
        <f t="shared" si="124"/>
        <v>4.25</v>
      </c>
      <c r="T91" s="136">
        <f t="shared" si="125"/>
        <v>4.25</v>
      </c>
      <c r="U91" s="136">
        <f t="shared" si="126"/>
        <v>4.25</v>
      </c>
      <c r="V91" s="376">
        <f t="shared" ref="V91:V110" si="168">R91*E91</f>
        <v>21250</v>
      </c>
      <c r="W91" s="376">
        <f t="shared" ref="W91:W110" si="169">S91*E91</f>
        <v>21250</v>
      </c>
      <c r="X91" s="376">
        <f t="shared" ref="X91:X110" si="170">T91*E91</f>
        <v>21250</v>
      </c>
      <c r="Y91" s="376">
        <f t="shared" ref="Y91:Y110" si="171">U91*E91</f>
        <v>21250</v>
      </c>
      <c r="Z91" s="136">
        <v>1</v>
      </c>
      <c r="AA91" s="181">
        <f t="shared" si="103"/>
        <v>5000</v>
      </c>
      <c r="AB91" s="136">
        <v>1</v>
      </c>
      <c r="AC91" s="181">
        <f t="shared" si="104"/>
        <v>5000</v>
      </c>
      <c r="AD91" s="136">
        <v>1</v>
      </c>
      <c r="AE91" s="181">
        <f t="shared" si="105"/>
        <v>5000</v>
      </c>
      <c r="AF91" s="136">
        <v>1</v>
      </c>
      <c r="AG91" s="181">
        <f t="shared" si="106"/>
        <v>5000</v>
      </c>
      <c r="AH91" s="136">
        <v>1</v>
      </c>
      <c r="AI91" s="181">
        <f t="shared" si="107"/>
        <v>5000</v>
      </c>
      <c r="AJ91" s="136">
        <v>1</v>
      </c>
      <c r="AK91" s="181">
        <f t="shared" si="108"/>
        <v>5000</v>
      </c>
      <c r="AL91" s="136">
        <v>1</v>
      </c>
      <c r="AM91" s="181">
        <f t="shared" si="109"/>
        <v>5000</v>
      </c>
      <c r="AN91" s="136">
        <v>1</v>
      </c>
      <c r="AO91" s="181">
        <f t="shared" si="110"/>
        <v>5000</v>
      </c>
      <c r="AP91" s="136">
        <v>1</v>
      </c>
      <c r="AQ91" s="181">
        <f t="shared" si="111"/>
        <v>5000</v>
      </c>
      <c r="AR91" s="136">
        <v>1</v>
      </c>
      <c r="AS91" s="181">
        <f t="shared" si="112"/>
        <v>5000</v>
      </c>
      <c r="AT91" s="136">
        <v>1</v>
      </c>
      <c r="AU91" s="181">
        <f t="shared" si="113"/>
        <v>5000</v>
      </c>
      <c r="AV91" s="136">
        <v>1</v>
      </c>
      <c r="AW91" s="181">
        <f t="shared" si="114"/>
        <v>5000</v>
      </c>
      <c r="AX91" s="136">
        <v>1</v>
      </c>
      <c r="AY91" s="181">
        <f t="shared" si="115"/>
        <v>5000</v>
      </c>
      <c r="AZ91" s="136">
        <v>1</v>
      </c>
      <c r="BA91" s="181">
        <f t="shared" si="116"/>
        <v>5000</v>
      </c>
      <c r="BB91" s="136">
        <v>1</v>
      </c>
      <c r="BC91" s="181">
        <f t="shared" si="117"/>
        <v>5000</v>
      </c>
      <c r="BD91" s="136">
        <v>1</v>
      </c>
      <c r="BE91" s="181">
        <f t="shared" si="118"/>
        <v>5000</v>
      </c>
      <c r="BF91" s="136">
        <v>1</v>
      </c>
      <c r="BG91" s="181">
        <f t="shared" si="119"/>
        <v>5000</v>
      </c>
      <c r="BH91" s="136">
        <v>0</v>
      </c>
      <c r="BI91" s="181">
        <f t="shared" si="120"/>
        <v>0</v>
      </c>
      <c r="BJ91" s="136">
        <f t="shared" si="157"/>
        <v>17</v>
      </c>
      <c r="BK91" s="331">
        <f t="shared" si="157"/>
        <v>85000</v>
      </c>
      <c r="BL91" s="307" t="s">
        <v>472</v>
      </c>
      <c r="BN91" s="178"/>
      <c r="BO91" s="178"/>
      <c r="BP91" s="178"/>
      <c r="BQ91" s="178"/>
      <c r="BR91" s="178">
        <f t="shared" ref="BR91:BR105" si="172">BN91+BO91+BP91+BQ91</f>
        <v>0</v>
      </c>
      <c r="BS91" s="178"/>
      <c r="BT91" s="178">
        <f t="shared" ref="BT91:BT105" si="173">G91</f>
        <v>85000</v>
      </c>
      <c r="BU91" s="166">
        <f t="shared" ref="BU91:BU105" si="174">BS91+BT91</f>
        <v>85000</v>
      </c>
      <c r="BV91" s="191">
        <f t="shared" si="121"/>
        <v>85000</v>
      </c>
    </row>
    <row r="92" spans="1:74" s="165" customFormat="1" ht="31.5" x14ac:dyDescent="0.25">
      <c r="A92" s="989"/>
      <c r="B92" s="171">
        <v>41503</v>
      </c>
      <c r="C92" s="171" t="s">
        <v>323</v>
      </c>
      <c r="D92" s="171" t="s">
        <v>17</v>
      </c>
      <c r="E92" s="180">
        <v>0</v>
      </c>
      <c r="F92" s="47">
        <f t="shared" si="155"/>
        <v>0</v>
      </c>
      <c r="G92" s="134">
        <f t="shared" si="156"/>
        <v>0</v>
      </c>
      <c r="H92" s="134">
        <f t="shared" si="158"/>
        <v>0</v>
      </c>
      <c r="I92" s="134">
        <f t="shared" si="159"/>
        <v>0</v>
      </c>
      <c r="J92" s="134">
        <f t="shared" si="160"/>
        <v>0</v>
      </c>
      <c r="K92" s="134">
        <f t="shared" si="161"/>
        <v>0</v>
      </c>
      <c r="L92" s="134">
        <f t="shared" si="162"/>
        <v>0</v>
      </c>
      <c r="M92" s="134">
        <f t="shared" si="163"/>
        <v>0</v>
      </c>
      <c r="N92" s="134">
        <f t="shared" si="164"/>
        <v>0</v>
      </c>
      <c r="O92" s="134">
        <f t="shared" si="165"/>
        <v>0</v>
      </c>
      <c r="P92" s="134">
        <f t="shared" si="166"/>
        <v>0</v>
      </c>
      <c r="Q92" s="134">
        <f t="shared" si="167"/>
        <v>0</v>
      </c>
      <c r="R92" s="136">
        <f t="shared" si="123"/>
        <v>0</v>
      </c>
      <c r="S92" s="136">
        <f t="shared" si="124"/>
        <v>0</v>
      </c>
      <c r="T92" s="136">
        <f t="shared" si="125"/>
        <v>0</v>
      </c>
      <c r="U92" s="136">
        <f t="shared" si="126"/>
        <v>0</v>
      </c>
      <c r="V92" s="376">
        <f t="shared" si="168"/>
        <v>0</v>
      </c>
      <c r="W92" s="376">
        <f t="shared" si="169"/>
        <v>0</v>
      </c>
      <c r="X92" s="376">
        <f t="shared" si="170"/>
        <v>0</v>
      </c>
      <c r="Y92" s="376">
        <f t="shared" si="171"/>
        <v>0</v>
      </c>
      <c r="Z92" s="136">
        <v>0</v>
      </c>
      <c r="AA92" s="181">
        <f t="shared" si="103"/>
        <v>0</v>
      </c>
      <c r="AB92" s="136">
        <v>0</v>
      </c>
      <c r="AC92" s="181">
        <f t="shared" si="104"/>
        <v>0</v>
      </c>
      <c r="AD92" s="136">
        <v>0</v>
      </c>
      <c r="AE92" s="181">
        <f t="shared" si="105"/>
        <v>0</v>
      </c>
      <c r="AF92" s="136">
        <v>0</v>
      </c>
      <c r="AG92" s="181">
        <f t="shared" si="106"/>
        <v>0</v>
      </c>
      <c r="AH92" s="136">
        <v>0</v>
      </c>
      <c r="AI92" s="181">
        <f t="shared" si="107"/>
        <v>0</v>
      </c>
      <c r="AJ92" s="136">
        <v>0</v>
      </c>
      <c r="AK92" s="181">
        <f t="shared" si="108"/>
        <v>0</v>
      </c>
      <c r="AL92" s="136">
        <v>0</v>
      </c>
      <c r="AM92" s="181">
        <f t="shared" si="109"/>
        <v>0</v>
      </c>
      <c r="AN92" s="136">
        <v>0</v>
      </c>
      <c r="AO92" s="181">
        <f t="shared" si="110"/>
        <v>0</v>
      </c>
      <c r="AP92" s="136">
        <v>0</v>
      </c>
      <c r="AQ92" s="181">
        <f t="shared" si="111"/>
        <v>0</v>
      </c>
      <c r="AR92" s="136">
        <v>0</v>
      </c>
      <c r="AS92" s="181">
        <f t="shared" si="112"/>
        <v>0</v>
      </c>
      <c r="AT92" s="136">
        <v>0</v>
      </c>
      <c r="AU92" s="181">
        <f t="shared" si="113"/>
        <v>0</v>
      </c>
      <c r="AV92" s="136">
        <v>0</v>
      </c>
      <c r="AW92" s="181">
        <f t="shared" si="114"/>
        <v>0</v>
      </c>
      <c r="AX92" s="136">
        <v>0</v>
      </c>
      <c r="AY92" s="181">
        <f t="shared" si="115"/>
        <v>0</v>
      </c>
      <c r="AZ92" s="136">
        <v>0</v>
      </c>
      <c r="BA92" s="181">
        <f t="shared" si="116"/>
        <v>0</v>
      </c>
      <c r="BB92" s="136">
        <v>0</v>
      </c>
      <c r="BC92" s="181">
        <f t="shared" si="117"/>
        <v>0</v>
      </c>
      <c r="BD92" s="136">
        <v>0</v>
      </c>
      <c r="BE92" s="181">
        <f t="shared" si="118"/>
        <v>0</v>
      </c>
      <c r="BF92" s="136">
        <v>0</v>
      </c>
      <c r="BG92" s="181">
        <f t="shared" si="119"/>
        <v>0</v>
      </c>
      <c r="BH92" s="136">
        <v>0</v>
      </c>
      <c r="BI92" s="181">
        <f t="shared" si="120"/>
        <v>0</v>
      </c>
      <c r="BJ92" s="136">
        <f t="shared" si="157"/>
        <v>0</v>
      </c>
      <c r="BK92" s="331">
        <f t="shared" si="157"/>
        <v>0</v>
      </c>
      <c r="BL92" s="307" t="s">
        <v>472</v>
      </c>
      <c r="BN92" s="178"/>
      <c r="BO92" s="178"/>
      <c r="BP92" s="178"/>
      <c r="BQ92" s="178"/>
      <c r="BR92" s="178">
        <f t="shared" si="172"/>
        <v>0</v>
      </c>
      <c r="BS92" s="178"/>
      <c r="BT92" s="178">
        <f t="shared" si="173"/>
        <v>0</v>
      </c>
      <c r="BU92" s="166">
        <f t="shared" si="174"/>
        <v>0</v>
      </c>
      <c r="BV92" s="191">
        <f t="shared" si="121"/>
        <v>0</v>
      </c>
    </row>
    <row r="93" spans="1:74" ht="31.5" x14ac:dyDescent="0.25">
      <c r="A93" s="989"/>
      <c r="B93" s="38">
        <v>41504</v>
      </c>
      <c r="C93" s="38" t="s">
        <v>324</v>
      </c>
      <c r="D93" s="38" t="s">
        <v>73</v>
      </c>
      <c r="E93" s="375"/>
      <c r="F93" s="47">
        <f t="shared" si="155"/>
        <v>0</v>
      </c>
      <c r="G93" s="85">
        <f t="shared" si="156"/>
        <v>0</v>
      </c>
      <c r="H93" s="85">
        <f t="shared" si="158"/>
        <v>0</v>
      </c>
      <c r="I93" s="85">
        <f t="shared" si="159"/>
        <v>0</v>
      </c>
      <c r="J93" s="85">
        <f t="shared" si="160"/>
        <v>0</v>
      </c>
      <c r="K93" s="85">
        <f t="shared" si="161"/>
        <v>0</v>
      </c>
      <c r="L93" s="85">
        <f t="shared" si="162"/>
        <v>0</v>
      </c>
      <c r="M93" s="85">
        <f t="shared" si="163"/>
        <v>0</v>
      </c>
      <c r="N93" s="85">
        <f t="shared" si="164"/>
        <v>0</v>
      </c>
      <c r="O93" s="85">
        <f t="shared" si="165"/>
        <v>0</v>
      </c>
      <c r="P93" s="85">
        <f t="shared" si="166"/>
        <v>0</v>
      </c>
      <c r="Q93" s="85">
        <f t="shared" si="167"/>
        <v>0</v>
      </c>
      <c r="R93" s="47">
        <f t="shared" si="123"/>
        <v>0</v>
      </c>
      <c r="S93" s="47">
        <f t="shared" si="124"/>
        <v>0</v>
      </c>
      <c r="T93" s="47">
        <f t="shared" si="125"/>
        <v>0</v>
      </c>
      <c r="U93" s="47">
        <f t="shared" si="126"/>
        <v>0</v>
      </c>
      <c r="V93" s="376">
        <f t="shared" si="168"/>
        <v>0</v>
      </c>
      <c r="W93" s="376">
        <f t="shared" si="169"/>
        <v>0</v>
      </c>
      <c r="X93" s="376">
        <f t="shared" si="170"/>
        <v>0</v>
      </c>
      <c r="Y93" s="376">
        <f t="shared" si="171"/>
        <v>0</v>
      </c>
      <c r="Z93" s="47">
        <v>0</v>
      </c>
      <c r="AA93" s="181">
        <f t="shared" si="103"/>
        <v>0</v>
      </c>
      <c r="AB93" s="47">
        <v>0</v>
      </c>
      <c r="AC93" s="181">
        <f t="shared" si="104"/>
        <v>0</v>
      </c>
      <c r="AD93" s="47">
        <v>0</v>
      </c>
      <c r="AE93" s="181">
        <f t="shared" si="105"/>
        <v>0</v>
      </c>
      <c r="AF93" s="47">
        <v>0</v>
      </c>
      <c r="AG93" s="181">
        <f t="shared" si="106"/>
        <v>0</v>
      </c>
      <c r="AH93" s="47">
        <v>0</v>
      </c>
      <c r="AI93" s="181">
        <f t="shared" si="107"/>
        <v>0</v>
      </c>
      <c r="AJ93" s="47">
        <v>0</v>
      </c>
      <c r="AK93" s="181">
        <f t="shared" si="108"/>
        <v>0</v>
      </c>
      <c r="AL93" s="47">
        <v>0</v>
      </c>
      <c r="AM93" s="181">
        <f t="shared" si="109"/>
        <v>0</v>
      </c>
      <c r="AN93" s="47">
        <v>0</v>
      </c>
      <c r="AO93" s="181">
        <f t="shared" si="110"/>
        <v>0</v>
      </c>
      <c r="AP93" s="47">
        <v>0</v>
      </c>
      <c r="AQ93" s="181">
        <f t="shared" si="111"/>
        <v>0</v>
      </c>
      <c r="AR93" s="47">
        <v>0</v>
      </c>
      <c r="AS93" s="181">
        <f t="shared" si="112"/>
        <v>0</v>
      </c>
      <c r="AT93" s="47">
        <v>0</v>
      </c>
      <c r="AU93" s="181">
        <f t="shared" si="113"/>
        <v>0</v>
      </c>
      <c r="AV93" s="47">
        <v>0</v>
      </c>
      <c r="AW93" s="181">
        <f t="shared" si="114"/>
        <v>0</v>
      </c>
      <c r="AX93" s="47">
        <v>0</v>
      </c>
      <c r="AY93" s="181">
        <f t="shared" si="115"/>
        <v>0</v>
      </c>
      <c r="AZ93" s="47">
        <v>0</v>
      </c>
      <c r="BA93" s="181">
        <f t="shared" si="116"/>
        <v>0</v>
      </c>
      <c r="BB93" s="47">
        <v>0</v>
      </c>
      <c r="BC93" s="181">
        <f t="shared" si="117"/>
        <v>0</v>
      </c>
      <c r="BD93" s="47">
        <v>0</v>
      </c>
      <c r="BE93" s="181">
        <f t="shared" si="118"/>
        <v>0</v>
      </c>
      <c r="BF93" s="47">
        <v>0</v>
      </c>
      <c r="BG93" s="181">
        <f t="shared" si="119"/>
        <v>0</v>
      </c>
      <c r="BH93" s="47">
        <v>0</v>
      </c>
      <c r="BI93" s="181">
        <f t="shared" si="120"/>
        <v>0</v>
      </c>
      <c r="BJ93" s="47">
        <f t="shared" si="157"/>
        <v>0</v>
      </c>
      <c r="BK93" s="117">
        <f t="shared" si="157"/>
        <v>0</v>
      </c>
      <c r="BL93" s="302" t="s">
        <v>472</v>
      </c>
      <c r="BN93" s="113"/>
      <c r="BO93" s="113"/>
      <c r="BP93" s="113"/>
      <c r="BQ93" s="113"/>
      <c r="BR93" s="113">
        <f t="shared" si="172"/>
        <v>0</v>
      </c>
      <c r="BS93" s="113"/>
      <c r="BT93" s="113">
        <f t="shared" si="173"/>
        <v>0</v>
      </c>
      <c r="BU93" s="125">
        <f t="shared" si="174"/>
        <v>0</v>
      </c>
      <c r="BV93" s="181">
        <f t="shared" si="121"/>
        <v>0</v>
      </c>
    </row>
    <row r="94" spans="1:74" s="165" customFormat="1" ht="31.5" x14ac:dyDescent="0.25">
      <c r="A94" s="989"/>
      <c r="B94" s="171">
        <v>41505</v>
      </c>
      <c r="C94" s="171" t="s">
        <v>325</v>
      </c>
      <c r="D94" s="171" t="s">
        <v>73</v>
      </c>
      <c r="E94" s="180">
        <v>500</v>
      </c>
      <c r="F94" s="47">
        <f t="shared" si="155"/>
        <v>204</v>
      </c>
      <c r="G94" s="134">
        <f t="shared" si="156"/>
        <v>102000</v>
      </c>
      <c r="H94" s="134">
        <f t="shared" si="158"/>
        <v>51000</v>
      </c>
      <c r="I94" s="134">
        <f t="shared" si="159"/>
        <v>51000</v>
      </c>
      <c r="J94" s="134">
        <f t="shared" si="160"/>
        <v>0</v>
      </c>
      <c r="K94" s="134">
        <f t="shared" si="161"/>
        <v>0</v>
      </c>
      <c r="L94" s="134">
        <f t="shared" si="162"/>
        <v>0</v>
      </c>
      <c r="M94" s="134">
        <f t="shared" si="163"/>
        <v>0</v>
      </c>
      <c r="N94" s="134">
        <f t="shared" si="164"/>
        <v>0</v>
      </c>
      <c r="O94" s="134">
        <f t="shared" si="165"/>
        <v>0</v>
      </c>
      <c r="P94" s="134">
        <f t="shared" si="166"/>
        <v>0</v>
      </c>
      <c r="Q94" s="134">
        <f t="shared" si="167"/>
        <v>0</v>
      </c>
      <c r="R94" s="136">
        <f t="shared" si="123"/>
        <v>51</v>
      </c>
      <c r="S94" s="136">
        <f t="shared" si="124"/>
        <v>51</v>
      </c>
      <c r="T94" s="136">
        <f t="shared" si="125"/>
        <v>51</v>
      </c>
      <c r="U94" s="136">
        <f t="shared" si="126"/>
        <v>51</v>
      </c>
      <c r="V94" s="376">
        <f t="shared" si="168"/>
        <v>25500</v>
      </c>
      <c r="W94" s="376">
        <f t="shared" si="169"/>
        <v>25500</v>
      </c>
      <c r="X94" s="376">
        <f t="shared" si="170"/>
        <v>25500</v>
      </c>
      <c r="Y94" s="376">
        <f t="shared" si="171"/>
        <v>25500</v>
      </c>
      <c r="Z94" s="136">
        <v>12</v>
      </c>
      <c r="AA94" s="181">
        <f t="shared" si="103"/>
        <v>6000</v>
      </c>
      <c r="AB94" s="136">
        <v>12</v>
      </c>
      <c r="AC94" s="181">
        <f t="shared" si="104"/>
        <v>6000</v>
      </c>
      <c r="AD94" s="136">
        <v>12</v>
      </c>
      <c r="AE94" s="181">
        <f t="shared" si="105"/>
        <v>6000</v>
      </c>
      <c r="AF94" s="136">
        <v>12</v>
      </c>
      <c r="AG94" s="181">
        <f t="shared" si="106"/>
        <v>6000</v>
      </c>
      <c r="AH94" s="136">
        <v>12</v>
      </c>
      <c r="AI94" s="181">
        <f t="shared" si="107"/>
        <v>6000</v>
      </c>
      <c r="AJ94" s="136">
        <v>12</v>
      </c>
      <c r="AK94" s="181">
        <f t="shared" si="108"/>
        <v>6000</v>
      </c>
      <c r="AL94" s="136">
        <v>12</v>
      </c>
      <c r="AM94" s="181">
        <f t="shared" si="109"/>
        <v>6000</v>
      </c>
      <c r="AN94" s="136">
        <v>12</v>
      </c>
      <c r="AO94" s="181">
        <f t="shared" si="110"/>
        <v>6000</v>
      </c>
      <c r="AP94" s="136">
        <v>12</v>
      </c>
      <c r="AQ94" s="181">
        <f t="shared" si="111"/>
        <v>6000</v>
      </c>
      <c r="AR94" s="136">
        <v>12</v>
      </c>
      <c r="AS94" s="181">
        <f t="shared" si="112"/>
        <v>6000</v>
      </c>
      <c r="AT94" s="136">
        <v>12</v>
      </c>
      <c r="AU94" s="181">
        <f t="shared" si="113"/>
        <v>6000</v>
      </c>
      <c r="AV94" s="136">
        <v>12</v>
      </c>
      <c r="AW94" s="181">
        <f t="shared" si="114"/>
        <v>6000</v>
      </c>
      <c r="AX94" s="136">
        <v>12</v>
      </c>
      <c r="AY94" s="181">
        <f t="shared" si="115"/>
        <v>6000</v>
      </c>
      <c r="AZ94" s="136">
        <v>12</v>
      </c>
      <c r="BA94" s="181">
        <f t="shared" si="116"/>
        <v>6000</v>
      </c>
      <c r="BB94" s="136">
        <v>12</v>
      </c>
      <c r="BC94" s="181">
        <f t="shared" si="117"/>
        <v>6000</v>
      </c>
      <c r="BD94" s="136">
        <v>12</v>
      </c>
      <c r="BE94" s="181">
        <f t="shared" si="118"/>
        <v>6000</v>
      </c>
      <c r="BF94" s="136">
        <v>12</v>
      </c>
      <c r="BG94" s="181">
        <f t="shared" si="119"/>
        <v>6000</v>
      </c>
      <c r="BH94" s="136">
        <v>0</v>
      </c>
      <c r="BI94" s="181">
        <f t="shared" si="120"/>
        <v>0</v>
      </c>
      <c r="BJ94" s="136">
        <f t="shared" si="157"/>
        <v>204</v>
      </c>
      <c r="BK94" s="331">
        <f t="shared" si="157"/>
        <v>102000</v>
      </c>
      <c r="BL94" s="307" t="s">
        <v>472</v>
      </c>
      <c r="BN94" s="178"/>
      <c r="BO94" s="178"/>
      <c r="BP94" s="178"/>
      <c r="BQ94" s="178"/>
      <c r="BR94" s="178">
        <f t="shared" si="172"/>
        <v>0</v>
      </c>
      <c r="BS94" s="178"/>
      <c r="BT94" s="178">
        <f t="shared" si="173"/>
        <v>102000</v>
      </c>
      <c r="BU94" s="166">
        <f t="shared" si="174"/>
        <v>102000</v>
      </c>
      <c r="BV94" s="191">
        <f t="shared" si="121"/>
        <v>102000</v>
      </c>
    </row>
    <row r="95" spans="1:74" ht="31.5" x14ac:dyDescent="0.25">
      <c r="A95" s="989"/>
      <c r="B95" s="38">
        <v>41506</v>
      </c>
      <c r="C95" s="38" t="s">
        <v>326</v>
      </c>
      <c r="D95" s="38" t="s">
        <v>73</v>
      </c>
      <c r="E95" s="375">
        <f>0.005*100000</f>
        <v>500</v>
      </c>
      <c r="F95" s="47">
        <f t="shared" si="155"/>
        <v>204</v>
      </c>
      <c r="G95" s="85">
        <f t="shared" si="156"/>
        <v>102000</v>
      </c>
      <c r="H95" s="85">
        <f t="shared" si="158"/>
        <v>51000</v>
      </c>
      <c r="I95" s="85">
        <f t="shared" si="159"/>
        <v>51000</v>
      </c>
      <c r="J95" s="85">
        <f t="shared" si="160"/>
        <v>0</v>
      </c>
      <c r="K95" s="85">
        <f t="shared" si="161"/>
        <v>0</v>
      </c>
      <c r="L95" s="85">
        <f t="shared" si="162"/>
        <v>0</v>
      </c>
      <c r="M95" s="85">
        <f t="shared" si="163"/>
        <v>0</v>
      </c>
      <c r="N95" s="85">
        <f t="shared" si="164"/>
        <v>0</v>
      </c>
      <c r="O95" s="85">
        <f t="shared" si="165"/>
        <v>0</v>
      </c>
      <c r="P95" s="85">
        <f t="shared" si="166"/>
        <v>0</v>
      </c>
      <c r="Q95" s="85">
        <f t="shared" si="167"/>
        <v>0</v>
      </c>
      <c r="R95" s="47">
        <f t="shared" si="123"/>
        <v>51</v>
      </c>
      <c r="S95" s="47">
        <f t="shared" si="124"/>
        <v>51</v>
      </c>
      <c r="T95" s="47">
        <f t="shared" si="125"/>
        <v>51</v>
      </c>
      <c r="U95" s="47">
        <f t="shared" si="126"/>
        <v>51</v>
      </c>
      <c r="V95" s="376">
        <f t="shared" si="168"/>
        <v>25500</v>
      </c>
      <c r="W95" s="376">
        <f t="shared" si="169"/>
        <v>25500</v>
      </c>
      <c r="X95" s="376">
        <f t="shared" si="170"/>
        <v>25500</v>
      </c>
      <c r="Y95" s="376">
        <f t="shared" si="171"/>
        <v>25500</v>
      </c>
      <c r="Z95" s="47">
        <v>12</v>
      </c>
      <c r="AA95" s="181">
        <f t="shared" si="103"/>
        <v>6000</v>
      </c>
      <c r="AB95" s="47">
        <v>12</v>
      </c>
      <c r="AC95" s="181">
        <f t="shared" si="104"/>
        <v>6000</v>
      </c>
      <c r="AD95" s="47">
        <v>12</v>
      </c>
      <c r="AE95" s="181">
        <f t="shared" si="105"/>
        <v>6000</v>
      </c>
      <c r="AF95" s="47">
        <v>12</v>
      </c>
      <c r="AG95" s="181">
        <f t="shared" si="106"/>
        <v>6000</v>
      </c>
      <c r="AH95" s="47">
        <v>12</v>
      </c>
      <c r="AI95" s="181">
        <f t="shared" si="107"/>
        <v>6000</v>
      </c>
      <c r="AJ95" s="47">
        <v>12</v>
      </c>
      <c r="AK95" s="181">
        <f t="shared" si="108"/>
        <v>6000</v>
      </c>
      <c r="AL95" s="47">
        <v>12</v>
      </c>
      <c r="AM95" s="181">
        <f t="shared" si="109"/>
        <v>6000</v>
      </c>
      <c r="AN95" s="47">
        <v>12</v>
      </c>
      <c r="AO95" s="181">
        <f t="shared" si="110"/>
        <v>6000</v>
      </c>
      <c r="AP95" s="47">
        <v>12</v>
      </c>
      <c r="AQ95" s="181">
        <f t="shared" si="111"/>
        <v>6000</v>
      </c>
      <c r="AR95" s="47">
        <v>12</v>
      </c>
      <c r="AS95" s="181">
        <f t="shared" si="112"/>
        <v>6000</v>
      </c>
      <c r="AT95" s="47">
        <v>12</v>
      </c>
      <c r="AU95" s="181">
        <f t="shared" si="113"/>
        <v>6000</v>
      </c>
      <c r="AV95" s="47">
        <v>12</v>
      </c>
      <c r="AW95" s="181">
        <f t="shared" si="114"/>
        <v>6000</v>
      </c>
      <c r="AX95" s="47">
        <v>12</v>
      </c>
      <c r="AY95" s="181">
        <f t="shared" si="115"/>
        <v>6000</v>
      </c>
      <c r="AZ95" s="47">
        <v>12</v>
      </c>
      <c r="BA95" s="181">
        <f t="shared" si="116"/>
        <v>6000</v>
      </c>
      <c r="BB95" s="47">
        <v>12</v>
      </c>
      <c r="BC95" s="181">
        <f t="shared" si="117"/>
        <v>6000</v>
      </c>
      <c r="BD95" s="47">
        <v>12</v>
      </c>
      <c r="BE95" s="181">
        <f t="shared" si="118"/>
        <v>6000</v>
      </c>
      <c r="BF95" s="47">
        <v>12</v>
      </c>
      <c r="BG95" s="181">
        <f t="shared" si="119"/>
        <v>6000</v>
      </c>
      <c r="BH95" s="47">
        <v>0</v>
      </c>
      <c r="BI95" s="181">
        <f t="shared" si="120"/>
        <v>0</v>
      </c>
      <c r="BJ95" s="47">
        <f t="shared" si="157"/>
        <v>204</v>
      </c>
      <c r="BK95" s="117">
        <f t="shared" si="157"/>
        <v>102000</v>
      </c>
      <c r="BL95" s="302" t="s">
        <v>472</v>
      </c>
      <c r="BN95" s="113"/>
      <c r="BO95" s="113"/>
      <c r="BP95" s="113"/>
      <c r="BQ95" s="113"/>
      <c r="BR95" s="113">
        <f t="shared" si="172"/>
        <v>0</v>
      </c>
      <c r="BS95" s="113"/>
      <c r="BT95" s="113">
        <f t="shared" si="173"/>
        <v>102000</v>
      </c>
      <c r="BU95" s="125">
        <f t="shared" si="174"/>
        <v>102000</v>
      </c>
      <c r="BV95" s="181">
        <f t="shared" si="121"/>
        <v>102000</v>
      </c>
    </row>
    <row r="96" spans="1:74" s="165" customFormat="1" ht="31.5" x14ac:dyDescent="0.25">
      <c r="B96" s="171">
        <v>41507</v>
      </c>
      <c r="C96" s="171" t="s">
        <v>327</v>
      </c>
      <c r="D96" s="171" t="s">
        <v>73</v>
      </c>
      <c r="E96" s="180">
        <v>5000</v>
      </c>
      <c r="F96" s="47">
        <f t="shared" si="155"/>
        <v>204</v>
      </c>
      <c r="G96" s="134">
        <f t="shared" si="156"/>
        <v>1020000</v>
      </c>
      <c r="H96" s="134">
        <f t="shared" si="158"/>
        <v>510000</v>
      </c>
      <c r="I96" s="134">
        <f t="shared" si="159"/>
        <v>510000</v>
      </c>
      <c r="J96" s="134">
        <f t="shared" si="160"/>
        <v>0</v>
      </c>
      <c r="K96" s="134">
        <f t="shared" si="161"/>
        <v>0</v>
      </c>
      <c r="L96" s="134">
        <f t="shared" si="162"/>
        <v>0</v>
      </c>
      <c r="M96" s="134">
        <f t="shared" si="163"/>
        <v>0</v>
      </c>
      <c r="N96" s="134">
        <f t="shared" si="164"/>
        <v>0</v>
      </c>
      <c r="O96" s="134">
        <f t="shared" si="165"/>
        <v>0</v>
      </c>
      <c r="P96" s="134">
        <f t="shared" si="166"/>
        <v>0</v>
      </c>
      <c r="Q96" s="134">
        <f t="shared" si="167"/>
        <v>0</v>
      </c>
      <c r="R96" s="136">
        <f t="shared" si="123"/>
        <v>51</v>
      </c>
      <c r="S96" s="136">
        <f t="shared" si="124"/>
        <v>51</v>
      </c>
      <c r="T96" s="136">
        <f t="shared" si="125"/>
        <v>51</v>
      </c>
      <c r="U96" s="136">
        <f t="shared" si="126"/>
        <v>51</v>
      </c>
      <c r="V96" s="376">
        <f t="shared" si="168"/>
        <v>255000</v>
      </c>
      <c r="W96" s="376">
        <f t="shared" si="169"/>
        <v>255000</v>
      </c>
      <c r="X96" s="376">
        <f t="shared" si="170"/>
        <v>255000</v>
      </c>
      <c r="Y96" s="376">
        <f t="shared" si="171"/>
        <v>255000</v>
      </c>
      <c r="Z96" s="136">
        <v>12</v>
      </c>
      <c r="AA96" s="181">
        <f t="shared" si="103"/>
        <v>60000</v>
      </c>
      <c r="AB96" s="136">
        <v>12</v>
      </c>
      <c r="AC96" s="181">
        <f t="shared" si="104"/>
        <v>60000</v>
      </c>
      <c r="AD96" s="136">
        <v>12</v>
      </c>
      <c r="AE96" s="181">
        <f t="shared" si="105"/>
        <v>60000</v>
      </c>
      <c r="AF96" s="136">
        <v>12</v>
      </c>
      <c r="AG96" s="181">
        <f t="shared" si="106"/>
        <v>60000</v>
      </c>
      <c r="AH96" s="136">
        <v>12</v>
      </c>
      <c r="AI96" s="181">
        <f t="shared" si="107"/>
        <v>60000</v>
      </c>
      <c r="AJ96" s="136">
        <v>12</v>
      </c>
      <c r="AK96" s="181">
        <f t="shared" si="108"/>
        <v>60000</v>
      </c>
      <c r="AL96" s="136">
        <v>12</v>
      </c>
      <c r="AM96" s="181">
        <f t="shared" si="109"/>
        <v>60000</v>
      </c>
      <c r="AN96" s="136">
        <v>12</v>
      </c>
      <c r="AO96" s="181">
        <f t="shared" si="110"/>
        <v>60000</v>
      </c>
      <c r="AP96" s="136">
        <v>12</v>
      </c>
      <c r="AQ96" s="181">
        <f t="shared" si="111"/>
        <v>60000</v>
      </c>
      <c r="AR96" s="136">
        <v>12</v>
      </c>
      <c r="AS96" s="181">
        <f t="shared" si="112"/>
        <v>60000</v>
      </c>
      <c r="AT96" s="136">
        <v>12</v>
      </c>
      <c r="AU96" s="181">
        <f t="shared" si="113"/>
        <v>60000</v>
      </c>
      <c r="AV96" s="136">
        <v>12</v>
      </c>
      <c r="AW96" s="181">
        <f t="shared" si="114"/>
        <v>60000</v>
      </c>
      <c r="AX96" s="136">
        <v>12</v>
      </c>
      <c r="AY96" s="181">
        <f t="shared" si="115"/>
        <v>60000</v>
      </c>
      <c r="AZ96" s="136">
        <v>12</v>
      </c>
      <c r="BA96" s="181">
        <f t="shared" si="116"/>
        <v>60000</v>
      </c>
      <c r="BB96" s="136">
        <v>12</v>
      </c>
      <c r="BC96" s="181">
        <f t="shared" si="117"/>
        <v>60000</v>
      </c>
      <c r="BD96" s="136">
        <v>12</v>
      </c>
      <c r="BE96" s="181">
        <f t="shared" si="118"/>
        <v>60000</v>
      </c>
      <c r="BF96" s="136">
        <v>12</v>
      </c>
      <c r="BG96" s="181">
        <f t="shared" si="119"/>
        <v>60000</v>
      </c>
      <c r="BH96" s="136">
        <v>0</v>
      </c>
      <c r="BI96" s="181">
        <f t="shared" si="120"/>
        <v>0</v>
      </c>
      <c r="BJ96" s="136">
        <f t="shared" si="157"/>
        <v>204</v>
      </c>
      <c r="BK96" s="331">
        <f t="shared" si="157"/>
        <v>1020000</v>
      </c>
      <c r="BL96" s="307" t="s">
        <v>472</v>
      </c>
      <c r="BN96" s="178"/>
      <c r="BO96" s="178"/>
      <c r="BP96" s="178"/>
      <c r="BQ96" s="178"/>
      <c r="BR96" s="178">
        <f t="shared" si="172"/>
        <v>0</v>
      </c>
      <c r="BS96" s="178"/>
      <c r="BT96" s="178">
        <f t="shared" si="173"/>
        <v>1020000</v>
      </c>
      <c r="BU96" s="166">
        <f t="shared" si="174"/>
        <v>1020000</v>
      </c>
      <c r="BV96" s="191">
        <f t="shared" si="121"/>
        <v>1020000</v>
      </c>
    </row>
    <row r="97" spans="2:74" ht="31.5" x14ac:dyDescent="0.25">
      <c r="B97" s="38">
        <v>41508</v>
      </c>
      <c r="C97" s="38" t="s">
        <v>328</v>
      </c>
      <c r="D97" s="38" t="s">
        <v>73</v>
      </c>
      <c r="E97" s="375">
        <f>0.005*100000</f>
        <v>500</v>
      </c>
      <c r="F97" s="47">
        <f t="shared" si="155"/>
        <v>204</v>
      </c>
      <c r="G97" s="85">
        <f t="shared" si="156"/>
        <v>102000</v>
      </c>
      <c r="H97" s="85">
        <f t="shared" si="158"/>
        <v>51000</v>
      </c>
      <c r="I97" s="85">
        <f t="shared" si="159"/>
        <v>51000</v>
      </c>
      <c r="J97" s="85">
        <f t="shared" si="160"/>
        <v>0</v>
      </c>
      <c r="K97" s="85">
        <f t="shared" si="161"/>
        <v>0</v>
      </c>
      <c r="L97" s="85">
        <f t="shared" si="162"/>
        <v>0</v>
      </c>
      <c r="M97" s="85">
        <f t="shared" si="163"/>
        <v>0</v>
      </c>
      <c r="N97" s="85">
        <f t="shared" si="164"/>
        <v>0</v>
      </c>
      <c r="O97" s="85">
        <f t="shared" si="165"/>
        <v>0</v>
      </c>
      <c r="P97" s="85">
        <f t="shared" si="166"/>
        <v>0</v>
      </c>
      <c r="Q97" s="85">
        <f t="shared" si="167"/>
        <v>0</v>
      </c>
      <c r="R97" s="47">
        <f t="shared" si="123"/>
        <v>51</v>
      </c>
      <c r="S97" s="47">
        <f t="shared" si="124"/>
        <v>51</v>
      </c>
      <c r="T97" s="47">
        <f t="shared" si="125"/>
        <v>51</v>
      </c>
      <c r="U97" s="47">
        <f t="shared" si="126"/>
        <v>51</v>
      </c>
      <c r="V97" s="376">
        <f t="shared" si="168"/>
        <v>25500</v>
      </c>
      <c r="W97" s="376">
        <f t="shared" si="169"/>
        <v>25500</v>
      </c>
      <c r="X97" s="376">
        <f t="shared" si="170"/>
        <v>25500</v>
      </c>
      <c r="Y97" s="376">
        <f t="shared" si="171"/>
        <v>25500</v>
      </c>
      <c r="Z97" s="47">
        <v>12</v>
      </c>
      <c r="AA97" s="181">
        <f t="shared" si="103"/>
        <v>6000</v>
      </c>
      <c r="AB97" s="47">
        <v>12</v>
      </c>
      <c r="AC97" s="181">
        <f t="shared" si="104"/>
        <v>6000</v>
      </c>
      <c r="AD97" s="47">
        <v>12</v>
      </c>
      <c r="AE97" s="181">
        <f t="shared" si="105"/>
        <v>6000</v>
      </c>
      <c r="AF97" s="47">
        <v>12</v>
      </c>
      <c r="AG97" s="181">
        <f t="shared" si="106"/>
        <v>6000</v>
      </c>
      <c r="AH97" s="47">
        <v>12</v>
      </c>
      <c r="AI97" s="181">
        <f t="shared" si="107"/>
        <v>6000</v>
      </c>
      <c r="AJ97" s="47">
        <v>12</v>
      </c>
      <c r="AK97" s="181">
        <f t="shared" si="108"/>
        <v>6000</v>
      </c>
      <c r="AL97" s="47">
        <v>12</v>
      </c>
      <c r="AM97" s="181">
        <f t="shared" si="109"/>
        <v>6000</v>
      </c>
      <c r="AN97" s="47">
        <v>12</v>
      </c>
      <c r="AO97" s="181">
        <f t="shared" si="110"/>
        <v>6000</v>
      </c>
      <c r="AP97" s="47">
        <v>12</v>
      </c>
      <c r="AQ97" s="181">
        <f t="shared" si="111"/>
        <v>6000</v>
      </c>
      <c r="AR97" s="47">
        <v>12</v>
      </c>
      <c r="AS97" s="181">
        <f t="shared" si="112"/>
        <v>6000</v>
      </c>
      <c r="AT97" s="47">
        <v>12</v>
      </c>
      <c r="AU97" s="181">
        <f t="shared" si="113"/>
        <v>6000</v>
      </c>
      <c r="AV97" s="47">
        <v>12</v>
      </c>
      <c r="AW97" s="181">
        <f t="shared" si="114"/>
        <v>6000</v>
      </c>
      <c r="AX97" s="47">
        <v>12</v>
      </c>
      <c r="AY97" s="181">
        <f t="shared" si="115"/>
        <v>6000</v>
      </c>
      <c r="AZ97" s="47">
        <v>12</v>
      </c>
      <c r="BA97" s="181">
        <f t="shared" si="116"/>
        <v>6000</v>
      </c>
      <c r="BB97" s="47">
        <v>12</v>
      </c>
      <c r="BC97" s="181">
        <f t="shared" si="117"/>
        <v>6000</v>
      </c>
      <c r="BD97" s="47">
        <v>12</v>
      </c>
      <c r="BE97" s="181">
        <f t="shared" si="118"/>
        <v>6000</v>
      </c>
      <c r="BF97" s="47">
        <v>12</v>
      </c>
      <c r="BG97" s="181">
        <f t="shared" si="119"/>
        <v>6000</v>
      </c>
      <c r="BH97" s="47">
        <v>0</v>
      </c>
      <c r="BI97" s="181">
        <f t="shared" si="120"/>
        <v>0</v>
      </c>
      <c r="BJ97" s="47">
        <f t="shared" si="157"/>
        <v>204</v>
      </c>
      <c r="BK97" s="117">
        <f t="shared" si="157"/>
        <v>102000</v>
      </c>
      <c r="BL97" s="302" t="s">
        <v>472</v>
      </c>
      <c r="BN97" s="113"/>
      <c r="BO97" s="113"/>
      <c r="BP97" s="113"/>
      <c r="BQ97" s="113"/>
      <c r="BR97" s="113">
        <f t="shared" si="172"/>
        <v>0</v>
      </c>
      <c r="BS97" s="113"/>
      <c r="BT97" s="113">
        <f t="shared" si="173"/>
        <v>102000</v>
      </c>
      <c r="BU97" s="125">
        <f t="shared" si="174"/>
        <v>102000</v>
      </c>
      <c r="BV97" s="181">
        <f t="shared" si="121"/>
        <v>102000</v>
      </c>
    </row>
    <row r="98" spans="2:74" s="165" customFormat="1" x14ac:dyDescent="0.25">
      <c r="B98" s="171">
        <v>41509</v>
      </c>
      <c r="C98" s="171" t="s">
        <v>329</v>
      </c>
      <c r="D98" s="171" t="s">
        <v>17</v>
      </c>
      <c r="E98" s="180">
        <v>3000</v>
      </c>
      <c r="F98" s="47">
        <f t="shared" si="155"/>
        <v>17</v>
      </c>
      <c r="G98" s="134">
        <f t="shared" si="156"/>
        <v>51000</v>
      </c>
      <c r="H98" s="134">
        <f t="shared" si="158"/>
        <v>25500</v>
      </c>
      <c r="I98" s="134">
        <f t="shared" si="159"/>
        <v>25500</v>
      </c>
      <c r="J98" s="134">
        <f t="shared" si="160"/>
        <v>0</v>
      </c>
      <c r="K98" s="134">
        <f t="shared" si="161"/>
        <v>0</v>
      </c>
      <c r="L98" s="134">
        <f t="shared" si="162"/>
        <v>0</v>
      </c>
      <c r="M98" s="134">
        <f t="shared" si="163"/>
        <v>0</v>
      </c>
      <c r="N98" s="134">
        <f t="shared" si="164"/>
        <v>0</v>
      </c>
      <c r="O98" s="134">
        <f t="shared" si="165"/>
        <v>0</v>
      </c>
      <c r="P98" s="134">
        <f t="shared" si="166"/>
        <v>0</v>
      </c>
      <c r="Q98" s="134">
        <f t="shared" si="167"/>
        <v>0</v>
      </c>
      <c r="R98" s="136">
        <f t="shared" si="123"/>
        <v>4.25</v>
      </c>
      <c r="S98" s="136">
        <f t="shared" si="124"/>
        <v>4.25</v>
      </c>
      <c r="T98" s="136">
        <f t="shared" si="125"/>
        <v>4.25</v>
      </c>
      <c r="U98" s="136">
        <f t="shared" si="126"/>
        <v>4.25</v>
      </c>
      <c r="V98" s="376">
        <f t="shared" si="168"/>
        <v>12750</v>
      </c>
      <c r="W98" s="376">
        <f t="shared" si="169"/>
        <v>12750</v>
      </c>
      <c r="X98" s="376">
        <f t="shared" si="170"/>
        <v>12750</v>
      </c>
      <c r="Y98" s="376">
        <f t="shared" si="171"/>
        <v>12750</v>
      </c>
      <c r="Z98" s="136">
        <v>1</v>
      </c>
      <c r="AA98" s="181">
        <f t="shared" si="103"/>
        <v>3000</v>
      </c>
      <c r="AB98" s="136">
        <v>1</v>
      </c>
      <c r="AC98" s="181">
        <f t="shared" si="104"/>
        <v>3000</v>
      </c>
      <c r="AD98" s="136">
        <v>1</v>
      </c>
      <c r="AE98" s="181">
        <f t="shared" si="105"/>
        <v>3000</v>
      </c>
      <c r="AF98" s="136">
        <v>1</v>
      </c>
      <c r="AG98" s="181">
        <f t="shared" si="106"/>
        <v>3000</v>
      </c>
      <c r="AH98" s="136">
        <v>1</v>
      </c>
      <c r="AI98" s="181">
        <f t="shared" si="107"/>
        <v>3000</v>
      </c>
      <c r="AJ98" s="136">
        <v>1</v>
      </c>
      <c r="AK98" s="181">
        <f t="shared" si="108"/>
        <v>3000</v>
      </c>
      <c r="AL98" s="136">
        <v>1</v>
      </c>
      <c r="AM98" s="181">
        <f t="shared" si="109"/>
        <v>3000</v>
      </c>
      <c r="AN98" s="136">
        <v>1</v>
      </c>
      <c r="AO98" s="181">
        <f t="shared" si="110"/>
        <v>3000</v>
      </c>
      <c r="AP98" s="136">
        <v>1</v>
      </c>
      <c r="AQ98" s="181">
        <f t="shared" si="111"/>
        <v>3000</v>
      </c>
      <c r="AR98" s="136">
        <v>1</v>
      </c>
      <c r="AS98" s="181">
        <f t="shared" si="112"/>
        <v>3000</v>
      </c>
      <c r="AT98" s="136">
        <v>1</v>
      </c>
      <c r="AU98" s="181">
        <f t="shared" si="113"/>
        <v>3000</v>
      </c>
      <c r="AV98" s="136">
        <v>1</v>
      </c>
      <c r="AW98" s="181">
        <f t="shared" si="114"/>
        <v>3000</v>
      </c>
      <c r="AX98" s="136">
        <v>1</v>
      </c>
      <c r="AY98" s="181">
        <f t="shared" si="115"/>
        <v>3000</v>
      </c>
      <c r="AZ98" s="136">
        <v>1</v>
      </c>
      <c r="BA98" s="181">
        <f t="shared" si="116"/>
        <v>3000</v>
      </c>
      <c r="BB98" s="136">
        <v>1</v>
      </c>
      <c r="BC98" s="181">
        <f t="shared" si="117"/>
        <v>3000</v>
      </c>
      <c r="BD98" s="136">
        <v>1</v>
      </c>
      <c r="BE98" s="181">
        <f t="shared" si="118"/>
        <v>3000</v>
      </c>
      <c r="BF98" s="136">
        <v>1</v>
      </c>
      <c r="BG98" s="181">
        <f t="shared" si="119"/>
        <v>3000</v>
      </c>
      <c r="BH98" s="136">
        <v>0</v>
      </c>
      <c r="BI98" s="181">
        <f t="shared" si="120"/>
        <v>0</v>
      </c>
      <c r="BJ98" s="136">
        <f t="shared" si="157"/>
        <v>17</v>
      </c>
      <c r="BK98" s="331">
        <f t="shared" si="157"/>
        <v>51000</v>
      </c>
      <c r="BL98" s="307" t="s">
        <v>472</v>
      </c>
      <c r="BN98" s="178"/>
      <c r="BO98" s="178"/>
      <c r="BP98" s="178"/>
      <c r="BQ98" s="178"/>
      <c r="BR98" s="178">
        <f t="shared" si="172"/>
        <v>0</v>
      </c>
      <c r="BS98" s="178"/>
      <c r="BT98" s="178">
        <f t="shared" si="173"/>
        <v>51000</v>
      </c>
      <c r="BU98" s="166">
        <f t="shared" si="174"/>
        <v>51000</v>
      </c>
      <c r="BV98" s="191">
        <f t="shared" si="121"/>
        <v>51000</v>
      </c>
    </row>
    <row r="99" spans="2:74" x14ac:dyDescent="0.25">
      <c r="B99" s="38">
        <v>41510</v>
      </c>
      <c r="C99" s="38" t="s">
        <v>330</v>
      </c>
      <c r="D99" s="38" t="s">
        <v>17</v>
      </c>
      <c r="E99" s="375"/>
      <c r="F99" s="47">
        <f t="shared" si="155"/>
        <v>0</v>
      </c>
      <c r="G99" s="85">
        <f t="shared" si="156"/>
        <v>0</v>
      </c>
      <c r="H99" s="85">
        <f t="shared" si="158"/>
        <v>0</v>
      </c>
      <c r="I99" s="85">
        <f t="shared" si="159"/>
        <v>0</v>
      </c>
      <c r="J99" s="85">
        <f t="shared" si="160"/>
        <v>0</v>
      </c>
      <c r="K99" s="85">
        <f t="shared" si="161"/>
        <v>0</v>
      </c>
      <c r="L99" s="85">
        <f t="shared" si="162"/>
        <v>0</v>
      </c>
      <c r="M99" s="85">
        <f t="shared" si="163"/>
        <v>0</v>
      </c>
      <c r="N99" s="85">
        <f t="shared" si="164"/>
        <v>0</v>
      </c>
      <c r="O99" s="85">
        <f t="shared" si="165"/>
        <v>0</v>
      </c>
      <c r="P99" s="85">
        <f t="shared" si="166"/>
        <v>0</v>
      </c>
      <c r="Q99" s="85">
        <f t="shared" si="167"/>
        <v>0</v>
      </c>
      <c r="R99" s="47">
        <f t="shared" si="123"/>
        <v>0</v>
      </c>
      <c r="S99" s="47">
        <f t="shared" si="124"/>
        <v>0</v>
      </c>
      <c r="T99" s="47">
        <f t="shared" si="125"/>
        <v>0</v>
      </c>
      <c r="U99" s="47">
        <f t="shared" si="126"/>
        <v>0</v>
      </c>
      <c r="V99" s="376">
        <f t="shared" si="168"/>
        <v>0</v>
      </c>
      <c r="W99" s="376">
        <f t="shared" si="169"/>
        <v>0</v>
      </c>
      <c r="X99" s="376">
        <f t="shared" si="170"/>
        <v>0</v>
      </c>
      <c r="Y99" s="376">
        <f t="shared" si="171"/>
        <v>0</v>
      </c>
      <c r="Z99" s="47">
        <v>0</v>
      </c>
      <c r="AA99" s="181">
        <f t="shared" si="103"/>
        <v>0</v>
      </c>
      <c r="AB99" s="47">
        <v>0</v>
      </c>
      <c r="AC99" s="181">
        <f t="shared" si="104"/>
        <v>0</v>
      </c>
      <c r="AD99" s="47">
        <v>0</v>
      </c>
      <c r="AE99" s="181">
        <f t="shared" si="105"/>
        <v>0</v>
      </c>
      <c r="AF99" s="47">
        <v>0</v>
      </c>
      <c r="AG99" s="181">
        <f t="shared" si="106"/>
        <v>0</v>
      </c>
      <c r="AH99" s="47">
        <v>0</v>
      </c>
      <c r="AI99" s="181">
        <f t="shared" si="107"/>
        <v>0</v>
      </c>
      <c r="AJ99" s="47">
        <v>0</v>
      </c>
      <c r="AK99" s="181">
        <f t="shared" si="108"/>
        <v>0</v>
      </c>
      <c r="AL99" s="47">
        <v>0</v>
      </c>
      <c r="AM99" s="181">
        <f t="shared" si="109"/>
        <v>0</v>
      </c>
      <c r="AN99" s="47">
        <v>0</v>
      </c>
      <c r="AO99" s="181">
        <f t="shared" si="110"/>
        <v>0</v>
      </c>
      <c r="AP99" s="47">
        <v>0</v>
      </c>
      <c r="AQ99" s="181">
        <f t="shared" si="111"/>
        <v>0</v>
      </c>
      <c r="AR99" s="47">
        <v>0</v>
      </c>
      <c r="AS99" s="181">
        <f t="shared" si="112"/>
        <v>0</v>
      </c>
      <c r="AT99" s="47">
        <v>0</v>
      </c>
      <c r="AU99" s="181">
        <f t="shared" si="113"/>
        <v>0</v>
      </c>
      <c r="AV99" s="47">
        <v>0</v>
      </c>
      <c r="AW99" s="181">
        <f t="shared" si="114"/>
        <v>0</v>
      </c>
      <c r="AX99" s="47">
        <v>0</v>
      </c>
      <c r="AY99" s="181">
        <f t="shared" si="115"/>
        <v>0</v>
      </c>
      <c r="AZ99" s="47">
        <v>0</v>
      </c>
      <c r="BA99" s="181">
        <f t="shared" si="116"/>
        <v>0</v>
      </c>
      <c r="BB99" s="47">
        <v>0</v>
      </c>
      <c r="BC99" s="181">
        <f t="shared" si="117"/>
        <v>0</v>
      </c>
      <c r="BD99" s="47">
        <v>0</v>
      </c>
      <c r="BE99" s="181">
        <f t="shared" si="118"/>
        <v>0</v>
      </c>
      <c r="BF99" s="47">
        <v>0</v>
      </c>
      <c r="BG99" s="181">
        <f t="shared" si="119"/>
        <v>0</v>
      </c>
      <c r="BH99" s="47">
        <v>0</v>
      </c>
      <c r="BI99" s="181">
        <f t="shared" si="120"/>
        <v>0</v>
      </c>
      <c r="BJ99" s="47">
        <f t="shared" si="157"/>
        <v>0</v>
      </c>
      <c r="BK99" s="117">
        <f t="shared" si="157"/>
        <v>0</v>
      </c>
      <c r="BL99" s="302" t="s">
        <v>472</v>
      </c>
      <c r="BN99" s="113"/>
      <c r="BO99" s="113"/>
      <c r="BP99" s="113"/>
      <c r="BQ99" s="113"/>
      <c r="BR99" s="113">
        <f t="shared" si="172"/>
        <v>0</v>
      </c>
      <c r="BS99" s="113"/>
      <c r="BT99" s="113">
        <f t="shared" si="173"/>
        <v>0</v>
      </c>
      <c r="BU99" s="125">
        <f t="shared" si="174"/>
        <v>0</v>
      </c>
      <c r="BV99" s="181">
        <f t="shared" si="121"/>
        <v>0</v>
      </c>
    </row>
    <row r="100" spans="2:74" s="165" customFormat="1" ht="31.5" x14ac:dyDescent="0.25">
      <c r="B100" s="171">
        <v>41511</v>
      </c>
      <c r="C100" s="38" t="s">
        <v>331</v>
      </c>
      <c r="D100" s="171" t="s">
        <v>73</v>
      </c>
      <c r="E100" s="180">
        <v>5000</v>
      </c>
      <c r="F100" s="47">
        <f t="shared" si="155"/>
        <v>102</v>
      </c>
      <c r="G100" s="134">
        <f t="shared" si="156"/>
        <v>510000</v>
      </c>
      <c r="H100" s="134">
        <f t="shared" si="158"/>
        <v>255000</v>
      </c>
      <c r="I100" s="134">
        <f t="shared" si="159"/>
        <v>255000</v>
      </c>
      <c r="J100" s="134">
        <f t="shared" si="160"/>
        <v>0</v>
      </c>
      <c r="K100" s="134">
        <f t="shared" si="161"/>
        <v>0</v>
      </c>
      <c r="L100" s="134">
        <f t="shared" si="162"/>
        <v>0</v>
      </c>
      <c r="M100" s="134">
        <f t="shared" si="163"/>
        <v>0</v>
      </c>
      <c r="N100" s="134">
        <f t="shared" si="164"/>
        <v>0</v>
      </c>
      <c r="O100" s="134">
        <f t="shared" si="165"/>
        <v>0</v>
      </c>
      <c r="P100" s="134">
        <f t="shared" si="166"/>
        <v>0</v>
      </c>
      <c r="Q100" s="134">
        <f t="shared" si="167"/>
        <v>0</v>
      </c>
      <c r="R100" s="136">
        <f t="shared" si="123"/>
        <v>25.5</v>
      </c>
      <c r="S100" s="136">
        <f t="shared" si="124"/>
        <v>25.5</v>
      </c>
      <c r="T100" s="136">
        <f t="shared" si="125"/>
        <v>25.5</v>
      </c>
      <c r="U100" s="136">
        <f t="shared" si="126"/>
        <v>25.5</v>
      </c>
      <c r="V100" s="376">
        <f t="shared" si="168"/>
        <v>127500</v>
      </c>
      <c r="W100" s="376">
        <f t="shared" si="169"/>
        <v>127500</v>
      </c>
      <c r="X100" s="376">
        <f t="shared" si="170"/>
        <v>127500</v>
      </c>
      <c r="Y100" s="376">
        <f t="shared" si="171"/>
        <v>127500</v>
      </c>
      <c r="Z100" s="136">
        <v>6</v>
      </c>
      <c r="AA100" s="181">
        <f t="shared" si="103"/>
        <v>30000</v>
      </c>
      <c r="AB100" s="136">
        <v>6</v>
      </c>
      <c r="AC100" s="181">
        <f t="shared" si="104"/>
        <v>30000</v>
      </c>
      <c r="AD100" s="136">
        <v>6</v>
      </c>
      <c r="AE100" s="181">
        <f t="shared" si="105"/>
        <v>30000</v>
      </c>
      <c r="AF100" s="136">
        <v>6</v>
      </c>
      <c r="AG100" s="181">
        <f t="shared" si="106"/>
        <v>30000</v>
      </c>
      <c r="AH100" s="136">
        <v>6</v>
      </c>
      <c r="AI100" s="181">
        <f t="shared" si="107"/>
        <v>30000</v>
      </c>
      <c r="AJ100" s="136">
        <v>6</v>
      </c>
      <c r="AK100" s="181">
        <f t="shared" si="108"/>
        <v>30000</v>
      </c>
      <c r="AL100" s="136">
        <v>6</v>
      </c>
      <c r="AM100" s="181">
        <f t="shared" si="109"/>
        <v>30000</v>
      </c>
      <c r="AN100" s="136">
        <v>6</v>
      </c>
      <c r="AO100" s="181">
        <f t="shared" si="110"/>
        <v>30000</v>
      </c>
      <c r="AP100" s="136">
        <v>6</v>
      </c>
      <c r="AQ100" s="181">
        <f t="shared" si="111"/>
        <v>30000</v>
      </c>
      <c r="AR100" s="136">
        <v>6</v>
      </c>
      <c r="AS100" s="181">
        <f t="shared" si="112"/>
        <v>30000</v>
      </c>
      <c r="AT100" s="136">
        <v>6</v>
      </c>
      <c r="AU100" s="181">
        <f t="shared" si="113"/>
        <v>30000</v>
      </c>
      <c r="AV100" s="136">
        <v>6</v>
      </c>
      <c r="AW100" s="181">
        <f t="shared" si="114"/>
        <v>30000</v>
      </c>
      <c r="AX100" s="136">
        <v>6</v>
      </c>
      <c r="AY100" s="181">
        <f t="shared" si="115"/>
        <v>30000</v>
      </c>
      <c r="AZ100" s="136">
        <v>6</v>
      </c>
      <c r="BA100" s="181">
        <f t="shared" si="116"/>
        <v>30000</v>
      </c>
      <c r="BB100" s="136">
        <v>6</v>
      </c>
      <c r="BC100" s="181">
        <f t="shared" si="117"/>
        <v>30000</v>
      </c>
      <c r="BD100" s="136">
        <v>6</v>
      </c>
      <c r="BE100" s="181">
        <f t="shared" si="118"/>
        <v>30000</v>
      </c>
      <c r="BF100" s="136">
        <v>6</v>
      </c>
      <c r="BG100" s="181">
        <f t="shared" si="119"/>
        <v>30000</v>
      </c>
      <c r="BH100" s="136">
        <v>0</v>
      </c>
      <c r="BI100" s="181">
        <f t="shared" si="120"/>
        <v>0</v>
      </c>
      <c r="BJ100" s="136">
        <f t="shared" si="157"/>
        <v>102</v>
      </c>
      <c r="BK100" s="331">
        <f t="shared" si="157"/>
        <v>510000</v>
      </c>
      <c r="BL100" s="307" t="s">
        <v>472</v>
      </c>
      <c r="BN100" s="178"/>
      <c r="BO100" s="178"/>
      <c r="BP100" s="178"/>
      <c r="BQ100" s="178"/>
      <c r="BR100" s="178">
        <f t="shared" si="172"/>
        <v>0</v>
      </c>
      <c r="BS100" s="178"/>
      <c r="BT100" s="178">
        <f t="shared" si="173"/>
        <v>510000</v>
      </c>
      <c r="BU100" s="166">
        <f t="shared" si="174"/>
        <v>510000</v>
      </c>
      <c r="BV100" s="191">
        <f t="shared" si="121"/>
        <v>510000</v>
      </c>
    </row>
    <row r="101" spans="2:74" ht="31.5" x14ac:dyDescent="0.25">
      <c r="B101" s="38">
        <v>41512</v>
      </c>
      <c r="C101" s="38" t="s">
        <v>332</v>
      </c>
      <c r="D101" s="38" t="s">
        <v>17</v>
      </c>
      <c r="E101" s="375"/>
      <c r="F101" s="47">
        <f t="shared" si="155"/>
        <v>0</v>
      </c>
      <c r="G101" s="85">
        <f t="shared" si="156"/>
        <v>0</v>
      </c>
      <c r="H101" s="85">
        <f t="shared" si="158"/>
        <v>0</v>
      </c>
      <c r="I101" s="85">
        <f t="shared" si="159"/>
        <v>0</v>
      </c>
      <c r="J101" s="85">
        <f t="shared" si="160"/>
        <v>0</v>
      </c>
      <c r="K101" s="85">
        <f t="shared" si="161"/>
        <v>0</v>
      </c>
      <c r="L101" s="85">
        <f t="shared" si="162"/>
        <v>0</v>
      </c>
      <c r="M101" s="85">
        <f t="shared" si="163"/>
        <v>0</v>
      </c>
      <c r="N101" s="85">
        <f t="shared" si="164"/>
        <v>0</v>
      </c>
      <c r="O101" s="85">
        <f t="shared" si="165"/>
        <v>0</v>
      </c>
      <c r="P101" s="85">
        <f t="shared" si="166"/>
        <v>0</v>
      </c>
      <c r="Q101" s="85">
        <f t="shared" si="167"/>
        <v>0</v>
      </c>
      <c r="R101" s="47">
        <f t="shared" si="123"/>
        <v>0</v>
      </c>
      <c r="S101" s="47">
        <f t="shared" si="124"/>
        <v>0</v>
      </c>
      <c r="T101" s="47">
        <f t="shared" si="125"/>
        <v>0</v>
      </c>
      <c r="U101" s="47">
        <f t="shared" si="126"/>
        <v>0</v>
      </c>
      <c r="V101" s="376">
        <f t="shared" si="168"/>
        <v>0</v>
      </c>
      <c r="W101" s="376">
        <f t="shared" si="169"/>
        <v>0</v>
      </c>
      <c r="X101" s="376">
        <f t="shared" si="170"/>
        <v>0</v>
      </c>
      <c r="Y101" s="376">
        <f t="shared" si="171"/>
        <v>0</v>
      </c>
      <c r="Z101" s="47">
        <v>0</v>
      </c>
      <c r="AA101" s="181">
        <f t="shared" si="103"/>
        <v>0</v>
      </c>
      <c r="AB101" s="47">
        <v>0</v>
      </c>
      <c r="AC101" s="181">
        <f t="shared" si="104"/>
        <v>0</v>
      </c>
      <c r="AD101" s="47">
        <v>0</v>
      </c>
      <c r="AE101" s="181">
        <f t="shared" si="105"/>
        <v>0</v>
      </c>
      <c r="AF101" s="47">
        <v>0</v>
      </c>
      <c r="AG101" s="181">
        <f t="shared" si="106"/>
        <v>0</v>
      </c>
      <c r="AH101" s="47">
        <v>0</v>
      </c>
      <c r="AI101" s="181">
        <f t="shared" si="107"/>
        <v>0</v>
      </c>
      <c r="AJ101" s="47">
        <v>0</v>
      </c>
      <c r="AK101" s="181">
        <f t="shared" si="108"/>
        <v>0</v>
      </c>
      <c r="AL101" s="47">
        <v>0</v>
      </c>
      <c r="AM101" s="181">
        <f t="shared" si="109"/>
        <v>0</v>
      </c>
      <c r="AN101" s="47">
        <v>0</v>
      </c>
      <c r="AO101" s="181">
        <f t="shared" si="110"/>
        <v>0</v>
      </c>
      <c r="AP101" s="47">
        <v>0</v>
      </c>
      <c r="AQ101" s="181">
        <f t="shared" si="111"/>
        <v>0</v>
      </c>
      <c r="AR101" s="47">
        <v>0</v>
      </c>
      <c r="AS101" s="181">
        <f t="shared" si="112"/>
        <v>0</v>
      </c>
      <c r="AT101" s="47">
        <v>0</v>
      </c>
      <c r="AU101" s="181">
        <f t="shared" si="113"/>
        <v>0</v>
      </c>
      <c r="AV101" s="47">
        <v>0</v>
      </c>
      <c r="AW101" s="181">
        <f t="shared" si="114"/>
        <v>0</v>
      </c>
      <c r="AX101" s="47">
        <v>0</v>
      </c>
      <c r="AY101" s="181">
        <f t="shared" si="115"/>
        <v>0</v>
      </c>
      <c r="AZ101" s="47">
        <v>0</v>
      </c>
      <c r="BA101" s="181">
        <f t="shared" si="116"/>
        <v>0</v>
      </c>
      <c r="BB101" s="47">
        <v>0</v>
      </c>
      <c r="BC101" s="181">
        <f t="shared" si="117"/>
        <v>0</v>
      </c>
      <c r="BD101" s="47">
        <v>0</v>
      </c>
      <c r="BE101" s="181">
        <f t="shared" si="118"/>
        <v>0</v>
      </c>
      <c r="BF101" s="47">
        <v>0</v>
      </c>
      <c r="BG101" s="181">
        <f t="shared" si="119"/>
        <v>0</v>
      </c>
      <c r="BH101" s="47">
        <v>0</v>
      </c>
      <c r="BI101" s="181">
        <f t="shared" si="120"/>
        <v>0</v>
      </c>
      <c r="BJ101" s="47">
        <f t="shared" si="157"/>
        <v>0</v>
      </c>
      <c r="BK101" s="117">
        <f t="shared" si="157"/>
        <v>0</v>
      </c>
      <c r="BL101" s="302" t="s">
        <v>472</v>
      </c>
      <c r="BN101" s="113"/>
      <c r="BO101" s="113"/>
      <c r="BP101" s="113"/>
      <c r="BQ101" s="113"/>
      <c r="BR101" s="113">
        <f t="shared" si="172"/>
        <v>0</v>
      </c>
      <c r="BS101" s="113"/>
      <c r="BT101" s="113">
        <f t="shared" si="173"/>
        <v>0</v>
      </c>
      <c r="BU101" s="125">
        <f t="shared" si="174"/>
        <v>0</v>
      </c>
      <c r="BV101" s="181">
        <f t="shared" si="121"/>
        <v>0</v>
      </c>
    </row>
    <row r="102" spans="2:74" ht="63" x14ac:dyDescent="0.25">
      <c r="B102" s="38">
        <v>41513</v>
      </c>
      <c r="C102" s="38" t="s">
        <v>831</v>
      </c>
      <c r="D102" s="38" t="s">
        <v>17</v>
      </c>
      <c r="E102" s="375">
        <v>2500</v>
      </c>
      <c r="F102" s="47">
        <f t="shared" si="155"/>
        <v>612</v>
      </c>
      <c r="G102" s="85">
        <f t="shared" si="156"/>
        <v>1530000</v>
      </c>
      <c r="H102" s="85">
        <f t="shared" si="158"/>
        <v>765000</v>
      </c>
      <c r="I102" s="85">
        <f t="shared" si="159"/>
        <v>765000</v>
      </c>
      <c r="J102" s="85">
        <f t="shared" si="160"/>
        <v>0</v>
      </c>
      <c r="K102" s="85">
        <f t="shared" si="161"/>
        <v>0</v>
      </c>
      <c r="L102" s="85">
        <f t="shared" si="162"/>
        <v>0</v>
      </c>
      <c r="M102" s="85">
        <f t="shared" si="163"/>
        <v>0</v>
      </c>
      <c r="N102" s="85">
        <f t="shared" si="164"/>
        <v>0</v>
      </c>
      <c r="O102" s="85">
        <f t="shared" si="165"/>
        <v>0</v>
      </c>
      <c r="P102" s="85">
        <f t="shared" si="166"/>
        <v>0</v>
      </c>
      <c r="Q102" s="85">
        <f t="shared" si="167"/>
        <v>0</v>
      </c>
      <c r="R102" s="47">
        <f t="shared" si="123"/>
        <v>153</v>
      </c>
      <c r="S102" s="47">
        <f t="shared" si="124"/>
        <v>153</v>
      </c>
      <c r="T102" s="47">
        <f t="shared" si="125"/>
        <v>153</v>
      </c>
      <c r="U102" s="47">
        <f t="shared" si="126"/>
        <v>153</v>
      </c>
      <c r="V102" s="376">
        <f t="shared" si="168"/>
        <v>382500</v>
      </c>
      <c r="W102" s="376">
        <f t="shared" si="169"/>
        <v>382500</v>
      </c>
      <c r="X102" s="376">
        <f t="shared" si="170"/>
        <v>382500</v>
      </c>
      <c r="Y102" s="376">
        <f t="shared" si="171"/>
        <v>382500</v>
      </c>
      <c r="Z102" s="47">
        <f>3*12</f>
        <v>36</v>
      </c>
      <c r="AA102" s="181">
        <f t="shared" si="103"/>
        <v>90000</v>
      </c>
      <c r="AB102" s="47">
        <v>36</v>
      </c>
      <c r="AC102" s="181">
        <f t="shared" si="104"/>
        <v>90000</v>
      </c>
      <c r="AD102" s="47">
        <v>36</v>
      </c>
      <c r="AE102" s="181">
        <f t="shared" si="105"/>
        <v>90000</v>
      </c>
      <c r="AF102" s="47">
        <v>36</v>
      </c>
      <c r="AG102" s="181">
        <f t="shared" si="106"/>
        <v>90000</v>
      </c>
      <c r="AH102" s="47">
        <v>36</v>
      </c>
      <c r="AI102" s="181">
        <f t="shared" si="107"/>
        <v>90000</v>
      </c>
      <c r="AJ102" s="47">
        <v>36</v>
      </c>
      <c r="AK102" s="181">
        <f t="shared" si="108"/>
        <v>90000</v>
      </c>
      <c r="AL102" s="47">
        <v>36</v>
      </c>
      <c r="AM102" s="181">
        <f t="shared" si="109"/>
        <v>90000</v>
      </c>
      <c r="AN102" s="47">
        <v>36</v>
      </c>
      <c r="AO102" s="181">
        <f t="shared" si="110"/>
        <v>90000</v>
      </c>
      <c r="AP102" s="47">
        <v>36</v>
      </c>
      <c r="AQ102" s="181">
        <f t="shared" si="111"/>
        <v>90000</v>
      </c>
      <c r="AR102" s="47">
        <v>36</v>
      </c>
      <c r="AS102" s="181">
        <f t="shared" si="112"/>
        <v>90000</v>
      </c>
      <c r="AT102" s="47">
        <v>36</v>
      </c>
      <c r="AU102" s="181">
        <f t="shared" si="113"/>
        <v>90000</v>
      </c>
      <c r="AV102" s="47">
        <v>36</v>
      </c>
      <c r="AW102" s="181">
        <f t="shared" si="114"/>
        <v>90000</v>
      </c>
      <c r="AX102" s="47">
        <v>36</v>
      </c>
      <c r="AY102" s="181">
        <f t="shared" si="115"/>
        <v>90000</v>
      </c>
      <c r="AZ102" s="47">
        <v>36</v>
      </c>
      <c r="BA102" s="181">
        <f t="shared" si="116"/>
        <v>90000</v>
      </c>
      <c r="BB102" s="47">
        <v>36</v>
      </c>
      <c r="BC102" s="181">
        <f t="shared" si="117"/>
        <v>90000</v>
      </c>
      <c r="BD102" s="47">
        <v>36</v>
      </c>
      <c r="BE102" s="181">
        <f t="shared" si="118"/>
        <v>90000</v>
      </c>
      <c r="BF102" s="47">
        <v>36</v>
      </c>
      <c r="BG102" s="181">
        <f t="shared" si="119"/>
        <v>90000</v>
      </c>
      <c r="BH102" s="47">
        <v>0</v>
      </c>
      <c r="BI102" s="181">
        <f t="shared" si="120"/>
        <v>0</v>
      </c>
      <c r="BJ102" s="47">
        <f t="shared" si="157"/>
        <v>612</v>
      </c>
      <c r="BK102" s="117">
        <f t="shared" si="157"/>
        <v>1530000</v>
      </c>
      <c r="BL102" s="302" t="s">
        <v>472</v>
      </c>
      <c r="BN102" s="113"/>
      <c r="BO102" s="113"/>
      <c r="BP102" s="113"/>
      <c r="BQ102" s="113"/>
      <c r="BR102" s="113">
        <f t="shared" si="172"/>
        <v>0</v>
      </c>
      <c r="BS102" s="113"/>
      <c r="BT102" s="113">
        <f t="shared" si="173"/>
        <v>1530000</v>
      </c>
      <c r="BU102" s="125">
        <f t="shared" si="174"/>
        <v>1530000</v>
      </c>
      <c r="BV102" s="181">
        <f t="shared" si="121"/>
        <v>1530000</v>
      </c>
    </row>
    <row r="103" spans="2:74" s="165" customFormat="1" ht="31.5" x14ac:dyDescent="0.25">
      <c r="B103" s="171">
        <v>41514</v>
      </c>
      <c r="C103" s="171" t="s">
        <v>333</v>
      </c>
      <c r="D103" s="171" t="s">
        <v>27</v>
      </c>
      <c r="E103" s="683">
        <v>20000</v>
      </c>
      <c r="F103" s="47">
        <f t="shared" si="155"/>
        <v>204</v>
      </c>
      <c r="G103" s="134">
        <f t="shared" si="156"/>
        <v>4080000</v>
      </c>
      <c r="H103" s="134">
        <f t="shared" si="158"/>
        <v>2040000</v>
      </c>
      <c r="I103" s="134">
        <f t="shared" si="159"/>
        <v>2040000</v>
      </c>
      <c r="J103" s="134">
        <f t="shared" si="160"/>
        <v>0</v>
      </c>
      <c r="K103" s="134">
        <f t="shared" si="161"/>
        <v>0</v>
      </c>
      <c r="L103" s="134">
        <f t="shared" si="162"/>
        <v>0</v>
      </c>
      <c r="M103" s="134">
        <f t="shared" si="163"/>
        <v>0</v>
      </c>
      <c r="N103" s="134">
        <f t="shared" si="164"/>
        <v>0</v>
      </c>
      <c r="O103" s="134">
        <f t="shared" si="165"/>
        <v>0</v>
      </c>
      <c r="P103" s="134">
        <f t="shared" si="166"/>
        <v>0</v>
      </c>
      <c r="Q103" s="134">
        <f t="shared" si="167"/>
        <v>0</v>
      </c>
      <c r="R103" s="136">
        <f t="shared" si="123"/>
        <v>51</v>
      </c>
      <c r="S103" s="136">
        <f t="shared" si="124"/>
        <v>51</v>
      </c>
      <c r="T103" s="136">
        <f t="shared" si="125"/>
        <v>51</v>
      </c>
      <c r="U103" s="136">
        <f t="shared" si="126"/>
        <v>51</v>
      </c>
      <c r="V103" s="376">
        <f t="shared" si="168"/>
        <v>1020000</v>
      </c>
      <c r="W103" s="376">
        <f t="shared" si="169"/>
        <v>1020000</v>
      </c>
      <c r="X103" s="376">
        <f t="shared" si="170"/>
        <v>1020000</v>
      </c>
      <c r="Y103" s="376">
        <f t="shared" si="171"/>
        <v>1020000</v>
      </c>
      <c r="Z103" s="136">
        <v>12</v>
      </c>
      <c r="AA103" s="181">
        <f t="shared" si="103"/>
        <v>240000</v>
      </c>
      <c r="AB103" s="136">
        <v>12</v>
      </c>
      <c r="AC103" s="181">
        <f t="shared" si="104"/>
        <v>240000</v>
      </c>
      <c r="AD103" s="136">
        <v>12</v>
      </c>
      <c r="AE103" s="181">
        <f t="shared" si="105"/>
        <v>240000</v>
      </c>
      <c r="AF103" s="136">
        <v>12</v>
      </c>
      <c r="AG103" s="181">
        <f t="shared" si="106"/>
        <v>240000</v>
      </c>
      <c r="AH103" s="136">
        <v>12</v>
      </c>
      <c r="AI103" s="181">
        <f t="shared" si="107"/>
        <v>240000</v>
      </c>
      <c r="AJ103" s="136">
        <v>12</v>
      </c>
      <c r="AK103" s="181">
        <f t="shared" si="108"/>
        <v>240000</v>
      </c>
      <c r="AL103" s="136">
        <v>12</v>
      </c>
      <c r="AM103" s="181">
        <f t="shared" si="109"/>
        <v>240000</v>
      </c>
      <c r="AN103" s="136">
        <v>12</v>
      </c>
      <c r="AO103" s="181">
        <f t="shared" si="110"/>
        <v>240000</v>
      </c>
      <c r="AP103" s="136">
        <v>12</v>
      </c>
      <c r="AQ103" s="181">
        <f t="shared" si="111"/>
        <v>240000</v>
      </c>
      <c r="AR103" s="136">
        <v>12</v>
      </c>
      <c r="AS103" s="181">
        <f t="shared" si="112"/>
        <v>240000</v>
      </c>
      <c r="AT103" s="136">
        <v>12</v>
      </c>
      <c r="AU103" s="181">
        <f t="shared" si="113"/>
        <v>240000</v>
      </c>
      <c r="AV103" s="136">
        <v>12</v>
      </c>
      <c r="AW103" s="181">
        <f t="shared" si="114"/>
        <v>240000</v>
      </c>
      <c r="AX103" s="136">
        <v>12</v>
      </c>
      <c r="AY103" s="181">
        <f t="shared" si="115"/>
        <v>240000</v>
      </c>
      <c r="AZ103" s="136">
        <v>12</v>
      </c>
      <c r="BA103" s="181">
        <f t="shared" si="116"/>
        <v>240000</v>
      </c>
      <c r="BB103" s="136">
        <v>12</v>
      </c>
      <c r="BC103" s="181">
        <f t="shared" si="117"/>
        <v>240000</v>
      </c>
      <c r="BD103" s="136">
        <v>12</v>
      </c>
      <c r="BE103" s="181">
        <f t="shared" si="118"/>
        <v>240000</v>
      </c>
      <c r="BF103" s="136">
        <v>12</v>
      </c>
      <c r="BG103" s="181">
        <f t="shared" si="119"/>
        <v>240000</v>
      </c>
      <c r="BH103" s="136">
        <v>0</v>
      </c>
      <c r="BI103" s="181">
        <f t="shared" si="120"/>
        <v>0</v>
      </c>
      <c r="BJ103" s="136">
        <f t="shared" si="157"/>
        <v>204</v>
      </c>
      <c r="BK103" s="331">
        <f t="shared" si="157"/>
        <v>4080000</v>
      </c>
      <c r="BL103" s="307" t="s">
        <v>472</v>
      </c>
      <c r="BN103" s="178"/>
      <c r="BO103" s="178"/>
      <c r="BP103" s="178"/>
      <c r="BQ103" s="178"/>
      <c r="BR103" s="178">
        <f t="shared" si="172"/>
        <v>0</v>
      </c>
      <c r="BS103" s="178"/>
      <c r="BT103" s="178">
        <f t="shared" si="173"/>
        <v>4080000</v>
      </c>
      <c r="BU103" s="166">
        <f t="shared" si="174"/>
        <v>4080000</v>
      </c>
      <c r="BV103" s="191">
        <f t="shared" si="121"/>
        <v>4080000</v>
      </c>
    </row>
    <row r="104" spans="2:74" s="165" customFormat="1" ht="31.5" x14ac:dyDescent="0.25">
      <c r="B104" s="171">
        <v>41515</v>
      </c>
      <c r="C104" s="171" t="s">
        <v>28</v>
      </c>
      <c r="D104" s="171" t="s">
        <v>27</v>
      </c>
      <c r="E104" s="180">
        <v>0</v>
      </c>
      <c r="F104" s="47">
        <f t="shared" si="155"/>
        <v>0</v>
      </c>
      <c r="G104" s="134">
        <f t="shared" si="156"/>
        <v>0</v>
      </c>
      <c r="H104" s="134">
        <f t="shared" si="158"/>
        <v>0</v>
      </c>
      <c r="I104" s="134">
        <f t="shared" si="159"/>
        <v>0</v>
      </c>
      <c r="J104" s="134">
        <f t="shared" si="160"/>
        <v>0</v>
      </c>
      <c r="K104" s="134">
        <f t="shared" si="161"/>
        <v>0</v>
      </c>
      <c r="L104" s="134">
        <f t="shared" si="162"/>
        <v>0</v>
      </c>
      <c r="M104" s="134">
        <f t="shared" si="163"/>
        <v>0</v>
      </c>
      <c r="N104" s="134">
        <f t="shared" si="164"/>
        <v>0</v>
      </c>
      <c r="O104" s="134">
        <f t="shared" si="165"/>
        <v>0</v>
      </c>
      <c r="P104" s="134">
        <f t="shared" si="166"/>
        <v>0</v>
      </c>
      <c r="Q104" s="134">
        <f t="shared" si="167"/>
        <v>0</v>
      </c>
      <c r="R104" s="136">
        <f t="shared" si="123"/>
        <v>0</v>
      </c>
      <c r="S104" s="136">
        <f t="shared" si="124"/>
        <v>0</v>
      </c>
      <c r="T104" s="136">
        <f t="shared" si="125"/>
        <v>0</v>
      </c>
      <c r="U104" s="136">
        <f t="shared" si="126"/>
        <v>0</v>
      </c>
      <c r="V104" s="376">
        <f t="shared" si="168"/>
        <v>0</v>
      </c>
      <c r="W104" s="376">
        <f t="shared" si="169"/>
        <v>0</v>
      </c>
      <c r="X104" s="376">
        <f t="shared" si="170"/>
        <v>0</v>
      </c>
      <c r="Y104" s="376">
        <f t="shared" si="171"/>
        <v>0</v>
      </c>
      <c r="Z104" s="136">
        <v>0</v>
      </c>
      <c r="AA104" s="181">
        <f t="shared" si="103"/>
        <v>0</v>
      </c>
      <c r="AB104" s="136">
        <v>0</v>
      </c>
      <c r="AC104" s="181">
        <f t="shared" si="104"/>
        <v>0</v>
      </c>
      <c r="AD104" s="136">
        <v>0</v>
      </c>
      <c r="AE104" s="181">
        <f t="shared" si="105"/>
        <v>0</v>
      </c>
      <c r="AF104" s="136">
        <v>0</v>
      </c>
      <c r="AG104" s="181">
        <f t="shared" si="106"/>
        <v>0</v>
      </c>
      <c r="AH104" s="136">
        <v>0</v>
      </c>
      <c r="AI104" s="181">
        <f t="shared" si="107"/>
        <v>0</v>
      </c>
      <c r="AJ104" s="136">
        <v>0</v>
      </c>
      <c r="AK104" s="181">
        <f t="shared" si="108"/>
        <v>0</v>
      </c>
      <c r="AL104" s="136">
        <v>0</v>
      </c>
      <c r="AM104" s="181">
        <f t="shared" si="109"/>
        <v>0</v>
      </c>
      <c r="AN104" s="136">
        <v>0</v>
      </c>
      <c r="AO104" s="181">
        <f t="shared" si="110"/>
        <v>0</v>
      </c>
      <c r="AP104" s="136">
        <v>0</v>
      </c>
      <c r="AQ104" s="181">
        <f t="shared" si="111"/>
        <v>0</v>
      </c>
      <c r="AR104" s="136">
        <v>0</v>
      </c>
      <c r="AS104" s="181">
        <f t="shared" si="112"/>
        <v>0</v>
      </c>
      <c r="AT104" s="136">
        <v>0</v>
      </c>
      <c r="AU104" s="181">
        <f t="shared" si="113"/>
        <v>0</v>
      </c>
      <c r="AV104" s="136">
        <v>0</v>
      </c>
      <c r="AW104" s="181">
        <f t="shared" si="114"/>
        <v>0</v>
      </c>
      <c r="AX104" s="136">
        <v>0</v>
      </c>
      <c r="AY104" s="181">
        <f t="shared" si="115"/>
        <v>0</v>
      </c>
      <c r="AZ104" s="136">
        <v>0</v>
      </c>
      <c r="BA104" s="181">
        <f t="shared" si="116"/>
        <v>0</v>
      </c>
      <c r="BB104" s="136">
        <v>0</v>
      </c>
      <c r="BC104" s="181">
        <f t="shared" si="117"/>
        <v>0</v>
      </c>
      <c r="BD104" s="136">
        <v>0</v>
      </c>
      <c r="BE104" s="181">
        <f t="shared" si="118"/>
        <v>0</v>
      </c>
      <c r="BF104" s="136">
        <v>0</v>
      </c>
      <c r="BG104" s="181">
        <f t="shared" si="119"/>
        <v>0</v>
      </c>
      <c r="BH104" s="136">
        <v>0</v>
      </c>
      <c r="BI104" s="181">
        <f t="shared" si="120"/>
        <v>0</v>
      </c>
      <c r="BJ104" s="136">
        <v>0</v>
      </c>
      <c r="BK104" s="331">
        <f t="shared" si="157"/>
        <v>0</v>
      </c>
      <c r="BL104" s="307" t="s">
        <v>472</v>
      </c>
      <c r="BN104" s="178"/>
      <c r="BO104" s="178"/>
      <c r="BP104" s="178"/>
      <c r="BQ104" s="178"/>
      <c r="BR104" s="178">
        <f t="shared" si="172"/>
        <v>0</v>
      </c>
      <c r="BS104" s="178"/>
      <c r="BT104" s="178">
        <f t="shared" si="173"/>
        <v>0</v>
      </c>
      <c r="BU104" s="166">
        <f t="shared" si="174"/>
        <v>0</v>
      </c>
      <c r="BV104" s="191">
        <f t="shared" si="121"/>
        <v>0</v>
      </c>
    </row>
    <row r="105" spans="2:74" ht="31.5" x14ac:dyDescent="0.25">
      <c r="B105" s="38">
        <v>41516</v>
      </c>
      <c r="C105" s="38" t="s">
        <v>334</v>
      </c>
      <c r="D105" s="38" t="s">
        <v>27</v>
      </c>
      <c r="E105" s="375">
        <f>0.25*100000</f>
        <v>25000</v>
      </c>
      <c r="F105" s="47">
        <f t="shared" si="155"/>
        <v>0</v>
      </c>
      <c r="G105" s="85">
        <f t="shared" si="156"/>
        <v>0</v>
      </c>
      <c r="H105" s="85">
        <f t="shared" si="158"/>
        <v>0</v>
      </c>
      <c r="I105" s="85">
        <f t="shared" si="159"/>
        <v>0</v>
      </c>
      <c r="J105" s="85">
        <f t="shared" si="160"/>
        <v>0</v>
      </c>
      <c r="K105" s="85">
        <f t="shared" si="161"/>
        <v>0</v>
      </c>
      <c r="L105" s="85">
        <f t="shared" si="162"/>
        <v>0</v>
      </c>
      <c r="M105" s="85">
        <f t="shared" si="163"/>
        <v>0</v>
      </c>
      <c r="N105" s="85">
        <f t="shared" si="164"/>
        <v>0</v>
      </c>
      <c r="O105" s="85">
        <f t="shared" si="165"/>
        <v>0</v>
      </c>
      <c r="P105" s="85">
        <f t="shared" si="166"/>
        <v>0</v>
      </c>
      <c r="Q105" s="85">
        <f t="shared" si="167"/>
        <v>0</v>
      </c>
      <c r="R105" s="47">
        <f t="shared" si="123"/>
        <v>0</v>
      </c>
      <c r="S105" s="47">
        <f t="shared" si="124"/>
        <v>0</v>
      </c>
      <c r="T105" s="47">
        <f t="shared" si="125"/>
        <v>0</v>
      </c>
      <c r="U105" s="47">
        <f t="shared" si="126"/>
        <v>0</v>
      </c>
      <c r="V105" s="376">
        <f t="shared" si="168"/>
        <v>0</v>
      </c>
      <c r="W105" s="376">
        <f t="shared" si="169"/>
        <v>0</v>
      </c>
      <c r="X105" s="376">
        <f t="shared" si="170"/>
        <v>0</v>
      </c>
      <c r="Y105" s="376">
        <f t="shared" si="171"/>
        <v>0</v>
      </c>
      <c r="Z105" s="47">
        <v>0</v>
      </c>
      <c r="AA105" s="181">
        <f t="shared" si="103"/>
        <v>0</v>
      </c>
      <c r="AB105" s="47">
        <v>0</v>
      </c>
      <c r="AC105" s="181">
        <f t="shared" si="104"/>
        <v>0</v>
      </c>
      <c r="AD105" s="47">
        <v>0</v>
      </c>
      <c r="AE105" s="181">
        <f t="shared" si="105"/>
        <v>0</v>
      </c>
      <c r="AF105" s="47">
        <v>0</v>
      </c>
      <c r="AG105" s="181">
        <f t="shared" si="106"/>
        <v>0</v>
      </c>
      <c r="AH105" s="47">
        <v>0</v>
      </c>
      <c r="AI105" s="181">
        <f t="shared" si="107"/>
        <v>0</v>
      </c>
      <c r="AJ105" s="47">
        <v>0</v>
      </c>
      <c r="AK105" s="181">
        <f t="shared" si="108"/>
        <v>0</v>
      </c>
      <c r="AL105" s="47">
        <v>0</v>
      </c>
      <c r="AM105" s="181">
        <f t="shared" si="109"/>
        <v>0</v>
      </c>
      <c r="AN105" s="47">
        <v>0</v>
      </c>
      <c r="AO105" s="181">
        <f t="shared" si="110"/>
        <v>0</v>
      </c>
      <c r="AP105" s="47">
        <v>0</v>
      </c>
      <c r="AQ105" s="181">
        <f t="shared" si="111"/>
        <v>0</v>
      </c>
      <c r="AR105" s="47">
        <v>0</v>
      </c>
      <c r="AS105" s="181">
        <f t="shared" si="112"/>
        <v>0</v>
      </c>
      <c r="AT105" s="47">
        <v>0</v>
      </c>
      <c r="AU105" s="181">
        <f t="shared" si="113"/>
        <v>0</v>
      </c>
      <c r="AV105" s="47">
        <v>0</v>
      </c>
      <c r="AW105" s="181">
        <f t="shared" si="114"/>
        <v>0</v>
      </c>
      <c r="AX105" s="47">
        <v>0</v>
      </c>
      <c r="AY105" s="181">
        <f t="shared" si="115"/>
        <v>0</v>
      </c>
      <c r="AZ105" s="47">
        <v>0</v>
      </c>
      <c r="BA105" s="181">
        <f t="shared" si="116"/>
        <v>0</v>
      </c>
      <c r="BB105" s="47">
        <v>0</v>
      </c>
      <c r="BC105" s="181">
        <f t="shared" si="117"/>
        <v>0</v>
      </c>
      <c r="BD105" s="47">
        <v>0</v>
      </c>
      <c r="BE105" s="181">
        <f t="shared" si="118"/>
        <v>0</v>
      </c>
      <c r="BF105" s="47">
        <v>0</v>
      </c>
      <c r="BG105" s="181">
        <f t="shared" si="119"/>
        <v>0</v>
      </c>
      <c r="BH105" s="47">
        <v>0</v>
      </c>
      <c r="BI105" s="181">
        <f t="shared" si="120"/>
        <v>0</v>
      </c>
      <c r="BJ105" s="47">
        <f t="shared" si="157"/>
        <v>0</v>
      </c>
      <c r="BK105" s="117">
        <f t="shared" si="157"/>
        <v>0</v>
      </c>
      <c r="BL105" s="302" t="s">
        <v>472</v>
      </c>
      <c r="BN105" s="113"/>
      <c r="BO105" s="113"/>
      <c r="BP105" s="113"/>
      <c r="BQ105" s="113"/>
      <c r="BR105" s="113">
        <f t="shared" si="172"/>
        <v>0</v>
      </c>
      <c r="BS105" s="113"/>
      <c r="BT105" s="113">
        <f t="shared" si="173"/>
        <v>0</v>
      </c>
      <c r="BU105" s="125">
        <f t="shared" si="174"/>
        <v>0</v>
      </c>
      <c r="BV105" s="181">
        <f t="shared" si="121"/>
        <v>0</v>
      </c>
    </row>
    <row r="106" spans="2:74" s="67" customFormat="1" x14ac:dyDescent="0.25">
      <c r="B106" s="377"/>
      <c r="C106" s="378" t="s">
        <v>335</v>
      </c>
      <c r="D106" s="379"/>
      <c r="E106" s="379"/>
      <c r="F106" s="379">
        <f>SUM(F90:F105)</f>
        <v>1785</v>
      </c>
      <c r="G106" s="380">
        <f>SUM(G90:G105)</f>
        <v>9282000</v>
      </c>
      <c r="H106" s="380">
        <f t="shared" ref="H106:Q106" si="175">SUM(H90:H105)</f>
        <v>4641000</v>
      </c>
      <c r="I106" s="380">
        <f t="shared" si="175"/>
        <v>4641000</v>
      </c>
      <c r="J106" s="380">
        <f t="shared" si="175"/>
        <v>0</v>
      </c>
      <c r="K106" s="380">
        <f t="shared" si="175"/>
        <v>0</v>
      </c>
      <c r="L106" s="380">
        <f t="shared" si="175"/>
        <v>0</v>
      </c>
      <c r="M106" s="380">
        <f t="shared" si="175"/>
        <v>0</v>
      </c>
      <c r="N106" s="380">
        <f t="shared" si="175"/>
        <v>0</v>
      </c>
      <c r="O106" s="380">
        <f t="shared" si="175"/>
        <v>0</v>
      </c>
      <c r="P106" s="380">
        <f t="shared" si="175"/>
        <v>0</v>
      </c>
      <c r="Q106" s="380">
        <f t="shared" si="175"/>
        <v>0</v>
      </c>
      <c r="R106" s="379">
        <f t="shared" ref="R106:BK106" si="176">SUM(R90:R105)</f>
        <v>446.25</v>
      </c>
      <c r="S106" s="379">
        <f t="shared" si="176"/>
        <v>446.25</v>
      </c>
      <c r="T106" s="379">
        <f t="shared" si="176"/>
        <v>446.25</v>
      </c>
      <c r="U106" s="379">
        <f t="shared" si="176"/>
        <v>446.25</v>
      </c>
      <c r="V106" s="379">
        <f t="shared" si="176"/>
        <v>2320500</v>
      </c>
      <c r="W106" s="379">
        <f t="shared" si="176"/>
        <v>2320500</v>
      </c>
      <c r="X106" s="379">
        <f t="shared" si="176"/>
        <v>2320500</v>
      </c>
      <c r="Y106" s="379">
        <f t="shared" si="176"/>
        <v>2320500</v>
      </c>
      <c r="Z106" s="379">
        <f t="shared" si="176"/>
        <v>105</v>
      </c>
      <c r="AA106" s="379">
        <f t="shared" si="176"/>
        <v>546000</v>
      </c>
      <c r="AB106" s="379">
        <f t="shared" si="176"/>
        <v>105</v>
      </c>
      <c r="AC106" s="379">
        <f t="shared" si="176"/>
        <v>546000</v>
      </c>
      <c r="AD106" s="379">
        <f t="shared" si="176"/>
        <v>105</v>
      </c>
      <c r="AE106" s="379">
        <f t="shared" si="176"/>
        <v>546000</v>
      </c>
      <c r="AF106" s="379">
        <f t="shared" si="176"/>
        <v>105</v>
      </c>
      <c r="AG106" s="379">
        <f t="shared" si="176"/>
        <v>546000</v>
      </c>
      <c r="AH106" s="379">
        <f t="shared" si="176"/>
        <v>105</v>
      </c>
      <c r="AI106" s="379">
        <f t="shared" si="176"/>
        <v>546000</v>
      </c>
      <c r="AJ106" s="379">
        <f t="shared" si="176"/>
        <v>105</v>
      </c>
      <c r="AK106" s="379">
        <f t="shared" si="176"/>
        <v>546000</v>
      </c>
      <c r="AL106" s="379">
        <f t="shared" si="176"/>
        <v>105</v>
      </c>
      <c r="AM106" s="379">
        <f t="shared" si="176"/>
        <v>546000</v>
      </c>
      <c r="AN106" s="379">
        <f t="shared" si="176"/>
        <v>105</v>
      </c>
      <c r="AO106" s="379">
        <f t="shared" si="176"/>
        <v>546000</v>
      </c>
      <c r="AP106" s="379">
        <f t="shared" si="176"/>
        <v>105</v>
      </c>
      <c r="AQ106" s="379">
        <f t="shared" si="176"/>
        <v>546000</v>
      </c>
      <c r="AR106" s="379">
        <f t="shared" si="176"/>
        <v>105</v>
      </c>
      <c r="AS106" s="379">
        <f t="shared" si="176"/>
        <v>546000</v>
      </c>
      <c r="AT106" s="379">
        <f t="shared" si="176"/>
        <v>105</v>
      </c>
      <c r="AU106" s="379">
        <f t="shared" si="176"/>
        <v>546000</v>
      </c>
      <c r="AV106" s="379">
        <f t="shared" si="176"/>
        <v>105</v>
      </c>
      <c r="AW106" s="379">
        <f t="shared" si="176"/>
        <v>546000</v>
      </c>
      <c r="AX106" s="379">
        <f t="shared" si="176"/>
        <v>105</v>
      </c>
      <c r="AY106" s="379">
        <f t="shared" si="176"/>
        <v>546000</v>
      </c>
      <c r="AZ106" s="379">
        <f t="shared" si="176"/>
        <v>105</v>
      </c>
      <c r="BA106" s="379">
        <f t="shared" si="176"/>
        <v>546000</v>
      </c>
      <c r="BB106" s="379">
        <f t="shared" si="176"/>
        <v>105</v>
      </c>
      <c r="BC106" s="379">
        <f t="shared" si="176"/>
        <v>546000</v>
      </c>
      <c r="BD106" s="379">
        <f t="shared" si="176"/>
        <v>105</v>
      </c>
      <c r="BE106" s="379">
        <f t="shared" si="176"/>
        <v>546000</v>
      </c>
      <c r="BF106" s="379">
        <f t="shared" si="176"/>
        <v>105</v>
      </c>
      <c r="BG106" s="379">
        <f t="shared" si="176"/>
        <v>546000</v>
      </c>
      <c r="BH106" s="379">
        <f t="shared" si="176"/>
        <v>0</v>
      </c>
      <c r="BI106" s="379">
        <f t="shared" si="176"/>
        <v>0</v>
      </c>
      <c r="BJ106" s="379">
        <f t="shared" si="176"/>
        <v>1785</v>
      </c>
      <c r="BK106" s="381">
        <f t="shared" si="176"/>
        <v>9282000</v>
      </c>
      <c r="BL106" s="118"/>
      <c r="BN106" s="381">
        <f t="shared" ref="BN106:BU106" si="177">SUM(BN90:BN105)</f>
        <v>0</v>
      </c>
      <c r="BO106" s="381">
        <f t="shared" si="177"/>
        <v>0</v>
      </c>
      <c r="BP106" s="381">
        <f t="shared" si="177"/>
        <v>0</v>
      </c>
      <c r="BQ106" s="381">
        <f t="shared" si="177"/>
        <v>0</v>
      </c>
      <c r="BR106" s="381">
        <f t="shared" si="177"/>
        <v>0</v>
      </c>
      <c r="BS106" s="381">
        <f t="shared" si="177"/>
        <v>0</v>
      </c>
      <c r="BT106" s="381">
        <f t="shared" si="177"/>
        <v>9282000</v>
      </c>
      <c r="BU106" s="381">
        <f t="shared" si="177"/>
        <v>9282000</v>
      </c>
      <c r="BV106" s="390">
        <f t="shared" si="121"/>
        <v>9282000</v>
      </c>
    </row>
    <row r="107" spans="2:74" ht="31.5" x14ac:dyDescent="0.25">
      <c r="B107" s="38">
        <v>41600</v>
      </c>
      <c r="C107" s="38" t="s">
        <v>366</v>
      </c>
      <c r="D107" s="38"/>
      <c r="E107" s="375"/>
      <c r="F107" s="38"/>
      <c r="G107" s="85"/>
      <c r="H107" s="85"/>
      <c r="I107" s="85"/>
      <c r="J107" s="85"/>
      <c r="K107" s="85"/>
      <c r="L107" s="85"/>
      <c r="M107" s="85"/>
      <c r="N107" s="85"/>
      <c r="O107" s="47"/>
      <c r="P107" s="47"/>
      <c r="Q107" s="47"/>
      <c r="R107" s="47"/>
      <c r="S107" s="47"/>
      <c r="T107" s="47"/>
      <c r="U107" s="47"/>
      <c r="V107" s="376">
        <f t="shared" si="168"/>
        <v>0</v>
      </c>
      <c r="W107" s="376">
        <f t="shared" si="169"/>
        <v>0</v>
      </c>
      <c r="X107" s="376">
        <f t="shared" si="170"/>
        <v>0</v>
      </c>
      <c r="Y107" s="376">
        <f t="shared" si="171"/>
        <v>0</v>
      </c>
      <c r="Z107" s="47"/>
      <c r="AA107" s="181">
        <f t="shared" si="103"/>
        <v>0</v>
      </c>
      <c r="AB107" s="47"/>
      <c r="AC107" s="181">
        <f t="shared" si="104"/>
        <v>0</v>
      </c>
      <c r="AD107" s="47"/>
      <c r="AE107" s="181">
        <f t="shared" si="105"/>
        <v>0</v>
      </c>
      <c r="AF107" s="47"/>
      <c r="AG107" s="181">
        <f t="shared" si="106"/>
        <v>0</v>
      </c>
      <c r="AH107" s="47"/>
      <c r="AI107" s="181">
        <f t="shared" si="107"/>
        <v>0</v>
      </c>
      <c r="AJ107" s="47"/>
      <c r="AK107" s="181">
        <f t="shared" si="108"/>
        <v>0</v>
      </c>
      <c r="AL107" s="47"/>
      <c r="AM107" s="181">
        <f t="shared" si="109"/>
        <v>0</v>
      </c>
      <c r="AN107" s="47"/>
      <c r="AO107" s="181">
        <f t="shared" si="110"/>
        <v>0</v>
      </c>
      <c r="AP107" s="47"/>
      <c r="AQ107" s="181">
        <f t="shared" si="111"/>
        <v>0</v>
      </c>
      <c r="AR107" s="47"/>
      <c r="AS107" s="181">
        <f t="shared" si="112"/>
        <v>0</v>
      </c>
      <c r="AT107" s="47"/>
      <c r="AU107" s="181">
        <f t="shared" si="113"/>
        <v>0</v>
      </c>
      <c r="AV107" s="47"/>
      <c r="AW107" s="181">
        <f t="shared" si="114"/>
        <v>0</v>
      </c>
      <c r="AX107" s="47"/>
      <c r="AY107" s="181">
        <f t="shared" si="115"/>
        <v>0</v>
      </c>
      <c r="AZ107" s="47"/>
      <c r="BA107" s="181">
        <f t="shared" si="116"/>
        <v>0</v>
      </c>
      <c r="BB107" s="47"/>
      <c r="BC107" s="181">
        <f t="shared" si="117"/>
        <v>0</v>
      </c>
      <c r="BD107" s="47"/>
      <c r="BE107" s="181">
        <f t="shared" si="118"/>
        <v>0</v>
      </c>
      <c r="BF107" s="47"/>
      <c r="BG107" s="181">
        <f t="shared" si="119"/>
        <v>0</v>
      </c>
      <c r="BH107" s="47"/>
      <c r="BI107" s="181">
        <f t="shared" si="120"/>
        <v>0</v>
      </c>
      <c r="BJ107" s="47"/>
      <c r="BK107" s="124"/>
      <c r="BL107" s="47"/>
      <c r="BN107" s="113"/>
      <c r="BO107" s="113"/>
      <c r="BP107" s="113"/>
      <c r="BQ107" s="113"/>
      <c r="BR107" s="113"/>
      <c r="BS107" s="113"/>
      <c r="BT107" s="113"/>
      <c r="BU107" s="125"/>
      <c r="BV107" s="181">
        <f t="shared" si="121"/>
        <v>0</v>
      </c>
    </row>
    <row r="108" spans="2:74" x14ac:dyDescent="0.25">
      <c r="B108" s="38"/>
      <c r="C108" s="38" t="s">
        <v>367</v>
      </c>
      <c r="D108" s="38" t="s">
        <v>241</v>
      </c>
      <c r="E108" s="375">
        <f>40*100000</f>
        <v>4000000</v>
      </c>
      <c r="F108" s="47">
        <f>BJ108</f>
        <v>4</v>
      </c>
      <c r="G108" s="85">
        <f>BK108</f>
        <v>17675000</v>
      </c>
      <c r="H108" s="85">
        <f>G108*0.2</f>
        <v>3535000</v>
      </c>
      <c r="I108" s="85">
        <f>G108*0.8</f>
        <v>14140000</v>
      </c>
      <c r="J108" s="85">
        <f>G108*0</f>
        <v>0</v>
      </c>
      <c r="K108" s="85">
        <f>G108*0</f>
        <v>0</v>
      </c>
      <c r="L108" s="85">
        <f>G108*0</f>
        <v>0</v>
      </c>
      <c r="M108" s="85">
        <f>G108*0</f>
        <v>0</v>
      </c>
      <c r="N108" s="85">
        <f>G108*0</f>
        <v>0</v>
      </c>
      <c r="O108" s="85">
        <f>G108*0</f>
        <v>0</v>
      </c>
      <c r="P108" s="85">
        <f>G108*0</f>
        <v>0</v>
      </c>
      <c r="Q108" s="85">
        <f>G108*0</f>
        <v>0</v>
      </c>
      <c r="R108" s="47">
        <v>1</v>
      </c>
      <c r="S108" s="47"/>
      <c r="T108" s="47"/>
      <c r="U108" s="47"/>
      <c r="V108" s="376">
        <f t="shared" si="168"/>
        <v>4000000</v>
      </c>
      <c r="W108" s="376">
        <f t="shared" si="169"/>
        <v>0</v>
      </c>
      <c r="X108" s="376">
        <f t="shared" si="170"/>
        <v>0</v>
      </c>
      <c r="Y108" s="376">
        <f t="shared" si="171"/>
        <v>0</v>
      </c>
      <c r="Z108" s="47">
        <v>1</v>
      </c>
      <c r="AA108" s="191">
        <v>4000000</v>
      </c>
      <c r="AB108" s="47">
        <v>0</v>
      </c>
      <c r="AC108" s="181">
        <v>1600000</v>
      </c>
      <c r="AD108" s="47">
        <v>0</v>
      </c>
      <c r="AE108" s="181"/>
      <c r="AF108" s="47">
        <v>0</v>
      </c>
      <c r="AG108" s="181">
        <v>500000</v>
      </c>
      <c r="AH108" s="47">
        <v>0</v>
      </c>
      <c r="AI108" s="181">
        <v>600000</v>
      </c>
      <c r="AJ108" s="47">
        <v>1</v>
      </c>
      <c r="AK108" s="181">
        <v>2000000</v>
      </c>
      <c r="AL108" s="47">
        <v>0</v>
      </c>
      <c r="AM108" s="181">
        <v>1100000</v>
      </c>
      <c r="AN108" s="47">
        <v>0</v>
      </c>
      <c r="AO108" s="181">
        <v>2125000</v>
      </c>
      <c r="AP108" s="47">
        <v>0</v>
      </c>
      <c r="AQ108" s="181">
        <f t="shared" si="111"/>
        <v>0</v>
      </c>
      <c r="AR108" s="47">
        <v>0</v>
      </c>
      <c r="AS108" s="181">
        <f t="shared" si="112"/>
        <v>0</v>
      </c>
      <c r="AT108" s="47"/>
      <c r="AU108" s="181"/>
      <c r="AV108" s="47">
        <v>1</v>
      </c>
      <c r="AW108" s="181">
        <v>1750000</v>
      </c>
      <c r="AX108" s="47"/>
      <c r="AY108" s="181"/>
      <c r="AZ108" s="47"/>
      <c r="BA108" s="181"/>
      <c r="BB108" s="47">
        <v>0</v>
      </c>
      <c r="BC108" s="181">
        <f t="shared" si="117"/>
        <v>0</v>
      </c>
      <c r="BD108" s="47">
        <v>1</v>
      </c>
      <c r="BE108" s="181">
        <v>2200000</v>
      </c>
      <c r="BF108" s="47">
        <v>0</v>
      </c>
      <c r="BG108" s="181">
        <v>1800000</v>
      </c>
      <c r="BH108" s="47">
        <v>0</v>
      </c>
      <c r="BI108" s="181">
        <f t="shared" si="120"/>
        <v>0</v>
      </c>
      <c r="BJ108" s="47">
        <f t="shared" ref="BJ108:BK112" si="178">Z108+AB108+AD108+AF108+AH108+AJ108+AL108+AN108+AP108+AR108+AT108+AV108+AX108+AZ108+BB108+BD108+BF108+BH108</f>
        <v>4</v>
      </c>
      <c r="BK108" s="405">
        <f t="shared" si="178"/>
        <v>17675000</v>
      </c>
      <c r="BL108" s="302" t="s">
        <v>469</v>
      </c>
      <c r="BN108" s="113">
        <f>G108</f>
        <v>17675000</v>
      </c>
      <c r="BO108" s="113"/>
      <c r="BP108" s="113"/>
      <c r="BQ108" s="113"/>
      <c r="BR108" s="113">
        <f>BN108+BO108+BP108+BQ108</f>
        <v>17675000</v>
      </c>
      <c r="BS108" s="113"/>
      <c r="BT108" s="113"/>
      <c r="BU108" s="125">
        <f>BS108+BT108</f>
        <v>0</v>
      </c>
      <c r="BV108" s="181">
        <f t="shared" si="121"/>
        <v>17675000</v>
      </c>
    </row>
    <row r="109" spans="2:74" ht="31.5" x14ac:dyDescent="0.25">
      <c r="B109" s="38"/>
      <c r="C109" s="38" t="s">
        <v>368</v>
      </c>
      <c r="D109" s="38" t="s">
        <v>241</v>
      </c>
      <c r="E109" s="375">
        <f>10*100000</f>
        <v>1000000</v>
      </c>
      <c r="F109" s="47">
        <f>BJ109</f>
        <v>4</v>
      </c>
      <c r="G109" s="85">
        <f>BK109</f>
        <v>2700000</v>
      </c>
      <c r="H109" s="85">
        <f>G109*0.2</f>
        <v>540000</v>
      </c>
      <c r="I109" s="85">
        <f>G109*0.8</f>
        <v>2160000</v>
      </c>
      <c r="J109" s="85">
        <f>G109*0</f>
        <v>0</v>
      </c>
      <c r="K109" s="85">
        <f>G109*0</f>
        <v>0</v>
      </c>
      <c r="L109" s="85">
        <f>G109*0</f>
        <v>0</v>
      </c>
      <c r="M109" s="85">
        <f>G109*0</f>
        <v>0</v>
      </c>
      <c r="N109" s="85">
        <f>G109*0</f>
        <v>0</v>
      </c>
      <c r="O109" s="85">
        <f>G109*0</f>
        <v>0</v>
      </c>
      <c r="P109" s="85">
        <f>G109*0</f>
        <v>0</v>
      </c>
      <c r="Q109" s="85">
        <f>G109*0</f>
        <v>0</v>
      </c>
      <c r="R109" s="47">
        <v>1</v>
      </c>
      <c r="S109" s="47"/>
      <c r="T109" s="47"/>
      <c r="U109" s="47"/>
      <c r="V109" s="376">
        <f t="shared" si="168"/>
        <v>1000000</v>
      </c>
      <c r="W109" s="376">
        <f t="shared" si="169"/>
        <v>0</v>
      </c>
      <c r="X109" s="376">
        <f t="shared" si="170"/>
        <v>0</v>
      </c>
      <c r="Y109" s="376">
        <f t="shared" si="171"/>
        <v>0</v>
      </c>
      <c r="Z109" s="47">
        <v>0</v>
      </c>
      <c r="AA109" s="181">
        <f t="shared" si="103"/>
        <v>0</v>
      </c>
      <c r="AB109" s="47">
        <v>0</v>
      </c>
      <c r="AC109" s="181">
        <f t="shared" si="104"/>
        <v>0</v>
      </c>
      <c r="AD109" s="47">
        <v>1</v>
      </c>
      <c r="AE109" s="181">
        <f t="shared" si="105"/>
        <v>1000000</v>
      </c>
      <c r="AF109" s="47">
        <v>0</v>
      </c>
      <c r="AG109" s="181">
        <f t="shared" si="106"/>
        <v>0</v>
      </c>
      <c r="AH109" s="47">
        <v>0</v>
      </c>
      <c r="AI109" s="181">
        <f t="shared" si="107"/>
        <v>0</v>
      </c>
      <c r="AJ109" s="47">
        <v>0</v>
      </c>
      <c r="AK109" s="181">
        <f t="shared" si="108"/>
        <v>0</v>
      </c>
      <c r="AL109" s="47">
        <v>0</v>
      </c>
      <c r="AM109" s="181">
        <f t="shared" si="109"/>
        <v>0</v>
      </c>
      <c r="AN109" s="47">
        <v>0</v>
      </c>
      <c r="AO109" s="181">
        <f t="shared" si="110"/>
        <v>0</v>
      </c>
      <c r="AP109" s="47">
        <v>0</v>
      </c>
      <c r="AQ109" s="181">
        <v>50000</v>
      </c>
      <c r="AR109" s="47">
        <v>0</v>
      </c>
      <c r="AS109" s="181">
        <v>250000</v>
      </c>
      <c r="AT109" s="47">
        <v>1</v>
      </c>
      <c r="AU109" s="181">
        <v>450000</v>
      </c>
      <c r="AV109" s="47">
        <v>0</v>
      </c>
      <c r="AW109" s="181">
        <f t="shared" si="114"/>
        <v>0</v>
      </c>
      <c r="AX109" s="47">
        <v>1</v>
      </c>
      <c r="AY109" s="181">
        <v>500000</v>
      </c>
      <c r="AZ109" s="47">
        <v>1</v>
      </c>
      <c r="BA109" s="181">
        <v>400000</v>
      </c>
      <c r="BB109" s="47">
        <v>0</v>
      </c>
      <c r="BC109" s="181">
        <v>50000</v>
      </c>
      <c r="BD109" s="47">
        <v>0</v>
      </c>
      <c r="BE109" s="181">
        <f t="shared" si="118"/>
        <v>0</v>
      </c>
      <c r="BF109" s="47">
        <v>0</v>
      </c>
      <c r="BG109" s="181">
        <f t="shared" si="119"/>
        <v>0</v>
      </c>
      <c r="BH109" s="47">
        <v>0</v>
      </c>
      <c r="BI109" s="181">
        <f t="shared" si="120"/>
        <v>0</v>
      </c>
      <c r="BJ109" s="47">
        <f t="shared" si="178"/>
        <v>4</v>
      </c>
      <c r="BK109" s="405">
        <f t="shared" si="178"/>
        <v>2700000</v>
      </c>
      <c r="BL109" s="302" t="s">
        <v>469</v>
      </c>
      <c r="BN109" s="113">
        <f>G109</f>
        <v>2700000</v>
      </c>
      <c r="BO109" s="113"/>
      <c r="BP109" s="113"/>
      <c r="BQ109" s="113"/>
      <c r="BR109" s="113">
        <f>BN109+BO109+BP109+BQ109</f>
        <v>2700000</v>
      </c>
      <c r="BS109" s="113"/>
      <c r="BT109" s="113"/>
      <c r="BU109" s="125">
        <f>BS109+BT109</f>
        <v>0</v>
      </c>
      <c r="BV109" s="181">
        <f t="shared" si="121"/>
        <v>2700000</v>
      </c>
    </row>
    <row r="110" spans="2:74" x14ac:dyDescent="0.25">
      <c r="B110" s="38"/>
      <c r="C110" s="38" t="s">
        <v>369</v>
      </c>
      <c r="D110" s="38" t="s">
        <v>241</v>
      </c>
      <c r="E110" s="375">
        <f>16.2*100000</f>
        <v>1620000</v>
      </c>
      <c r="F110" s="47">
        <f>BJ110</f>
        <v>0</v>
      </c>
      <c r="G110" s="85">
        <f>E110*F110</f>
        <v>0</v>
      </c>
      <c r="H110" s="85">
        <f>G110*0.1</f>
        <v>0</v>
      </c>
      <c r="I110" s="85">
        <f>G110*0.8</f>
        <v>0</v>
      </c>
      <c r="J110" s="85">
        <f>G110*0</f>
        <v>0</v>
      </c>
      <c r="K110" s="85">
        <f>G110*0</f>
        <v>0</v>
      </c>
      <c r="L110" s="85">
        <f>G110*0</f>
        <v>0</v>
      </c>
      <c r="M110" s="85">
        <f>G110*0</f>
        <v>0</v>
      </c>
      <c r="N110" s="85">
        <f>G110*0</f>
        <v>0</v>
      </c>
      <c r="O110" s="85">
        <f>G110*0</f>
        <v>0</v>
      </c>
      <c r="P110" s="85">
        <f>G110*0</f>
        <v>0</v>
      </c>
      <c r="Q110" s="85">
        <f>G110*0.1</f>
        <v>0</v>
      </c>
      <c r="R110" s="47"/>
      <c r="S110" s="47"/>
      <c r="T110" s="47"/>
      <c r="U110" s="47"/>
      <c r="V110" s="376">
        <f t="shared" si="168"/>
        <v>0</v>
      </c>
      <c r="W110" s="376">
        <f t="shared" si="169"/>
        <v>0</v>
      </c>
      <c r="X110" s="376">
        <f t="shared" si="170"/>
        <v>0</v>
      </c>
      <c r="Y110" s="376">
        <f t="shared" si="171"/>
        <v>0</v>
      </c>
      <c r="Z110" s="47">
        <v>0</v>
      </c>
      <c r="AA110" s="181">
        <f t="shared" si="103"/>
        <v>0</v>
      </c>
      <c r="AB110" s="47">
        <v>0</v>
      </c>
      <c r="AC110" s="181">
        <f t="shared" si="104"/>
        <v>0</v>
      </c>
      <c r="AD110" s="47">
        <v>0</v>
      </c>
      <c r="AE110" s="181">
        <f t="shared" si="105"/>
        <v>0</v>
      </c>
      <c r="AF110" s="47">
        <v>0</v>
      </c>
      <c r="AG110" s="181">
        <f t="shared" si="106"/>
        <v>0</v>
      </c>
      <c r="AH110" s="47">
        <v>0</v>
      </c>
      <c r="AI110" s="181">
        <f t="shared" si="107"/>
        <v>0</v>
      </c>
      <c r="AJ110" s="47">
        <v>0</v>
      </c>
      <c r="AK110" s="181">
        <f t="shared" si="108"/>
        <v>0</v>
      </c>
      <c r="AL110" s="47">
        <v>0</v>
      </c>
      <c r="AM110" s="181">
        <f t="shared" si="109"/>
        <v>0</v>
      </c>
      <c r="AN110" s="47">
        <v>0</v>
      </c>
      <c r="AO110" s="181">
        <f t="shared" si="110"/>
        <v>0</v>
      </c>
      <c r="AP110" s="47">
        <v>0</v>
      </c>
      <c r="AQ110" s="181">
        <f t="shared" si="111"/>
        <v>0</v>
      </c>
      <c r="AR110" s="47">
        <v>0</v>
      </c>
      <c r="AS110" s="181">
        <f t="shared" si="112"/>
        <v>0</v>
      </c>
      <c r="AT110" s="47">
        <v>0</v>
      </c>
      <c r="AU110" s="181">
        <f t="shared" si="113"/>
        <v>0</v>
      </c>
      <c r="AV110" s="47">
        <v>0</v>
      </c>
      <c r="AW110" s="181">
        <f t="shared" si="114"/>
        <v>0</v>
      </c>
      <c r="AX110" s="47">
        <v>0</v>
      </c>
      <c r="AY110" s="181">
        <f t="shared" si="115"/>
        <v>0</v>
      </c>
      <c r="AZ110" s="47">
        <v>0</v>
      </c>
      <c r="BA110" s="181">
        <f t="shared" si="116"/>
        <v>0</v>
      </c>
      <c r="BB110" s="47">
        <v>0</v>
      </c>
      <c r="BC110" s="181">
        <f t="shared" si="117"/>
        <v>0</v>
      </c>
      <c r="BD110" s="47">
        <v>0</v>
      </c>
      <c r="BE110" s="181">
        <f t="shared" si="118"/>
        <v>0</v>
      </c>
      <c r="BF110" s="47">
        <v>0</v>
      </c>
      <c r="BG110" s="181">
        <f t="shared" si="119"/>
        <v>0</v>
      </c>
      <c r="BH110" s="47">
        <v>0</v>
      </c>
      <c r="BI110" s="181">
        <f t="shared" si="120"/>
        <v>0</v>
      </c>
      <c r="BJ110" s="47">
        <f t="shared" si="178"/>
        <v>0</v>
      </c>
      <c r="BK110" s="117">
        <f t="shared" si="178"/>
        <v>0</v>
      </c>
      <c r="BL110" s="302" t="s">
        <v>469</v>
      </c>
      <c r="BN110" s="113">
        <f>G110</f>
        <v>0</v>
      </c>
      <c r="BO110" s="113"/>
      <c r="BP110" s="113"/>
      <c r="BQ110" s="113"/>
      <c r="BR110" s="113">
        <f>BN110+BO110+BP110+BQ110</f>
        <v>0</v>
      </c>
      <c r="BS110" s="113"/>
      <c r="BT110" s="113"/>
      <c r="BU110" s="125">
        <f>BS110+BT110</f>
        <v>0</v>
      </c>
      <c r="BV110" s="181">
        <f t="shared" si="121"/>
        <v>0</v>
      </c>
    </row>
    <row r="111" spans="2:74" s="67" customFormat="1" x14ac:dyDescent="0.25">
      <c r="B111" s="377"/>
      <c r="C111" s="378" t="s">
        <v>366</v>
      </c>
      <c r="D111" s="379" t="s">
        <v>282</v>
      </c>
      <c r="E111" s="379" t="s">
        <v>282</v>
      </c>
      <c r="F111" s="379">
        <f>SUM(F108:F110)</f>
        <v>8</v>
      </c>
      <c r="G111" s="380">
        <f>SUM(G108:G110)</f>
        <v>20375000</v>
      </c>
      <c r="H111" s="380">
        <f t="shared" ref="H111:Q111" si="179">SUM(H108:H110)</f>
        <v>4075000</v>
      </c>
      <c r="I111" s="380">
        <f t="shared" si="179"/>
        <v>16300000</v>
      </c>
      <c r="J111" s="380">
        <f t="shared" si="179"/>
        <v>0</v>
      </c>
      <c r="K111" s="380">
        <f t="shared" si="179"/>
        <v>0</v>
      </c>
      <c r="L111" s="380">
        <f t="shared" si="179"/>
        <v>0</v>
      </c>
      <c r="M111" s="380">
        <f t="shared" si="179"/>
        <v>0</v>
      </c>
      <c r="N111" s="380">
        <f t="shared" si="179"/>
        <v>0</v>
      </c>
      <c r="O111" s="380">
        <f t="shared" si="179"/>
        <v>0</v>
      </c>
      <c r="P111" s="380">
        <f t="shared" si="179"/>
        <v>0</v>
      </c>
      <c r="Q111" s="380">
        <f t="shared" si="179"/>
        <v>0</v>
      </c>
      <c r="R111" s="379">
        <f t="shared" ref="R111:BK111" si="180">SUM(R108:R110)</f>
        <v>2</v>
      </c>
      <c r="S111" s="379">
        <f t="shared" si="180"/>
        <v>0</v>
      </c>
      <c r="T111" s="379">
        <f t="shared" si="180"/>
        <v>0</v>
      </c>
      <c r="U111" s="379">
        <f t="shared" si="180"/>
        <v>0</v>
      </c>
      <c r="V111" s="380">
        <f t="shared" si="180"/>
        <v>5000000</v>
      </c>
      <c r="W111" s="380">
        <f t="shared" si="180"/>
        <v>0</v>
      </c>
      <c r="X111" s="380">
        <f t="shared" si="180"/>
        <v>0</v>
      </c>
      <c r="Y111" s="380">
        <f t="shared" si="180"/>
        <v>0</v>
      </c>
      <c r="Z111" s="379">
        <f t="shared" si="180"/>
        <v>1</v>
      </c>
      <c r="AA111" s="379">
        <f t="shared" si="180"/>
        <v>4000000</v>
      </c>
      <c r="AB111" s="379">
        <f t="shared" si="180"/>
        <v>0</v>
      </c>
      <c r="AC111" s="379">
        <f t="shared" si="180"/>
        <v>1600000</v>
      </c>
      <c r="AD111" s="379">
        <f t="shared" si="180"/>
        <v>1</v>
      </c>
      <c r="AE111" s="379">
        <f t="shared" si="180"/>
        <v>1000000</v>
      </c>
      <c r="AF111" s="379">
        <f t="shared" si="180"/>
        <v>0</v>
      </c>
      <c r="AG111" s="379">
        <f t="shared" si="180"/>
        <v>500000</v>
      </c>
      <c r="AH111" s="379">
        <f t="shared" si="180"/>
        <v>0</v>
      </c>
      <c r="AI111" s="379">
        <f t="shared" si="180"/>
        <v>600000</v>
      </c>
      <c r="AJ111" s="379">
        <f t="shared" si="180"/>
        <v>1</v>
      </c>
      <c r="AK111" s="379">
        <f t="shared" si="180"/>
        <v>2000000</v>
      </c>
      <c r="AL111" s="379">
        <f t="shared" si="180"/>
        <v>0</v>
      </c>
      <c r="AM111" s="379">
        <f t="shared" si="180"/>
        <v>1100000</v>
      </c>
      <c r="AN111" s="379">
        <f t="shared" si="180"/>
        <v>0</v>
      </c>
      <c r="AO111" s="379">
        <f t="shared" si="180"/>
        <v>2125000</v>
      </c>
      <c r="AP111" s="379">
        <f t="shared" si="180"/>
        <v>0</v>
      </c>
      <c r="AQ111" s="379">
        <f t="shared" si="180"/>
        <v>50000</v>
      </c>
      <c r="AR111" s="379">
        <f t="shared" si="180"/>
        <v>0</v>
      </c>
      <c r="AS111" s="379">
        <f t="shared" si="180"/>
        <v>250000</v>
      </c>
      <c r="AT111" s="379">
        <f t="shared" si="180"/>
        <v>1</v>
      </c>
      <c r="AU111" s="379">
        <f t="shared" si="180"/>
        <v>450000</v>
      </c>
      <c r="AV111" s="379">
        <f t="shared" si="180"/>
        <v>1</v>
      </c>
      <c r="AW111" s="379">
        <f t="shared" si="180"/>
        <v>1750000</v>
      </c>
      <c r="AX111" s="379">
        <f t="shared" si="180"/>
        <v>1</v>
      </c>
      <c r="AY111" s="379">
        <f t="shared" si="180"/>
        <v>500000</v>
      </c>
      <c r="AZ111" s="379">
        <f t="shared" si="180"/>
        <v>1</v>
      </c>
      <c r="BA111" s="379">
        <f t="shared" si="180"/>
        <v>400000</v>
      </c>
      <c r="BB111" s="379">
        <f t="shared" si="180"/>
        <v>0</v>
      </c>
      <c r="BC111" s="379">
        <f t="shared" si="180"/>
        <v>50000</v>
      </c>
      <c r="BD111" s="379">
        <f t="shared" si="180"/>
        <v>1</v>
      </c>
      <c r="BE111" s="379">
        <f t="shared" si="180"/>
        <v>2200000</v>
      </c>
      <c r="BF111" s="379">
        <f t="shared" si="180"/>
        <v>0</v>
      </c>
      <c r="BG111" s="379">
        <f t="shared" si="180"/>
        <v>1800000</v>
      </c>
      <c r="BH111" s="379">
        <f t="shared" si="180"/>
        <v>0</v>
      </c>
      <c r="BI111" s="379">
        <f t="shared" si="180"/>
        <v>0</v>
      </c>
      <c r="BJ111" s="379">
        <f t="shared" si="180"/>
        <v>8</v>
      </c>
      <c r="BK111" s="381">
        <f t="shared" si="180"/>
        <v>20375000</v>
      </c>
      <c r="BL111" s="118"/>
      <c r="BN111" s="381">
        <f t="shared" ref="BN111:BU111" si="181">SUM(BN108:BN110)</f>
        <v>20375000</v>
      </c>
      <c r="BO111" s="381">
        <f t="shared" si="181"/>
        <v>0</v>
      </c>
      <c r="BP111" s="381">
        <f t="shared" si="181"/>
        <v>0</v>
      </c>
      <c r="BQ111" s="381">
        <f t="shared" si="181"/>
        <v>0</v>
      </c>
      <c r="BR111" s="381">
        <f t="shared" si="181"/>
        <v>20375000</v>
      </c>
      <c r="BS111" s="381">
        <f t="shared" si="181"/>
        <v>0</v>
      </c>
      <c r="BT111" s="381">
        <f t="shared" si="181"/>
        <v>0</v>
      </c>
      <c r="BU111" s="381">
        <f t="shared" si="181"/>
        <v>0</v>
      </c>
      <c r="BV111" s="181">
        <f t="shared" si="121"/>
        <v>20375000</v>
      </c>
    </row>
    <row r="112" spans="2:74" s="67" customFormat="1" x14ac:dyDescent="0.25">
      <c r="B112" s="406"/>
      <c r="C112" s="406"/>
      <c r="D112" s="406"/>
      <c r="E112" s="407"/>
      <c r="F112" s="406">
        <f>F111+F106+F88+F55+F46+F18</f>
        <v>9605</v>
      </c>
      <c r="G112" s="408">
        <f>G111+G106+G88+G55+G46+G18</f>
        <v>94103900</v>
      </c>
      <c r="H112" s="408">
        <f t="shared" ref="H112:Q112" si="182">H111+H106+H88+H55+H46+H18</f>
        <v>35748700</v>
      </c>
      <c r="I112" s="408">
        <f t="shared" si="182"/>
        <v>58355200</v>
      </c>
      <c r="J112" s="408">
        <f t="shared" si="182"/>
        <v>0</v>
      </c>
      <c r="K112" s="408">
        <f t="shared" si="182"/>
        <v>0</v>
      </c>
      <c r="L112" s="408">
        <f t="shared" si="182"/>
        <v>0</v>
      </c>
      <c r="M112" s="408">
        <f t="shared" si="182"/>
        <v>0</v>
      </c>
      <c r="N112" s="408">
        <f t="shared" si="182"/>
        <v>0</v>
      </c>
      <c r="O112" s="408">
        <f t="shared" si="182"/>
        <v>0</v>
      </c>
      <c r="P112" s="408">
        <f t="shared" si="182"/>
        <v>0</v>
      </c>
      <c r="Q112" s="408">
        <f t="shared" si="182"/>
        <v>0</v>
      </c>
      <c r="R112" s="406">
        <f t="shared" ref="R112:BJ112" si="183">R111+R106+R88+R55+R46+R18</f>
        <v>2339.5</v>
      </c>
      <c r="S112" s="406">
        <f t="shared" si="183"/>
        <v>2584.5</v>
      </c>
      <c r="T112" s="406">
        <f t="shared" si="183"/>
        <v>2337.5</v>
      </c>
      <c r="U112" s="406">
        <f t="shared" si="183"/>
        <v>2337.5</v>
      </c>
      <c r="V112" s="408">
        <f t="shared" si="183"/>
        <v>20891600</v>
      </c>
      <c r="W112" s="408">
        <f t="shared" si="183"/>
        <v>26054100</v>
      </c>
      <c r="X112" s="408">
        <f t="shared" si="183"/>
        <v>15891600</v>
      </c>
      <c r="Y112" s="408">
        <f t="shared" si="183"/>
        <v>15891600</v>
      </c>
      <c r="Z112" s="406">
        <f t="shared" si="183"/>
        <v>549</v>
      </c>
      <c r="AA112" s="406">
        <f t="shared" si="183"/>
        <v>8085200</v>
      </c>
      <c r="AB112" s="406">
        <f t="shared" si="183"/>
        <v>548</v>
      </c>
      <c r="AC112" s="406">
        <f t="shared" si="183"/>
        <v>5685200</v>
      </c>
      <c r="AD112" s="406">
        <f t="shared" si="183"/>
        <v>541</v>
      </c>
      <c r="AE112" s="406">
        <f t="shared" si="183"/>
        <v>5065200</v>
      </c>
      <c r="AF112" s="406">
        <f t="shared" si="183"/>
        <v>528</v>
      </c>
      <c r="AG112" s="406">
        <f t="shared" si="183"/>
        <v>3875200</v>
      </c>
      <c r="AH112" s="406">
        <f t="shared" si="183"/>
        <v>529</v>
      </c>
      <c r="AI112" s="406">
        <f t="shared" si="183"/>
        <v>4005200</v>
      </c>
      <c r="AJ112" s="406">
        <f t="shared" si="183"/>
        <v>549</v>
      </c>
      <c r="AK112" s="406">
        <f t="shared" si="183"/>
        <v>6085200</v>
      </c>
      <c r="AL112" s="406">
        <f t="shared" si="183"/>
        <v>548</v>
      </c>
      <c r="AM112" s="406">
        <f t="shared" si="183"/>
        <v>5185200</v>
      </c>
      <c r="AN112" s="406">
        <f t="shared" si="183"/>
        <v>548</v>
      </c>
      <c r="AO112" s="406">
        <f t="shared" si="183"/>
        <v>6210200</v>
      </c>
      <c r="AP112" s="406">
        <f t="shared" si="183"/>
        <v>529</v>
      </c>
      <c r="AQ112" s="406">
        <f t="shared" si="183"/>
        <v>3675200</v>
      </c>
      <c r="AR112" s="406">
        <f t="shared" si="183"/>
        <v>540</v>
      </c>
      <c r="AS112" s="406">
        <f t="shared" si="183"/>
        <v>4315200</v>
      </c>
      <c r="AT112" s="406">
        <f t="shared" si="183"/>
        <v>541</v>
      </c>
      <c r="AU112" s="406">
        <f t="shared" si="183"/>
        <v>4515200</v>
      </c>
      <c r="AV112" s="406">
        <f t="shared" si="183"/>
        <v>546</v>
      </c>
      <c r="AW112" s="406">
        <f t="shared" si="183"/>
        <v>5215200</v>
      </c>
      <c r="AX112" s="406">
        <f t="shared" si="183"/>
        <v>529</v>
      </c>
      <c r="AY112" s="406">
        <f t="shared" si="183"/>
        <v>3875200</v>
      </c>
      <c r="AZ112" s="406">
        <f t="shared" si="183"/>
        <v>541</v>
      </c>
      <c r="BA112" s="406">
        <f t="shared" si="183"/>
        <v>4465200</v>
      </c>
      <c r="BB112" s="406">
        <f t="shared" si="183"/>
        <v>533</v>
      </c>
      <c r="BC112" s="406">
        <f t="shared" si="183"/>
        <v>4097700</v>
      </c>
      <c r="BD112" s="406">
        <f t="shared" si="183"/>
        <v>549</v>
      </c>
      <c r="BE112" s="406">
        <f t="shared" si="183"/>
        <v>6285200</v>
      </c>
      <c r="BF112" s="406">
        <f t="shared" si="183"/>
        <v>548</v>
      </c>
      <c r="BG112" s="406">
        <f t="shared" si="183"/>
        <v>5885200</v>
      </c>
      <c r="BH112" s="406">
        <f t="shared" si="183"/>
        <v>409</v>
      </c>
      <c r="BI112" s="406">
        <f t="shared" si="183"/>
        <v>7578000</v>
      </c>
      <c r="BJ112" s="406">
        <f t="shared" si="183"/>
        <v>9605</v>
      </c>
      <c r="BK112" s="405">
        <f t="shared" si="178"/>
        <v>94103900</v>
      </c>
      <c r="BL112" s="118"/>
      <c r="BN112" s="408">
        <f t="shared" ref="BN112:BU112" si="184">BN111+BN106+BN88+BN55+BN46+BN18</f>
        <v>20375000</v>
      </c>
      <c r="BO112" s="408">
        <f t="shared" si="184"/>
        <v>0</v>
      </c>
      <c r="BP112" s="408">
        <f t="shared" si="184"/>
        <v>17302500</v>
      </c>
      <c r="BQ112" s="408">
        <f t="shared" si="184"/>
        <v>0</v>
      </c>
      <c r="BR112" s="408">
        <f t="shared" si="184"/>
        <v>37677500</v>
      </c>
      <c r="BS112" s="408">
        <f t="shared" si="184"/>
        <v>37352400</v>
      </c>
      <c r="BT112" s="408">
        <f t="shared" si="184"/>
        <v>19074000</v>
      </c>
      <c r="BU112" s="408">
        <f t="shared" si="184"/>
        <v>56426400</v>
      </c>
      <c r="BV112" s="409">
        <f t="shared" si="121"/>
        <v>94103900</v>
      </c>
    </row>
    <row r="113" spans="3:71" x14ac:dyDescent="0.25">
      <c r="C113" s="39" t="s">
        <v>507</v>
      </c>
      <c r="X113" s="82"/>
      <c r="AA113" s="39">
        <f>AA112+AA107+AA89+AA56+AA47+AA19</f>
        <v>8085200</v>
      </c>
      <c r="AB113" s="39">
        <f t="shared" ref="AB113:BK113" si="185">AB112+AB107+AB89+AB56+AB47+AB19</f>
        <v>548</v>
      </c>
      <c r="AC113" s="39">
        <f t="shared" si="185"/>
        <v>5685200</v>
      </c>
      <c r="AD113" s="39">
        <f t="shared" si="185"/>
        <v>541</v>
      </c>
      <c r="AE113" s="39">
        <f t="shared" si="185"/>
        <v>5065200</v>
      </c>
      <c r="AF113" s="39">
        <f t="shared" si="185"/>
        <v>528</v>
      </c>
      <c r="AG113" s="39">
        <f t="shared" si="185"/>
        <v>3875200</v>
      </c>
      <c r="AH113" s="39">
        <f t="shared" si="185"/>
        <v>529</v>
      </c>
      <c r="AI113" s="39">
        <f t="shared" si="185"/>
        <v>4005200</v>
      </c>
      <c r="AJ113" s="39">
        <f t="shared" si="185"/>
        <v>549</v>
      </c>
      <c r="AK113" s="39">
        <f t="shared" si="185"/>
        <v>6085200</v>
      </c>
      <c r="AL113" s="39">
        <f t="shared" si="185"/>
        <v>548</v>
      </c>
      <c r="AM113" s="39">
        <f t="shared" si="185"/>
        <v>5185200</v>
      </c>
      <c r="AN113" s="39">
        <f t="shared" si="185"/>
        <v>548</v>
      </c>
      <c r="AO113" s="39">
        <f t="shared" si="185"/>
        <v>6210200</v>
      </c>
      <c r="AP113" s="39">
        <f t="shared" si="185"/>
        <v>529</v>
      </c>
      <c r="AQ113" s="39">
        <f t="shared" si="185"/>
        <v>3675200</v>
      </c>
      <c r="AR113" s="39">
        <f t="shared" si="185"/>
        <v>540</v>
      </c>
      <c r="AS113" s="39">
        <f t="shared" si="185"/>
        <v>4315200</v>
      </c>
      <c r="AT113" s="39">
        <f t="shared" si="185"/>
        <v>541</v>
      </c>
      <c r="AU113" s="39">
        <f t="shared" si="185"/>
        <v>4515200</v>
      </c>
      <c r="AV113" s="39">
        <f t="shared" si="185"/>
        <v>546</v>
      </c>
      <c r="AW113" s="39">
        <f t="shared" si="185"/>
        <v>5215200</v>
      </c>
      <c r="AX113" s="39">
        <f t="shared" si="185"/>
        <v>529</v>
      </c>
      <c r="AY113" s="39">
        <f t="shared" si="185"/>
        <v>3875200</v>
      </c>
      <c r="AZ113" s="39">
        <f t="shared" si="185"/>
        <v>541</v>
      </c>
      <c r="BA113" s="39">
        <f t="shared" si="185"/>
        <v>4465200</v>
      </c>
      <c r="BB113" s="39">
        <f t="shared" si="185"/>
        <v>533</v>
      </c>
      <c r="BC113" s="39">
        <f t="shared" si="185"/>
        <v>4097700</v>
      </c>
      <c r="BD113" s="39">
        <f t="shared" si="185"/>
        <v>549</v>
      </c>
      <c r="BE113" s="39">
        <f t="shared" si="185"/>
        <v>6285200</v>
      </c>
      <c r="BF113" s="39">
        <f t="shared" si="185"/>
        <v>548</v>
      </c>
      <c r="BG113" s="39">
        <f t="shared" si="185"/>
        <v>5885200</v>
      </c>
      <c r="BH113" s="39">
        <f t="shared" si="185"/>
        <v>409</v>
      </c>
      <c r="BI113" s="39">
        <f t="shared" si="185"/>
        <v>7578000</v>
      </c>
      <c r="BJ113" s="39">
        <f t="shared" si="185"/>
        <v>9605</v>
      </c>
      <c r="BK113" s="39">
        <f t="shared" si="185"/>
        <v>94103900</v>
      </c>
      <c r="BS113" s="82"/>
    </row>
    <row r="114" spans="3:71" x14ac:dyDescent="0.25">
      <c r="C114" s="39" t="s">
        <v>578</v>
      </c>
      <c r="X114" s="82"/>
      <c r="AA114" s="39">
        <f>+AA113+AC113+AE113+AG113+AI113+AK113+AM113+AO113+AQ113+AS113+AU113+AW113+AY113+BA113+BC113+BE113+BG113+BI113</f>
        <v>94103900</v>
      </c>
      <c r="BS114" s="82"/>
    </row>
    <row r="115" spans="3:71" x14ac:dyDescent="0.25">
      <c r="C115" s="39" t="s">
        <v>579</v>
      </c>
    </row>
    <row r="116" spans="3:71" x14ac:dyDescent="0.25">
      <c r="C116" s="39" t="s">
        <v>580</v>
      </c>
      <c r="AA116" s="39">
        <f>AA111+AA106+AA88+AA46+AA18</f>
        <v>7665200</v>
      </c>
    </row>
    <row r="117" spans="3:71" x14ac:dyDescent="0.25">
      <c r="C117" s="39" t="s">
        <v>581</v>
      </c>
    </row>
    <row r="118" spans="3:71" x14ac:dyDescent="0.25">
      <c r="C118" s="39" t="s">
        <v>864</v>
      </c>
    </row>
    <row r="119" spans="3:71" x14ac:dyDescent="0.25">
      <c r="C119" s="39" t="s">
        <v>582</v>
      </c>
    </row>
  </sheetData>
  <mergeCells count="43"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  <mergeCell ref="H7:Q7"/>
    <mergeCell ref="A10:A95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R7:U8"/>
    <mergeCell ref="V7:Y8"/>
    <mergeCell ref="Z7:AA8"/>
    <mergeCell ref="AB7:AC8"/>
    <mergeCell ref="AD7:AE8"/>
    <mergeCell ref="AF7:AG8"/>
    <mergeCell ref="AX7:AY8"/>
    <mergeCell ref="AZ7:BA8"/>
    <mergeCell ref="BB7:BC8"/>
    <mergeCell ref="BD7:BE8"/>
    <mergeCell ref="AH7:AI8"/>
    <mergeCell ref="AJ7:AK8"/>
    <mergeCell ref="AL7:AM8"/>
    <mergeCell ref="AN7:AO8"/>
    <mergeCell ref="AP7:AQ8"/>
    <mergeCell ref="AR7:AS8"/>
  </mergeCells>
  <pageMargins left="0.4" right="0.7" top="0.32" bottom="0.17" header="0.3" footer="0.17"/>
  <pageSetup paperSize="9" scale="28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V51"/>
  <sheetViews>
    <sheetView zoomScale="115" zoomScaleNormal="115" workbookViewId="0">
      <pane xSplit="7" ySplit="10" topLeftCell="H38" activePane="bottomRight" state="frozen"/>
      <selection activeCell="C8" sqref="C8"/>
      <selection pane="topRight" activeCell="H8" sqref="H8"/>
      <selection pane="bottomLeft" activeCell="C11" sqref="C11"/>
      <selection pane="bottomRight" activeCell="E41" sqref="E41"/>
    </sheetView>
  </sheetViews>
  <sheetFormatPr defaultRowHeight="15.75" x14ac:dyDescent="0.25"/>
  <cols>
    <col min="1" max="1" width="11.7109375" style="106" customWidth="1"/>
    <col min="2" max="2" width="7.7109375" style="106" hidden="1" customWidth="1"/>
    <col min="3" max="3" width="27.85546875" style="106" customWidth="1"/>
    <col min="4" max="4" width="12.42578125" style="106" hidden="1" customWidth="1"/>
    <col min="5" max="5" width="19.85546875" style="106" customWidth="1"/>
    <col min="6" max="6" width="8.42578125" style="106" customWidth="1"/>
    <col min="7" max="7" width="16.28515625" style="413" bestFit="1" customWidth="1"/>
    <col min="8" max="8" width="13.140625" style="413" customWidth="1"/>
    <col min="9" max="9" width="17.28515625" style="413" customWidth="1"/>
    <col min="10" max="10" width="10.28515625" style="413" customWidth="1"/>
    <col min="11" max="11" width="13" style="413" customWidth="1"/>
    <col min="12" max="12" width="6.5703125" style="413" customWidth="1"/>
    <col min="13" max="13" width="12.140625" style="413" customWidth="1"/>
    <col min="14" max="14" width="5.5703125" style="413" customWidth="1"/>
    <col min="15" max="15" width="7.140625" style="413" customWidth="1"/>
    <col min="16" max="16" width="12" style="413" customWidth="1"/>
    <col min="17" max="17" width="8.28515625" style="106" customWidth="1"/>
    <col min="18" max="18" width="5.28515625" style="414" customWidth="1"/>
    <col min="19" max="19" width="5.140625" style="414" customWidth="1"/>
    <col min="20" max="20" width="6.28515625" style="414" customWidth="1"/>
    <col min="21" max="21" width="5.42578125" style="414" customWidth="1"/>
    <col min="22" max="22" width="13.140625" style="413" bestFit="1" customWidth="1"/>
    <col min="23" max="23" width="11.85546875" style="413" customWidth="1"/>
    <col min="24" max="24" width="11.28515625" style="413" customWidth="1"/>
    <col min="25" max="25" width="13.140625" style="413" customWidth="1"/>
    <col min="26" max="26" width="5.140625" style="106" customWidth="1"/>
    <col min="27" max="27" width="11.7109375" style="106" customWidth="1"/>
    <col min="28" max="28" width="5.140625" style="106" customWidth="1"/>
    <col min="29" max="29" width="11.7109375" style="106" customWidth="1"/>
    <col min="30" max="30" width="5.140625" style="106" customWidth="1"/>
    <col min="31" max="31" width="11.7109375" style="106" customWidth="1"/>
    <col min="32" max="32" width="5.140625" style="106" customWidth="1"/>
    <col min="33" max="33" width="13.140625" style="106" customWidth="1"/>
    <col min="34" max="34" width="5.140625" style="106" customWidth="1"/>
    <col min="35" max="35" width="13.140625" style="106" customWidth="1"/>
    <col min="36" max="36" width="5.140625" style="106" customWidth="1"/>
    <col min="37" max="37" width="13.140625" style="106" customWidth="1"/>
    <col min="38" max="38" width="5.140625" style="106" customWidth="1"/>
    <col min="39" max="39" width="13.140625" style="106" customWidth="1"/>
    <col min="40" max="40" width="5.140625" style="106" customWidth="1"/>
    <col min="41" max="41" width="13.140625" style="106" customWidth="1"/>
    <col min="42" max="42" width="5.140625" style="106" customWidth="1"/>
    <col min="43" max="43" width="11.7109375" style="106" customWidth="1"/>
    <col min="44" max="44" width="5.140625" style="106" customWidth="1"/>
    <col min="45" max="45" width="13.140625" style="106" customWidth="1"/>
    <col min="46" max="46" width="5.140625" style="106" customWidth="1"/>
    <col min="47" max="47" width="13.140625" style="106" customWidth="1"/>
    <col min="48" max="48" width="5.140625" style="106" customWidth="1"/>
    <col min="49" max="49" width="13.140625" style="106" customWidth="1"/>
    <col min="50" max="50" width="5.140625" style="106" customWidth="1"/>
    <col min="51" max="51" width="13.140625" style="106" customWidth="1"/>
    <col min="52" max="52" width="5.140625" style="106" customWidth="1"/>
    <col min="53" max="53" width="13.140625" style="106" customWidth="1"/>
    <col min="54" max="54" width="5.140625" style="106" customWidth="1"/>
    <col min="55" max="55" width="13.140625" style="106" customWidth="1"/>
    <col min="56" max="56" width="5.140625" style="106" customWidth="1"/>
    <col min="57" max="57" width="13.140625" style="106" customWidth="1"/>
    <col min="58" max="58" width="5.140625" style="106" customWidth="1"/>
    <col min="59" max="59" width="13.140625" style="106" customWidth="1"/>
    <col min="60" max="60" width="5.140625" style="106" customWidth="1"/>
    <col min="61" max="61" width="17.28515625" style="106" customWidth="1"/>
    <col min="62" max="62" width="5.140625" style="106" customWidth="1"/>
    <col min="63" max="63" width="15.42578125" style="106" customWidth="1"/>
    <col min="64" max="64" width="22.28515625" style="106" customWidth="1"/>
    <col min="65" max="65" width="9.140625" style="106" customWidth="1"/>
    <col min="66" max="66" width="6.7109375" style="106" bestFit="1" customWidth="1"/>
    <col min="67" max="67" width="18.7109375" style="106" bestFit="1" customWidth="1"/>
    <col min="68" max="68" width="14.28515625" style="106" bestFit="1" customWidth="1"/>
    <col min="69" max="69" width="9.140625" style="106"/>
    <col min="70" max="70" width="15.5703125" style="106" bestFit="1" customWidth="1"/>
    <col min="71" max="73" width="9.140625" style="106"/>
    <col min="74" max="74" width="14.28515625" style="106" bestFit="1" customWidth="1"/>
    <col min="75" max="16384" width="9.140625" style="106"/>
  </cols>
  <sheetData>
    <row r="1" spans="1:74" ht="15.75" customHeight="1" x14ac:dyDescent="0.25"/>
    <row r="2" spans="1:74" ht="15.75" customHeight="1" x14ac:dyDescent="0.25">
      <c r="A2" s="903" t="s">
        <v>409</v>
      </c>
      <c r="B2" s="903"/>
      <c r="C2" s="903" t="s">
        <v>403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415"/>
      <c r="S2" s="415"/>
      <c r="T2" s="415"/>
      <c r="U2" s="415"/>
      <c r="V2" s="300"/>
      <c r="W2" s="300"/>
      <c r="X2" s="300"/>
      <c r="Y2" s="300"/>
    </row>
    <row r="3" spans="1:74" ht="15.75" customHeight="1" x14ac:dyDescent="0.25">
      <c r="A3" s="903" t="s">
        <v>411</v>
      </c>
      <c r="B3" s="903"/>
      <c r="C3" s="903" t="s">
        <v>404</v>
      </c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415"/>
      <c r="S3" s="415"/>
      <c r="T3" s="415"/>
      <c r="U3" s="415"/>
      <c r="V3" s="300"/>
      <c r="W3" s="300"/>
      <c r="X3" s="300"/>
      <c r="Y3" s="300"/>
    </row>
    <row r="4" spans="1:74" ht="15.75" customHeight="1" x14ac:dyDescent="0.25">
      <c r="A4" s="903" t="s">
        <v>406</v>
      </c>
      <c r="B4" s="903"/>
      <c r="C4" s="903" t="s">
        <v>752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415"/>
      <c r="S4" s="415"/>
      <c r="T4" s="415"/>
      <c r="U4" s="415"/>
      <c r="V4" s="300"/>
      <c r="W4" s="300"/>
      <c r="X4" s="300"/>
      <c r="Y4" s="300"/>
    </row>
    <row r="5" spans="1:74" ht="15.75" customHeight="1" x14ac:dyDescent="0.25">
      <c r="A5" s="903" t="s">
        <v>412</v>
      </c>
      <c r="B5" s="903"/>
      <c r="C5" s="903" t="s">
        <v>410</v>
      </c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415"/>
      <c r="S5" s="415"/>
      <c r="T5" s="415"/>
      <c r="U5" s="415"/>
      <c r="V5" s="300"/>
      <c r="W5" s="300"/>
      <c r="X5" s="300"/>
      <c r="Y5" s="300"/>
    </row>
    <row r="6" spans="1:74" ht="15.75" customHeight="1" x14ac:dyDescent="0.25">
      <c r="A6" s="903" t="s">
        <v>413</v>
      </c>
      <c r="B6" s="903"/>
      <c r="C6" s="903" t="s">
        <v>401</v>
      </c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415"/>
      <c r="S6" s="415"/>
      <c r="T6" s="415"/>
      <c r="U6" s="415"/>
      <c r="V6" s="300"/>
      <c r="W6" s="300"/>
      <c r="X6" s="300"/>
      <c r="Y6" s="300"/>
    </row>
    <row r="7" spans="1:74" ht="28.5" customHeight="1" x14ac:dyDescent="0.25">
      <c r="A7" s="931"/>
      <c r="B7" s="932"/>
      <c r="C7" s="932"/>
      <c r="D7" s="933"/>
      <c r="E7" s="931" t="s">
        <v>22</v>
      </c>
      <c r="F7" s="932"/>
      <c r="G7" s="933"/>
      <c r="H7" s="906" t="s">
        <v>402</v>
      </c>
      <c r="I7" s="907"/>
      <c r="J7" s="907"/>
      <c r="K7" s="907"/>
      <c r="L7" s="907"/>
      <c r="M7" s="907"/>
      <c r="N7" s="907"/>
      <c r="O7" s="907"/>
      <c r="P7" s="907"/>
      <c r="Q7" s="908"/>
      <c r="R7" s="1002" t="s">
        <v>66</v>
      </c>
      <c r="S7" s="1003"/>
      <c r="T7" s="1003"/>
      <c r="U7" s="1004"/>
      <c r="V7" s="1009" t="s">
        <v>6</v>
      </c>
      <c r="W7" s="1010"/>
      <c r="X7" s="1010"/>
      <c r="Y7" s="1011"/>
      <c r="Z7" s="910" t="s">
        <v>434</v>
      </c>
      <c r="AA7" s="910"/>
      <c r="AB7" s="910" t="s">
        <v>435</v>
      </c>
      <c r="AC7" s="910"/>
      <c r="AD7" s="910" t="s">
        <v>436</v>
      </c>
      <c r="AE7" s="910"/>
      <c r="AF7" s="910" t="s">
        <v>437</v>
      </c>
      <c r="AG7" s="910"/>
      <c r="AH7" s="910" t="s">
        <v>438</v>
      </c>
      <c r="AI7" s="910"/>
      <c r="AJ7" s="910" t="s">
        <v>439</v>
      </c>
      <c r="AK7" s="910"/>
      <c r="AL7" s="910" t="s">
        <v>440</v>
      </c>
      <c r="AM7" s="910"/>
      <c r="AN7" s="910" t="s">
        <v>441</v>
      </c>
      <c r="AO7" s="910"/>
      <c r="AP7" s="910" t="s">
        <v>442</v>
      </c>
      <c r="AQ7" s="910"/>
      <c r="AR7" s="910" t="s">
        <v>443</v>
      </c>
      <c r="AS7" s="910"/>
      <c r="AT7" s="910" t="s">
        <v>444</v>
      </c>
      <c r="AU7" s="910"/>
      <c r="AV7" s="910" t="s">
        <v>445</v>
      </c>
      <c r="AW7" s="910"/>
      <c r="AX7" s="910" t="s">
        <v>446</v>
      </c>
      <c r="AY7" s="910"/>
      <c r="AZ7" s="910" t="s">
        <v>447</v>
      </c>
      <c r="BA7" s="910"/>
      <c r="BB7" s="910" t="s">
        <v>448</v>
      </c>
      <c r="BC7" s="910"/>
      <c r="BD7" s="910" t="s">
        <v>449</v>
      </c>
      <c r="BE7" s="910"/>
      <c r="BF7" s="910" t="s">
        <v>450</v>
      </c>
      <c r="BG7" s="910"/>
      <c r="BH7" s="910" t="s">
        <v>451</v>
      </c>
      <c r="BI7" s="910"/>
      <c r="BJ7" s="910" t="s">
        <v>18</v>
      </c>
      <c r="BK7" s="910"/>
      <c r="BL7" s="841" t="s">
        <v>498</v>
      </c>
    </row>
    <row r="8" spans="1:74" ht="30.75" customHeight="1" x14ac:dyDescent="0.25">
      <c r="A8" s="913" t="s">
        <v>14</v>
      </c>
      <c r="B8" s="913" t="s">
        <v>62</v>
      </c>
      <c r="C8" s="911" t="s">
        <v>12</v>
      </c>
      <c r="D8" s="416" t="s">
        <v>15</v>
      </c>
      <c r="E8" s="913" t="s">
        <v>31</v>
      </c>
      <c r="F8" s="913" t="s">
        <v>33</v>
      </c>
      <c r="G8" s="846" t="s">
        <v>34</v>
      </c>
      <c r="H8" s="118" t="s">
        <v>457</v>
      </c>
      <c r="I8" s="118" t="s">
        <v>458</v>
      </c>
      <c r="J8" s="118" t="s">
        <v>459</v>
      </c>
      <c r="K8" s="118" t="s">
        <v>460</v>
      </c>
      <c r="L8" s="118" t="s">
        <v>461</v>
      </c>
      <c r="M8" s="118" t="s">
        <v>462</v>
      </c>
      <c r="N8" s="118" t="s">
        <v>463</v>
      </c>
      <c r="O8" s="118" t="s">
        <v>464</v>
      </c>
      <c r="P8" s="118" t="s">
        <v>465</v>
      </c>
      <c r="Q8" s="118" t="s">
        <v>466</v>
      </c>
      <c r="R8" s="1005"/>
      <c r="S8" s="1006"/>
      <c r="T8" s="1006"/>
      <c r="U8" s="1007"/>
      <c r="V8" s="1012"/>
      <c r="W8" s="1013"/>
      <c r="X8" s="1013"/>
      <c r="Y8" s="1014"/>
      <c r="Z8" s="910"/>
      <c r="AA8" s="910"/>
      <c r="AB8" s="910" t="s">
        <v>49</v>
      </c>
      <c r="AC8" s="910"/>
      <c r="AD8" s="910" t="s">
        <v>50</v>
      </c>
      <c r="AE8" s="910"/>
      <c r="AF8" s="910" t="s">
        <v>51</v>
      </c>
      <c r="AG8" s="910"/>
      <c r="AH8" s="910" t="s">
        <v>52</v>
      </c>
      <c r="AI8" s="910"/>
      <c r="AJ8" s="910" t="s">
        <v>53</v>
      </c>
      <c r="AK8" s="910"/>
      <c r="AL8" s="910" t="s">
        <v>54</v>
      </c>
      <c r="AM8" s="910"/>
      <c r="AN8" s="910" t="s">
        <v>55</v>
      </c>
      <c r="AO8" s="910"/>
      <c r="AP8" s="910" t="s">
        <v>56</v>
      </c>
      <c r="AQ8" s="910"/>
      <c r="AR8" s="910" t="s">
        <v>57</v>
      </c>
      <c r="AS8" s="910"/>
      <c r="AT8" s="910" t="s">
        <v>58</v>
      </c>
      <c r="AU8" s="910"/>
      <c r="AV8" s="910" t="s">
        <v>59</v>
      </c>
      <c r="AW8" s="910"/>
      <c r="AX8" s="910" t="s">
        <v>60</v>
      </c>
      <c r="AY8" s="910"/>
      <c r="AZ8" s="910" t="s">
        <v>61</v>
      </c>
      <c r="BA8" s="910"/>
      <c r="BB8" s="910" t="s">
        <v>45</v>
      </c>
      <c r="BC8" s="910"/>
      <c r="BD8" s="910" t="s">
        <v>42</v>
      </c>
      <c r="BE8" s="910"/>
      <c r="BF8" s="910"/>
      <c r="BG8" s="910"/>
      <c r="BH8" s="910"/>
      <c r="BI8" s="910"/>
      <c r="BJ8" s="910"/>
      <c r="BK8" s="910"/>
      <c r="BL8" s="841"/>
      <c r="BN8" s="840" t="s">
        <v>496</v>
      </c>
      <c r="BO8" s="840"/>
      <c r="BP8" s="840"/>
      <c r="BQ8" s="840"/>
      <c r="BR8" s="840"/>
      <c r="BS8" s="840" t="s">
        <v>497</v>
      </c>
      <c r="BT8" s="840"/>
      <c r="BU8" s="840"/>
      <c r="BV8" s="841" t="s">
        <v>18</v>
      </c>
    </row>
    <row r="9" spans="1:74" ht="33" customHeight="1" x14ac:dyDescent="0.25">
      <c r="A9" s="914"/>
      <c r="B9" s="914"/>
      <c r="C9" s="912"/>
      <c r="D9" s="417"/>
      <c r="E9" s="914"/>
      <c r="F9" s="914"/>
      <c r="G9" s="847"/>
      <c r="H9" s="154"/>
      <c r="I9" s="154"/>
      <c r="J9" s="154"/>
      <c r="K9" s="154"/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418" t="s">
        <v>7</v>
      </c>
      <c r="S9" s="418" t="s">
        <v>8</v>
      </c>
      <c r="T9" s="418" t="s">
        <v>9</v>
      </c>
      <c r="U9" s="418" t="s">
        <v>10</v>
      </c>
      <c r="V9" s="84" t="s">
        <v>7</v>
      </c>
      <c r="W9" s="84" t="s">
        <v>8</v>
      </c>
      <c r="X9" s="84" t="s">
        <v>9</v>
      </c>
      <c r="Y9" s="84" t="s">
        <v>10</v>
      </c>
      <c r="Z9" s="363" t="s">
        <v>15</v>
      </c>
      <c r="AA9" s="364" t="s">
        <v>16</v>
      </c>
      <c r="AB9" s="365" t="s">
        <v>15</v>
      </c>
      <c r="AC9" s="365" t="s">
        <v>16</v>
      </c>
      <c r="AD9" s="365" t="s">
        <v>15</v>
      </c>
      <c r="AE9" s="365" t="s">
        <v>16</v>
      </c>
      <c r="AF9" s="365" t="s">
        <v>15</v>
      </c>
      <c r="AG9" s="365" t="s">
        <v>16</v>
      </c>
      <c r="AH9" s="365" t="s">
        <v>15</v>
      </c>
      <c r="AI9" s="365" t="s">
        <v>16</v>
      </c>
      <c r="AJ9" s="365" t="s">
        <v>15</v>
      </c>
      <c r="AK9" s="365" t="s">
        <v>16</v>
      </c>
      <c r="AL9" s="365" t="s">
        <v>15</v>
      </c>
      <c r="AM9" s="365" t="s">
        <v>16</v>
      </c>
      <c r="AN9" s="365" t="s">
        <v>15</v>
      </c>
      <c r="AO9" s="365" t="s">
        <v>16</v>
      </c>
      <c r="AP9" s="365" t="s">
        <v>15</v>
      </c>
      <c r="AQ9" s="365" t="s">
        <v>16</v>
      </c>
      <c r="AR9" s="365" t="s">
        <v>15</v>
      </c>
      <c r="AS9" s="365" t="s">
        <v>16</v>
      </c>
      <c r="AT9" s="365" t="s">
        <v>15</v>
      </c>
      <c r="AU9" s="365" t="s">
        <v>16</v>
      </c>
      <c r="AV9" s="365" t="s">
        <v>15</v>
      </c>
      <c r="AW9" s="365" t="s">
        <v>16</v>
      </c>
      <c r="AX9" s="365" t="s">
        <v>15</v>
      </c>
      <c r="AY9" s="365" t="s">
        <v>16</v>
      </c>
      <c r="AZ9" s="365" t="s">
        <v>15</v>
      </c>
      <c r="BA9" s="365" t="s">
        <v>16</v>
      </c>
      <c r="BB9" s="365" t="s">
        <v>15</v>
      </c>
      <c r="BC9" s="365" t="s">
        <v>16</v>
      </c>
      <c r="BD9" s="365" t="s">
        <v>15</v>
      </c>
      <c r="BE9" s="365" t="s">
        <v>16</v>
      </c>
      <c r="BF9" s="365" t="s">
        <v>15</v>
      </c>
      <c r="BG9" s="365" t="s">
        <v>16</v>
      </c>
      <c r="BH9" s="365" t="s">
        <v>15</v>
      </c>
      <c r="BI9" s="365" t="s">
        <v>16</v>
      </c>
      <c r="BJ9" s="365" t="s">
        <v>15</v>
      </c>
      <c r="BK9" s="365" t="s">
        <v>16</v>
      </c>
      <c r="BL9" s="841"/>
      <c r="BN9" s="118" t="s">
        <v>487</v>
      </c>
      <c r="BO9" s="367" t="s">
        <v>488</v>
      </c>
      <c r="BP9" s="367" t="s">
        <v>489</v>
      </c>
      <c r="BQ9" s="368" t="s">
        <v>490</v>
      </c>
      <c r="BR9" s="369" t="s">
        <v>491</v>
      </c>
      <c r="BS9" s="367" t="s">
        <v>492</v>
      </c>
      <c r="BT9" s="367" t="s">
        <v>493</v>
      </c>
      <c r="BU9" s="369" t="s">
        <v>494</v>
      </c>
      <c r="BV9" s="841"/>
    </row>
    <row r="10" spans="1:74" ht="15.75" customHeight="1" x14ac:dyDescent="0.25">
      <c r="A10" s="1008" t="s">
        <v>32</v>
      </c>
      <c r="B10" s="383">
        <v>43000</v>
      </c>
      <c r="C10" s="383" t="s">
        <v>401</v>
      </c>
      <c r="D10" s="383"/>
      <c r="E10" s="383"/>
      <c r="F10" s="383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383"/>
      <c r="R10" s="222"/>
      <c r="S10" s="222"/>
      <c r="T10" s="222"/>
      <c r="U10" s="222"/>
      <c r="V10" s="158"/>
      <c r="W10" s="158"/>
      <c r="X10" s="158"/>
      <c r="Y10" s="158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N10" s="383"/>
      <c r="BO10" s="383"/>
      <c r="BP10" s="383"/>
      <c r="BQ10" s="383"/>
      <c r="BR10" s="158">
        <f t="shared" ref="BR10:BR15" si="0">BN10+BO10+BP10+BQ10</f>
        <v>0</v>
      </c>
      <c r="BS10" s="383"/>
      <c r="BT10" s="383"/>
      <c r="BU10" s="383">
        <f>BS10+BT10</f>
        <v>0</v>
      </c>
      <c r="BV10" s="158">
        <f>BR10+BU10</f>
        <v>0</v>
      </c>
    </row>
    <row r="11" spans="1:74" x14ac:dyDescent="0.25">
      <c r="A11" s="1008"/>
      <c r="B11" s="38">
        <v>43100</v>
      </c>
      <c r="C11" s="38" t="s">
        <v>372</v>
      </c>
      <c r="D11" s="38"/>
      <c r="E11" s="375"/>
      <c r="F11" s="3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383"/>
      <c r="R11" s="222"/>
      <c r="S11" s="222"/>
      <c r="T11" s="222"/>
      <c r="U11" s="222"/>
      <c r="V11" s="158"/>
      <c r="W11" s="158"/>
      <c r="X11" s="158"/>
      <c r="Y11" s="158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N11" s="383"/>
      <c r="BO11" s="383"/>
      <c r="BP11" s="383"/>
      <c r="BQ11" s="383"/>
      <c r="BR11" s="158">
        <f t="shared" si="0"/>
        <v>0</v>
      </c>
      <c r="BS11" s="383"/>
      <c r="BT11" s="383"/>
      <c r="BU11" s="383">
        <f t="shared" ref="BU11:BU17" si="1">BS11+BT11</f>
        <v>0</v>
      </c>
      <c r="BV11" s="158">
        <f t="shared" ref="BV11:BV42" si="2">BR11+BU11</f>
        <v>0</v>
      </c>
    </row>
    <row r="12" spans="1:74" ht="31.5" x14ac:dyDescent="0.25">
      <c r="A12" s="1008"/>
      <c r="B12" s="38"/>
      <c r="C12" s="38" t="s">
        <v>373</v>
      </c>
      <c r="D12" s="38" t="s">
        <v>374</v>
      </c>
      <c r="E12" s="375">
        <f>25*100000</f>
        <v>2500000</v>
      </c>
      <c r="F12" s="38">
        <f>BJ12</f>
        <v>0</v>
      </c>
      <c r="G12" s="158">
        <f>E12*F12</f>
        <v>0</v>
      </c>
      <c r="H12" s="158">
        <f>G12*0.031</f>
        <v>0</v>
      </c>
      <c r="I12" s="158">
        <f>G12*0.8</f>
        <v>0</v>
      </c>
      <c r="J12" s="158">
        <f>G12*0</f>
        <v>0</v>
      </c>
      <c r="K12" s="158">
        <f>G12*0.169</f>
        <v>0</v>
      </c>
      <c r="L12" s="158">
        <f>G12*0</f>
        <v>0</v>
      </c>
      <c r="M12" s="158">
        <f>G12*0</f>
        <v>0</v>
      </c>
      <c r="N12" s="158">
        <f>G12*0</f>
        <v>0</v>
      </c>
      <c r="O12" s="158">
        <f>G12*0</f>
        <v>0</v>
      </c>
      <c r="P12" s="158">
        <f>G12*0</f>
        <v>0</v>
      </c>
      <c r="Q12" s="158">
        <f>G12*0</f>
        <v>0</v>
      </c>
      <c r="R12" s="222">
        <v>0</v>
      </c>
      <c r="S12" s="222">
        <v>0</v>
      </c>
      <c r="T12" s="222">
        <v>0</v>
      </c>
      <c r="U12" s="222">
        <v>0</v>
      </c>
      <c r="V12" s="158">
        <f>R12*E12</f>
        <v>0</v>
      </c>
      <c r="W12" s="158">
        <f>S12*E12</f>
        <v>0</v>
      </c>
      <c r="X12" s="158">
        <f>T12*E12</f>
        <v>0</v>
      </c>
      <c r="Y12" s="158">
        <f>U12*E12</f>
        <v>0</v>
      </c>
      <c r="Z12" s="383">
        <v>0</v>
      </c>
      <c r="AA12" s="387">
        <f>Z12*E12</f>
        <v>0</v>
      </c>
      <c r="AB12" s="383">
        <v>0</v>
      </c>
      <c r="AC12" s="387">
        <f>AB12*E12</f>
        <v>0</v>
      </c>
      <c r="AD12" s="383">
        <v>0</v>
      </c>
      <c r="AE12" s="387">
        <f>AD12*E12</f>
        <v>0</v>
      </c>
      <c r="AF12" s="383">
        <v>0</v>
      </c>
      <c r="AG12" s="387">
        <f>AF12*E12</f>
        <v>0</v>
      </c>
      <c r="AH12" s="383">
        <v>0</v>
      </c>
      <c r="AI12" s="387">
        <f>AH12*E12</f>
        <v>0</v>
      </c>
      <c r="AJ12" s="383">
        <v>0</v>
      </c>
      <c r="AK12" s="387">
        <f>AJ12*E12</f>
        <v>0</v>
      </c>
      <c r="AL12" s="383">
        <v>0</v>
      </c>
      <c r="AM12" s="387">
        <f>AL12*E12</f>
        <v>0</v>
      </c>
      <c r="AN12" s="383">
        <v>0</v>
      </c>
      <c r="AO12" s="387">
        <f>AN12*E12</f>
        <v>0</v>
      </c>
      <c r="AP12" s="383">
        <v>0</v>
      </c>
      <c r="AQ12" s="387">
        <f>AP12*E12</f>
        <v>0</v>
      </c>
      <c r="AR12" s="383">
        <v>0</v>
      </c>
      <c r="AS12" s="387">
        <f>AR12*E12</f>
        <v>0</v>
      </c>
      <c r="AT12" s="383">
        <v>0</v>
      </c>
      <c r="AU12" s="387">
        <f>AT12*E12</f>
        <v>0</v>
      </c>
      <c r="AV12" s="383">
        <v>0</v>
      </c>
      <c r="AW12" s="387">
        <f>AV12*E12</f>
        <v>0</v>
      </c>
      <c r="AX12" s="383">
        <v>0</v>
      </c>
      <c r="AY12" s="387">
        <f t="shared" ref="AY12:AY25" si="3">AX12*E12</f>
        <v>0</v>
      </c>
      <c r="AZ12" s="383">
        <v>0</v>
      </c>
      <c r="BA12" s="387">
        <f>AZ12*E12</f>
        <v>0</v>
      </c>
      <c r="BB12" s="383">
        <v>0</v>
      </c>
      <c r="BC12" s="387">
        <f>BB12*E12</f>
        <v>0</v>
      </c>
      <c r="BD12" s="383">
        <v>0</v>
      </c>
      <c r="BE12" s="387">
        <f>BD12*E12</f>
        <v>0</v>
      </c>
      <c r="BF12" s="383">
        <v>0</v>
      </c>
      <c r="BG12" s="387">
        <f>BF12*E12</f>
        <v>0</v>
      </c>
      <c r="BH12" s="383">
        <v>0</v>
      </c>
      <c r="BI12" s="387">
        <f>BH12*E12</f>
        <v>0</v>
      </c>
      <c r="BJ12" s="47">
        <f>Z12+AB12+AD12+AF12+AH12+AJ12+AL12+AN12+AP12+AR12+AT12+AV12+AX12+AZ12+BB12+BD12+BF12+BH12</f>
        <v>0</v>
      </c>
      <c r="BK12" s="85">
        <f>AA12+AC12+AE12+AG12+AI12+AK12+AM12+AO12+AQ12+AS12+AU12+AW12+AY12+BA12+BC12+BE12+BG12+BI12</f>
        <v>0</v>
      </c>
      <c r="BL12" s="304" t="s">
        <v>469</v>
      </c>
      <c r="BN12" s="383"/>
      <c r="BO12" s="383"/>
      <c r="BP12" s="383"/>
      <c r="BQ12" s="383"/>
      <c r="BR12" s="158">
        <f t="shared" si="0"/>
        <v>0</v>
      </c>
      <c r="BS12" s="383"/>
      <c r="BT12" s="383"/>
      <c r="BU12" s="383">
        <f t="shared" si="1"/>
        <v>0</v>
      </c>
      <c r="BV12" s="158">
        <f t="shared" si="2"/>
        <v>0</v>
      </c>
    </row>
    <row r="13" spans="1:74" x14ac:dyDescent="0.25">
      <c r="A13" s="1008"/>
      <c r="B13" s="38"/>
      <c r="C13" s="38" t="s">
        <v>375</v>
      </c>
      <c r="D13" s="38" t="s">
        <v>374</v>
      </c>
      <c r="E13" s="375">
        <f>1*100000</f>
        <v>100000</v>
      </c>
      <c r="F13" s="38">
        <f>BJ13</f>
        <v>0</v>
      </c>
      <c r="G13" s="158">
        <f>E13*F13</f>
        <v>0</v>
      </c>
      <c r="H13" s="158">
        <f>G13*0.031</f>
        <v>0</v>
      </c>
      <c r="I13" s="158">
        <f>G13*0.8</f>
        <v>0</v>
      </c>
      <c r="J13" s="158">
        <f>G13*0</f>
        <v>0</v>
      </c>
      <c r="K13" s="158">
        <f>G13*0.169</f>
        <v>0</v>
      </c>
      <c r="L13" s="158">
        <f>G13*0</f>
        <v>0</v>
      </c>
      <c r="M13" s="158">
        <f>G13*0</f>
        <v>0</v>
      </c>
      <c r="N13" s="158">
        <f>G13*0</f>
        <v>0</v>
      </c>
      <c r="O13" s="158">
        <f>G13*0</f>
        <v>0</v>
      </c>
      <c r="P13" s="158">
        <f>G13*0</f>
        <v>0</v>
      </c>
      <c r="Q13" s="158">
        <f>G13*0</f>
        <v>0</v>
      </c>
      <c r="R13" s="222">
        <v>0</v>
      </c>
      <c r="S13" s="222">
        <v>0</v>
      </c>
      <c r="T13" s="222">
        <v>0</v>
      </c>
      <c r="U13" s="222">
        <v>0</v>
      </c>
      <c r="V13" s="158">
        <f>R13*E13</f>
        <v>0</v>
      </c>
      <c r="W13" s="158">
        <f>S13*E13</f>
        <v>0</v>
      </c>
      <c r="X13" s="158">
        <f>T13*E13</f>
        <v>0</v>
      </c>
      <c r="Y13" s="158">
        <f>U13*E13</f>
        <v>0</v>
      </c>
      <c r="Z13" s="383">
        <v>0</v>
      </c>
      <c r="AA13" s="387">
        <f>Z13*E13</f>
        <v>0</v>
      </c>
      <c r="AB13" s="383">
        <v>0</v>
      </c>
      <c r="AC13" s="387">
        <f t="shared" ref="AC13:AC40" si="4">AB13*E13</f>
        <v>0</v>
      </c>
      <c r="AD13" s="383">
        <v>0</v>
      </c>
      <c r="AE13" s="387">
        <f t="shared" ref="AE13:AE40" si="5">AD13*E13</f>
        <v>0</v>
      </c>
      <c r="AF13" s="383">
        <v>0</v>
      </c>
      <c r="AG13" s="387">
        <f t="shared" ref="AG13:AG40" si="6">AF13*E13</f>
        <v>0</v>
      </c>
      <c r="AH13" s="383">
        <v>0</v>
      </c>
      <c r="AI13" s="387">
        <f t="shared" ref="AI13:AI40" si="7">AH13*E13</f>
        <v>0</v>
      </c>
      <c r="AJ13" s="383">
        <v>0</v>
      </c>
      <c r="AK13" s="387">
        <f t="shared" ref="AK13:AK40" si="8">AJ13*E13</f>
        <v>0</v>
      </c>
      <c r="AL13" s="383">
        <v>0</v>
      </c>
      <c r="AM13" s="387">
        <f t="shared" ref="AM13:AM40" si="9">AL13*E13</f>
        <v>0</v>
      </c>
      <c r="AN13" s="383">
        <v>0</v>
      </c>
      <c r="AO13" s="387">
        <f t="shared" ref="AO13:AO40" si="10">AN13*E13</f>
        <v>0</v>
      </c>
      <c r="AP13" s="383">
        <v>0</v>
      </c>
      <c r="AQ13" s="387">
        <f t="shared" ref="AQ13:AQ40" si="11">AP13*E13</f>
        <v>0</v>
      </c>
      <c r="AR13" s="383">
        <v>0</v>
      </c>
      <c r="AS13" s="387">
        <f t="shared" ref="AS13:AS40" si="12">AR13*E13</f>
        <v>0</v>
      </c>
      <c r="AT13" s="383">
        <v>0</v>
      </c>
      <c r="AU13" s="387">
        <f t="shared" ref="AU13:AU40" si="13">AT13*E13</f>
        <v>0</v>
      </c>
      <c r="AV13" s="383">
        <v>0</v>
      </c>
      <c r="AW13" s="387">
        <f t="shared" ref="AW13:AW40" si="14">AV13*E13</f>
        <v>0</v>
      </c>
      <c r="AX13" s="383">
        <v>0</v>
      </c>
      <c r="AY13" s="387">
        <f t="shared" si="3"/>
        <v>0</v>
      </c>
      <c r="AZ13" s="383">
        <v>0</v>
      </c>
      <c r="BA13" s="387">
        <f t="shared" ref="BA13:BA40" si="15">AZ13*E13</f>
        <v>0</v>
      </c>
      <c r="BB13" s="383">
        <v>0</v>
      </c>
      <c r="BC13" s="387">
        <f t="shared" ref="BC13:BC40" si="16">BB13*E13</f>
        <v>0</v>
      </c>
      <c r="BD13" s="383">
        <v>0</v>
      </c>
      <c r="BE13" s="387">
        <f t="shared" ref="BE13:BE40" si="17">BD13*E13</f>
        <v>0</v>
      </c>
      <c r="BF13" s="383">
        <v>0</v>
      </c>
      <c r="BG13" s="387">
        <f t="shared" ref="BG13:BG40" si="18">BF13*E13</f>
        <v>0</v>
      </c>
      <c r="BH13" s="383">
        <v>0</v>
      </c>
      <c r="BI13" s="387">
        <f t="shared" ref="BI13:BI40" si="19">BH13*E13</f>
        <v>0</v>
      </c>
      <c r="BJ13" s="47">
        <f>Z13+AB13+AD13+AF13+AH13+AJ13+AL13+AN13+AP13+AR13+AT13+AV13+AX13+AZ13+BB13+BD13+BF13+BH13</f>
        <v>0</v>
      </c>
      <c r="BK13" s="85">
        <f>AA13+AC13+AE13+AG13+AI13+AK13+AM13+AO13+AQ13+AS13+AU13+AW13+AY13+BA13+BC13+BE13+BG13+BI13</f>
        <v>0</v>
      </c>
      <c r="BL13" s="304" t="s">
        <v>469</v>
      </c>
      <c r="BN13" s="383"/>
      <c r="BO13" s="383"/>
      <c r="BP13" s="383"/>
      <c r="BQ13" s="383"/>
      <c r="BR13" s="158">
        <f t="shared" si="0"/>
        <v>0</v>
      </c>
      <c r="BS13" s="383"/>
      <c r="BT13" s="383"/>
      <c r="BU13" s="383">
        <f t="shared" si="1"/>
        <v>0</v>
      </c>
      <c r="BV13" s="158">
        <f t="shared" si="2"/>
        <v>0</v>
      </c>
    </row>
    <row r="14" spans="1:74" s="275" customFormat="1" x14ac:dyDescent="0.25">
      <c r="A14" s="1008"/>
      <c r="B14" s="377"/>
      <c r="C14" s="379" t="s">
        <v>376</v>
      </c>
      <c r="D14" s="379" t="s">
        <v>282</v>
      </c>
      <c r="E14" s="379" t="s">
        <v>282</v>
      </c>
      <c r="F14" s="379">
        <f>SUM(F12:F13)</f>
        <v>0</v>
      </c>
      <c r="G14" s="419">
        <f>SUM(G12:G13)</f>
        <v>0</v>
      </c>
      <c r="H14" s="419">
        <f t="shared" ref="H14:Q14" si="20">SUM(H12:H13)</f>
        <v>0</v>
      </c>
      <c r="I14" s="419">
        <f t="shared" si="20"/>
        <v>0</v>
      </c>
      <c r="J14" s="419">
        <f t="shared" si="20"/>
        <v>0</v>
      </c>
      <c r="K14" s="419">
        <f t="shared" si="20"/>
        <v>0</v>
      </c>
      <c r="L14" s="419">
        <f t="shared" si="20"/>
        <v>0</v>
      </c>
      <c r="M14" s="419">
        <f t="shared" si="20"/>
        <v>0</v>
      </c>
      <c r="N14" s="419">
        <f t="shared" si="20"/>
        <v>0</v>
      </c>
      <c r="O14" s="419">
        <f t="shared" si="20"/>
        <v>0</v>
      </c>
      <c r="P14" s="419">
        <f t="shared" si="20"/>
        <v>0</v>
      </c>
      <c r="Q14" s="419">
        <f t="shared" si="20"/>
        <v>0</v>
      </c>
      <c r="R14" s="420">
        <f t="shared" ref="R14:BK14" si="21">SUM(R12:R13)</f>
        <v>0</v>
      </c>
      <c r="S14" s="420">
        <f t="shared" si="21"/>
        <v>0</v>
      </c>
      <c r="T14" s="420">
        <f t="shared" si="21"/>
        <v>0</v>
      </c>
      <c r="U14" s="420">
        <f t="shared" si="21"/>
        <v>0</v>
      </c>
      <c r="V14" s="419">
        <f t="shared" si="21"/>
        <v>0</v>
      </c>
      <c r="W14" s="419">
        <f t="shared" si="21"/>
        <v>0</v>
      </c>
      <c r="X14" s="419">
        <f t="shared" si="21"/>
        <v>0</v>
      </c>
      <c r="Y14" s="419">
        <f t="shared" si="21"/>
        <v>0</v>
      </c>
      <c r="Z14" s="379">
        <f t="shared" si="21"/>
        <v>0</v>
      </c>
      <c r="AA14" s="419">
        <f t="shared" si="21"/>
        <v>0</v>
      </c>
      <c r="AB14" s="419">
        <f t="shared" si="21"/>
        <v>0</v>
      </c>
      <c r="AC14" s="419">
        <f t="shared" si="21"/>
        <v>0</v>
      </c>
      <c r="AD14" s="419">
        <f t="shared" si="21"/>
        <v>0</v>
      </c>
      <c r="AE14" s="419">
        <f t="shared" si="21"/>
        <v>0</v>
      </c>
      <c r="AF14" s="419">
        <f t="shared" si="21"/>
        <v>0</v>
      </c>
      <c r="AG14" s="419">
        <f t="shared" si="21"/>
        <v>0</v>
      </c>
      <c r="AH14" s="419">
        <f t="shared" si="21"/>
        <v>0</v>
      </c>
      <c r="AI14" s="419">
        <f t="shared" si="21"/>
        <v>0</v>
      </c>
      <c r="AJ14" s="419">
        <f t="shared" si="21"/>
        <v>0</v>
      </c>
      <c r="AK14" s="419">
        <f t="shared" si="21"/>
        <v>0</v>
      </c>
      <c r="AL14" s="419">
        <f t="shared" si="21"/>
        <v>0</v>
      </c>
      <c r="AM14" s="419">
        <f t="shared" si="21"/>
        <v>0</v>
      </c>
      <c r="AN14" s="419">
        <f t="shared" si="21"/>
        <v>0</v>
      </c>
      <c r="AO14" s="419">
        <f t="shared" si="21"/>
        <v>0</v>
      </c>
      <c r="AP14" s="419">
        <f t="shared" si="21"/>
        <v>0</v>
      </c>
      <c r="AQ14" s="419">
        <f t="shared" si="21"/>
        <v>0</v>
      </c>
      <c r="AR14" s="419">
        <f t="shared" si="21"/>
        <v>0</v>
      </c>
      <c r="AS14" s="419">
        <f t="shared" si="21"/>
        <v>0</v>
      </c>
      <c r="AT14" s="419">
        <f t="shared" si="21"/>
        <v>0</v>
      </c>
      <c r="AU14" s="419">
        <f t="shared" si="21"/>
        <v>0</v>
      </c>
      <c r="AV14" s="419">
        <f t="shared" si="21"/>
        <v>0</v>
      </c>
      <c r="AW14" s="419">
        <f t="shared" si="21"/>
        <v>0</v>
      </c>
      <c r="AX14" s="419">
        <f t="shared" si="21"/>
        <v>0</v>
      </c>
      <c r="AY14" s="419">
        <f t="shared" si="21"/>
        <v>0</v>
      </c>
      <c r="AZ14" s="419">
        <f t="shared" si="21"/>
        <v>0</v>
      </c>
      <c r="BA14" s="419">
        <f t="shared" si="21"/>
        <v>0</v>
      </c>
      <c r="BB14" s="419">
        <f t="shared" si="21"/>
        <v>0</v>
      </c>
      <c r="BC14" s="419">
        <f t="shared" si="21"/>
        <v>0</v>
      </c>
      <c r="BD14" s="419">
        <f t="shared" si="21"/>
        <v>0</v>
      </c>
      <c r="BE14" s="419">
        <f t="shared" si="21"/>
        <v>0</v>
      </c>
      <c r="BF14" s="419">
        <f t="shared" si="21"/>
        <v>0</v>
      </c>
      <c r="BG14" s="419">
        <f t="shared" si="21"/>
        <v>0</v>
      </c>
      <c r="BH14" s="419">
        <f t="shared" si="21"/>
        <v>0</v>
      </c>
      <c r="BI14" s="419">
        <f t="shared" si="21"/>
        <v>0</v>
      </c>
      <c r="BJ14" s="379">
        <f t="shared" si="21"/>
        <v>0</v>
      </c>
      <c r="BK14" s="419">
        <f t="shared" si="21"/>
        <v>0</v>
      </c>
      <c r="BL14" s="421"/>
      <c r="BN14" s="422"/>
      <c r="BO14" s="422"/>
      <c r="BP14" s="422"/>
      <c r="BQ14" s="422"/>
      <c r="BR14" s="423">
        <f t="shared" si="0"/>
        <v>0</v>
      </c>
      <c r="BS14" s="422"/>
      <c r="BT14" s="422"/>
      <c r="BU14" s="424">
        <f t="shared" si="1"/>
        <v>0</v>
      </c>
      <c r="BV14" s="423">
        <f t="shared" si="2"/>
        <v>0</v>
      </c>
    </row>
    <row r="15" spans="1:74" ht="31.5" x14ac:dyDescent="0.25">
      <c r="A15" s="1008"/>
      <c r="B15" s="38">
        <v>43200</v>
      </c>
      <c r="C15" s="38" t="s">
        <v>743</v>
      </c>
      <c r="D15" s="38"/>
      <c r="E15" s="375"/>
      <c r="F15" s="3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383"/>
      <c r="R15" s="222"/>
      <c r="S15" s="222"/>
      <c r="T15" s="222"/>
      <c r="U15" s="222"/>
      <c r="V15" s="158"/>
      <c r="W15" s="158"/>
      <c r="X15" s="158"/>
      <c r="Y15" s="158"/>
      <c r="Z15" s="383"/>
      <c r="AA15" s="383"/>
      <c r="AB15" s="383"/>
      <c r="AC15" s="387">
        <f t="shared" si="4"/>
        <v>0</v>
      </c>
      <c r="AD15" s="383"/>
      <c r="AE15" s="387">
        <f t="shared" si="5"/>
        <v>0</v>
      </c>
      <c r="AF15" s="383"/>
      <c r="AG15" s="387">
        <f t="shared" si="6"/>
        <v>0</v>
      </c>
      <c r="AH15" s="383"/>
      <c r="AI15" s="387">
        <f t="shared" si="7"/>
        <v>0</v>
      </c>
      <c r="AJ15" s="383"/>
      <c r="AK15" s="387">
        <f t="shared" si="8"/>
        <v>0</v>
      </c>
      <c r="AL15" s="383"/>
      <c r="AM15" s="387">
        <f t="shared" si="9"/>
        <v>0</v>
      </c>
      <c r="AN15" s="383"/>
      <c r="AO15" s="387">
        <f t="shared" si="10"/>
        <v>0</v>
      </c>
      <c r="AP15" s="383"/>
      <c r="AQ15" s="387">
        <f t="shared" si="11"/>
        <v>0</v>
      </c>
      <c r="AR15" s="383"/>
      <c r="AS15" s="387">
        <f t="shared" si="12"/>
        <v>0</v>
      </c>
      <c r="AT15" s="383"/>
      <c r="AU15" s="387">
        <f t="shared" si="13"/>
        <v>0</v>
      </c>
      <c r="AV15" s="383"/>
      <c r="AW15" s="387">
        <f t="shared" si="14"/>
        <v>0</v>
      </c>
      <c r="AX15" s="383"/>
      <c r="AY15" s="387">
        <f t="shared" si="3"/>
        <v>0</v>
      </c>
      <c r="AZ15" s="383"/>
      <c r="BA15" s="387">
        <f t="shared" si="15"/>
        <v>0</v>
      </c>
      <c r="BB15" s="383"/>
      <c r="BC15" s="387">
        <f t="shared" si="16"/>
        <v>0</v>
      </c>
      <c r="BD15" s="383"/>
      <c r="BE15" s="387">
        <f t="shared" si="17"/>
        <v>0</v>
      </c>
      <c r="BF15" s="383"/>
      <c r="BG15" s="387">
        <f t="shared" si="18"/>
        <v>0</v>
      </c>
      <c r="BH15" s="383"/>
      <c r="BI15" s="387">
        <f t="shared" si="19"/>
        <v>0</v>
      </c>
      <c r="BJ15" s="383"/>
      <c r="BK15" s="383"/>
      <c r="BL15" s="383"/>
      <c r="BN15" s="383"/>
      <c r="BO15" s="383"/>
      <c r="BP15" s="383"/>
      <c r="BQ15" s="383"/>
      <c r="BR15" s="158">
        <f t="shared" si="0"/>
        <v>0</v>
      </c>
      <c r="BS15" s="383"/>
      <c r="BT15" s="383"/>
      <c r="BU15" s="383">
        <f t="shared" si="1"/>
        <v>0</v>
      </c>
      <c r="BV15" s="158">
        <f t="shared" si="2"/>
        <v>0</v>
      </c>
    </row>
    <row r="16" spans="1:74" x14ac:dyDescent="0.25">
      <c r="A16" s="1008"/>
      <c r="B16" s="38"/>
      <c r="C16" s="38" t="s">
        <v>377</v>
      </c>
      <c r="D16" s="38" t="s">
        <v>378</v>
      </c>
      <c r="E16" s="375">
        <v>20000</v>
      </c>
      <c r="F16" s="38">
        <f>BJ16</f>
        <v>12</v>
      </c>
      <c r="G16" s="158">
        <f>E16*F16</f>
        <v>240000</v>
      </c>
      <c r="H16" s="158">
        <f>G16*0.2</f>
        <v>48000</v>
      </c>
      <c r="I16" s="158">
        <f>G16*0.8</f>
        <v>192000</v>
      </c>
      <c r="J16" s="158">
        <f>G16*0</f>
        <v>0</v>
      </c>
      <c r="K16" s="158">
        <f>G16*0</f>
        <v>0</v>
      </c>
      <c r="L16" s="158">
        <f>G16*0</f>
        <v>0</v>
      </c>
      <c r="M16" s="158">
        <f>G16*0</f>
        <v>0</v>
      </c>
      <c r="N16" s="158">
        <f>G16*0</f>
        <v>0</v>
      </c>
      <c r="O16" s="158">
        <f>G16*0</f>
        <v>0</v>
      </c>
      <c r="P16" s="158">
        <f>G16*0</f>
        <v>0</v>
      </c>
      <c r="Q16" s="158">
        <f>G16*0</f>
        <v>0</v>
      </c>
      <c r="R16" s="222">
        <v>3</v>
      </c>
      <c r="S16" s="222">
        <v>3</v>
      </c>
      <c r="T16" s="222">
        <v>3</v>
      </c>
      <c r="U16" s="222">
        <v>3</v>
      </c>
      <c r="V16" s="158">
        <f>R16*E16</f>
        <v>60000</v>
      </c>
      <c r="W16" s="158">
        <f>S16*E16</f>
        <v>60000</v>
      </c>
      <c r="X16" s="158">
        <f>T16*E16</f>
        <v>60000</v>
      </c>
      <c r="Y16" s="158">
        <f>U16*E16</f>
        <v>60000</v>
      </c>
      <c r="Z16" s="383">
        <v>0</v>
      </c>
      <c r="AA16" s="387">
        <f>Z16*E16</f>
        <v>0</v>
      </c>
      <c r="AB16" s="383">
        <v>0</v>
      </c>
      <c r="AC16" s="387">
        <f t="shared" si="4"/>
        <v>0</v>
      </c>
      <c r="AD16" s="383">
        <v>0</v>
      </c>
      <c r="AE16" s="387">
        <f t="shared" si="5"/>
        <v>0</v>
      </c>
      <c r="AF16" s="383">
        <v>0</v>
      </c>
      <c r="AG16" s="387">
        <f t="shared" si="6"/>
        <v>0</v>
      </c>
      <c r="AH16" s="383">
        <v>0</v>
      </c>
      <c r="AI16" s="387">
        <f t="shared" si="7"/>
        <v>0</v>
      </c>
      <c r="AJ16" s="383">
        <v>0</v>
      </c>
      <c r="AK16" s="387">
        <f t="shared" si="8"/>
        <v>0</v>
      </c>
      <c r="AL16" s="383">
        <v>0</v>
      </c>
      <c r="AM16" s="387">
        <f t="shared" si="9"/>
        <v>0</v>
      </c>
      <c r="AN16" s="383">
        <v>0</v>
      </c>
      <c r="AO16" s="387">
        <f t="shared" si="10"/>
        <v>0</v>
      </c>
      <c r="AP16" s="383">
        <v>0</v>
      </c>
      <c r="AQ16" s="387">
        <f t="shared" si="11"/>
        <v>0</v>
      </c>
      <c r="AR16" s="383">
        <v>0</v>
      </c>
      <c r="AS16" s="387">
        <f t="shared" si="12"/>
        <v>0</v>
      </c>
      <c r="AT16" s="383">
        <v>0</v>
      </c>
      <c r="AU16" s="387">
        <f t="shared" si="13"/>
        <v>0</v>
      </c>
      <c r="AV16" s="383">
        <v>0</v>
      </c>
      <c r="AW16" s="387">
        <f t="shared" si="14"/>
        <v>0</v>
      </c>
      <c r="AX16" s="383">
        <v>0</v>
      </c>
      <c r="AY16" s="387">
        <f t="shared" si="3"/>
        <v>0</v>
      </c>
      <c r="AZ16" s="383">
        <v>0</v>
      </c>
      <c r="BA16" s="387">
        <f t="shared" si="15"/>
        <v>0</v>
      </c>
      <c r="BB16" s="383">
        <v>0</v>
      </c>
      <c r="BC16" s="387">
        <f t="shared" si="16"/>
        <v>0</v>
      </c>
      <c r="BD16" s="383">
        <v>0</v>
      </c>
      <c r="BE16" s="387">
        <f t="shared" si="17"/>
        <v>0</v>
      </c>
      <c r="BF16" s="383">
        <v>0</v>
      </c>
      <c r="BG16" s="387">
        <f t="shared" si="18"/>
        <v>0</v>
      </c>
      <c r="BH16" s="383">
        <v>12</v>
      </c>
      <c r="BI16" s="387">
        <f t="shared" si="19"/>
        <v>240000</v>
      </c>
      <c r="BJ16" s="47">
        <f>Z16+AB16+AD16+AF16+AH16+AJ16+AL16+AN16+AP16+AR16+AT16+AV16+AX16+AZ16+BB16+BD16+BF16+BH16</f>
        <v>12</v>
      </c>
      <c r="BK16" s="85">
        <f>AA16+AC16+AE16+AG16+AI16+AK16+AM16+AO16+AQ16+AS16+AU16+AW16+AY16+BA16+BC16+BE16+BG16+BI16</f>
        <v>240000</v>
      </c>
      <c r="BL16" s="304" t="s">
        <v>469</v>
      </c>
      <c r="BN16" s="383"/>
      <c r="BO16" s="158">
        <f>G16</f>
        <v>240000</v>
      </c>
      <c r="BP16" s="383"/>
      <c r="BQ16" s="383"/>
      <c r="BR16" s="158">
        <f>BN16+BO16+BP16+BQ16</f>
        <v>240000</v>
      </c>
      <c r="BS16" s="383"/>
      <c r="BT16" s="383"/>
      <c r="BU16" s="383">
        <f t="shared" si="1"/>
        <v>0</v>
      </c>
      <c r="BV16" s="158">
        <f t="shared" si="2"/>
        <v>240000</v>
      </c>
    </row>
    <row r="17" spans="1:74" x14ac:dyDescent="0.25">
      <c r="A17" s="1008"/>
      <c r="B17" s="38"/>
      <c r="C17" s="38" t="s">
        <v>379</v>
      </c>
      <c r="D17" s="38" t="s">
        <v>378</v>
      </c>
      <c r="E17" s="375">
        <v>2500</v>
      </c>
      <c r="F17" s="38">
        <f>BJ17</f>
        <v>204</v>
      </c>
      <c r="G17" s="158">
        <f>E17*F17</f>
        <v>510000</v>
      </c>
      <c r="H17" s="158">
        <f>G17*0.2</f>
        <v>102000</v>
      </c>
      <c r="I17" s="158">
        <f>G17*0.8</f>
        <v>408000</v>
      </c>
      <c r="J17" s="158">
        <f>G17*0</f>
        <v>0</v>
      </c>
      <c r="K17" s="158">
        <f>G17*0</f>
        <v>0</v>
      </c>
      <c r="L17" s="158">
        <f>G17*0</f>
        <v>0</v>
      </c>
      <c r="M17" s="158">
        <f>G17*0</f>
        <v>0</v>
      </c>
      <c r="N17" s="158">
        <f>G17*0</f>
        <v>0</v>
      </c>
      <c r="O17" s="158">
        <f>G17*0</f>
        <v>0</v>
      </c>
      <c r="P17" s="158">
        <f>G17*0</f>
        <v>0</v>
      </c>
      <c r="Q17" s="158">
        <f>G17*0</f>
        <v>0</v>
      </c>
      <c r="R17" s="222">
        <f>17*3</f>
        <v>51</v>
      </c>
      <c r="S17" s="222">
        <f>17*3</f>
        <v>51</v>
      </c>
      <c r="T17" s="222">
        <f>17*3</f>
        <v>51</v>
      </c>
      <c r="U17" s="222">
        <f>17*3</f>
        <v>51</v>
      </c>
      <c r="V17" s="158">
        <f>R17*E17</f>
        <v>127500</v>
      </c>
      <c r="W17" s="158">
        <f>S17*E17</f>
        <v>127500</v>
      </c>
      <c r="X17" s="158">
        <f>T17*E17</f>
        <v>127500</v>
      </c>
      <c r="Y17" s="158">
        <f>U17*E17</f>
        <v>127500</v>
      </c>
      <c r="Z17" s="383">
        <v>12</v>
      </c>
      <c r="AA17" s="387">
        <f>Z17*E17</f>
        <v>30000</v>
      </c>
      <c r="AB17" s="383">
        <v>12</v>
      </c>
      <c r="AC17" s="387">
        <f t="shared" si="4"/>
        <v>30000</v>
      </c>
      <c r="AD17" s="383">
        <v>12</v>
      </c>
      <c r="AE17" s="387">
        <f t="shared" si="5"/>
        <v>30000</v>
      </c>
      <c r="AF17" s="383">
        <v>12</v>
      </c>
      <c r="AG17" s="387">
        <f t="shared" si="6"/>
        <v>30000</v>
      </c>
      <c r="AH17" s="383">
        <v>12</v>
      </c>
      <c r="AI17" s="387">
        <f t="shared" si="7"/>
        <v>30000</v>
      </c>
      <c r="AJ17" s="383">
        <v>12</v>
      </c>
      <c r="AK17" s="387">
        <f t="shared" si="8"/>
        <v>30000</v>
      </c>
      <c r="AL17" s="383">
        <v>12</v>
      </c>
      <c r="AM17" s="387">
        <f t="shared" si="9"/>
        <v>30000</v>
      </c>
      <c r="AN17" s="383">
        <v>12</v>
      </c>
      <c r="AO17" s="387">
        <f t="shared" si="10"/>
        <v>30000</v>
      </c>
      <c r="AP17" s="383">
        <v>12</v>
      </c>
      <c r="AQ17" s="387">
        <f t="shared" si="11"/>
        <v>30000</v>
      </c>
      <c r="AR17" s="383">
        <v>12</v>
      </c>
      <c r="AS17" s="387">
        <f t="shared" si="12"/>
        <v>30000</v>
      </c>
      <c r="AT17" s="383">
        <v>12</v>
      </c>
      <c r="AU17" s="387">
        <f t="shared" si="13"/>
        <v>30000</v>
      </c>
      <c r="AV17" s="383">
        <v>12</v>
      </c>
      <c r="AW17" s="387">
        <f t="shared" si="14"/>
        <v>30000</v>
      </c>
      <c r="AX17" s="383">
        <v>12</v>
      </c>
      <c r="AY17" s="387">
        <f t="shared" si="3"/>
        <v>30000</v>
      </c>
      <c r="AZ17" s="383">
        <v>12</v>
      </c>
      <c r="BA17" s="387">
        <f t="shared" si="15"/>
        <v>30000</v>
      </c>
      <c r="BB17" s="383">
        <v>12</v>
      </c>
      <c r="BC17" s="387">
        <f t="shared" si="16"/>
        <v>30000</v>
      </c>
      <c r="BD17" s="383">
        <v>12</v>
      </c>
      <c r="BE17" s="387">
        <f t="shared" si="17"/>
        <v>30000</v>
      </c>
      <c r="BF17" s="383">
        <v>12</v>
      </c>
      <c r="BG17" s="387">
        <f t="shared" si="18"/>
        <v>30000</v>
      </c>
      <c r="BH17" s="383">
        <v>0</v>
      </c>
      <c r="BI17" s="387">
        <f t="shared" si="19"/>
        <v>0</v>
      </c>
      <c r="BJ17" s="47">
        <f>Z17+AB17+AD17+AF17+AH17+AJ17+AL17+AN17+AP17+AR17+AT17+AV17+AX17+AZ17+BB17+BD17+BF17+BH17</f>
        <v>204</v>
      </c>
      <c r="BK17" s="85">
        <f>AA17+AC17+AE17+AG17+AI17+AK17+AM17+AO17+AQ17+AS17+AU17+AW17+AY17+BA17+BC17+BE17+BG17+BI17</f>
        <v>510000</v>
      </c>
      <c r="BL17" s="304" t="s">
        <v>469</v>
      </c>
      <c r="BN17" s="383"/>
      <c r="BO17" s="158">
        <f>G17</f>
        <v>510000</v>
      </c>
      <c r="BP17" s="383"/>
      <c r="BQ17" s="383"/>
      <c r="BR17" s="158">
        <f>BN17+BO17+BP17+BQ17</f>
        <v>510000</v>
      </c>
      <c r="BS17" s="383"/>
      <c r="BT17" s="383"/>
      <c r="BU17" s="383">
        <f t="shared" si="1"/>
        <v>0</v>
      </c>
      <c r="BV17" s="158">
        <f t="shared" si="2"/>
        <v>510000</v>
      </c>
    </row>
    <row r="18" spans="1:74" s="275" customFormat="1" x14ac:dyDescent="0.25">
      <c r="A18" s="1008"/>
      <c r="B18" s="377"/>
      <c r="C18" s="379" t="s">
        <v>380</v>
      </c>
      <c r="D18" s="379" t="s">
        <v>282</v>
      </c>
      <c r="E18" s="379" t="s">
        <v>282</v>
      </c>
      <c r="F18" s="379">
        <f>SUM(F16:F17)</f>
        <v>216</v>
      </c>
      <c r="G18" s="419">
        <f>SUM(G16:G17)</f>
        <v>750000</v>
      </c>
      <c r="H18" s="419">
        <f t="shared" ref="H18:Q18" si="22">SUM(H16:H17)</f>
        <v>150000</v>
      </c>
      <c r="I18" s="419">
        <f t="shared" si="22"/>
        <v>600000</v>
      </c>
      <c r="J18" s="419">
        <f t="shared" si="22"/>
        <v>0</v>
      </c>
      <c r="K18" s="419">
        <f t="shared" si="22"/>
        <v>0</v>
      </c>
      <c r="L18" s="419">
        <f t="shared" si="22"/>
        <v>0</v>
      </c>
      <c r="M18" s="419">
        <f t="shared" si="22"/>
        <v>0</v>
      </c>
      <c r="N18" s="419">
        <f t="shared" si="22"/>
        <v>0</v>
      </c>
      <c r="O18" s="419">
        <f t="shared" si="22"/>
        <v>0</v>
      </c>
      <c r="P18" s="419">
        <f t="shared" si="22"/>
        <v>0</v>
      </c>
      <c r="Q18" s="419">
        <f t="shared" si="22"/>
        <v>0</v>
      </c>
      <c r="R18" s="420">
        <f t="shared" ref="R18:BK18" si="23">SUM(R16:R17)</f>
        <v>54</v>
      </c>
      <c r="S18" s="420">
        <f t="shared" si="23"/>
        <v>54</v>
      </c>
      <c r="T18" s="420">
        <f t="shared" si="23"/>
        <v>54</v>
      </c>
      <c r="U18" s="420">
        <f t="shared" si="23"/>
        <v>54</v>
      </c>
      <c r="V18" s="419">
        <f t="shared" si="23"/>
        <v>187500</v>
      </c>
      <c r="W18" s="419">
        <f t="shared" si="23"/>
        <v>187500</v>
      </c>
      <c r="X18" s="419">
        <f t="shared" si="23"/>
        <v>187500</v>
      </c>
      <c r="Y18" s="419">
        <f t="shared" si="23"/>
        <v>187500</v>
      </c>
      <c r="Z18" s="379">
        <f t="shared" si="23"/>
        <v>12</v>
      </c>
      <c r="AA18" s="419">
        <f t="shared" si="23"/>
        <v>30000</v>
      </c>
      <c r="AB18" s="379">
        <f t="shared" si="23"/>
        <v>12</v>
      </c>
      <c r="AC18" s="419">
        <f t="shared" si="23"/>
        <v>30000</v>
      </c>
      <c r="AD18" s="379">
        <f t="shared" si="23"/>
        <v>12</v>
      </c>
      <c r="AE18" s="419">
        <f t="shared" si="23"/>
        <v>30000</v>
      </c>
      <c r="AF18" s="379">
        <f t="shared" si="23"/>
        <v>12</v>
      </c>
      <c r="AG18" s="419">
        <f t="shared" si="23"/>
        <v>30000</v>
      </c>
      <c r="AH18" s="379">
        <f t="shared" si="23"/>
        <v>12</v>
      </c>
      <c r="AI18" s="419">
        <f t="shared" si="23"/>
        <v>30000</v>
      </c>
      <c r="AJ18" s="379">
        <f t="shared" si="23"/>
        <v>12</v>
      </c>
      <c r="AK18" s="419">
        <f t="shared" si="23"/>
        <v>30000</v>
      </c>
      <c r="AL18" s="379">
        <f t="shared" si="23"/>
        <v>12</v>
      </c>
      <c r="AM18" s="419">
        <f t="shared" si="23"/>
        <v>30000</v>
      </c>
      <c r="AN18" s="379">
        <f t="shared" si="23"/>
        <v>12</v>
      </c>
      <c r="AO18" s="419">
        <f t="shared" si="23"/>
        <v>30000</v>
      </c>
      <c r="AP18" s="379">
        <f t="shared" si="23"/>
        <v>12</v>
      </c>
      <c r="AQ18" s="419">
        <f t="shared" si="23"/>
        <v>30000</v>
      </c>
      <c r="AR18" s="379">
        <f t="shared" si="23"/>
        <v>12</v>
      </c>
      <c r="AS18" s="419">
        <f t="shared" si="23"/>
        <v>30000</v>
      </c>
      <c r="AT18" s="379">
        <f t="shared" si="23"/>
        <v>12</v>
      </c>
      <c r="AU18" s="419">
        <f t="shared" si="23"/>
        <v>30000</v>
      </c>
      <c r="AV18" s="379">
        <f t="shared" si="23"/>
        <v>12</v>
      </c>
      <c r="AW18" s="419">
        <f t="shared" si="23"/>
        <v>30000</v>
      </c>
      <c r="AX18" s="379">
        <f t="shared" si="23"/>
        <v>12</v>
      </c>
      <c r="AY18" s="419">
        <f t="shared" si="23"/>
        <v>30000</v>
      </c>
      <c r="AZ18" s="379">
        <f t="shared" si="23"/>
        <v>12</v>
      </c>
      <c r="BA18" s="419">
        <f t="shared" si="23"/>
        <v>30000</v>
      </c>
      <c r="BB18" s="379">
        <f t="shared" si="23"/>
        <v>12</v>
      </c>
      <c r="BC18" s="419">
        <f t="shared" si="23"/>
        <v>30000</v>
      </c>
      <c r="BD18" s="379">
        <f t="shared" si="23"/>
        <v>12</v>
      </c>
      <c r="BE18" s="419">
        <f t="shared" si="23"/>
        <v>30000</v>
      </c>
      <c r="BF18" s="379">
        <f t="shared" si="23"/>
        <v>12</v>
      </c>
      <c r="BG18" s="419">
        <f t="shared" si="23"/>
        <v>30000</v>
      </c>
      <c r="BH18" s="379">
        <f t="shared" si="23"/>
        <v>12</v>
      </c>
      <c r="BI18" s="419">
        <f t="shared" si="23"/>
        <v>240000</v>
      </c>
      <c r="BJ18" s="379">
        <f t="shared" si="23"/>
        <v>216</v>
      </c>
      <c r="BK18" s="419">
        <f t="shared" si="23"/>
        <v>750000</v>
      </c>
      <c r="BL18" s="421"/>
      <c r="BN18" s="419">
        <f t="shared" ref="BN18:BU18" si="24">SUM(BN16:BN17)</f>
        <v>0</v>
      </c>
      <c r="BO18" s="419">
        <f t="shared" si="24"/>
        <v>750000</v>
      </c>
      <c r="BP18" s="419">
        <f t="shared" si="24"/>
        <v>0</v>
      </c>
      <c r="BQ18" s="419">
        <f t="shared" si="24"/>
        <v>0</v>
      </c>
      <c r="BR18" s="419">
        <f t="shared" si="24"/>
        <v>750000</v>
      </c>
      <c r="BS18" s="419">
        <f t="shared" si="24"/>
        <v>0</v>
      </c>
      <c r="BT18" s="419">
        <f t="shared" si="24"/>
        <v>0</v>
      </c>
      <c r="BU18" s="419">
        <f t="shared" si="24"/>
        <v>0</v>
      </c>
      <c r="BV18" s="419">
        <f t="shared" si="2"/>
        <v>750000</v>
      </c>
    </row>
    <row r="19" spans="1:74" ht="31.5" x14ac:dyDescent="0.25">
      <c r="A19" s="1008"/>
      <c r="B19" s="38">
        <v>43300</v>
      </c>
      <c r="C19" s="38" t="s">
        <v>381</v>
      </c>
      <c r="D19" s="38"/>
      <c r="E19" s="375"/>
      <c r="F19" s="3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383"/>
      <c r="R19" s="222"/>
      <c r="S19" s="222"/>
      <c r="T19" s="222"/>
      <c r="U19" s="222"/>
      <c r="V19" s="158"/>
      <c r="W19" s="158"/>
      <c r="X19" s="158"/>
      <c r="Y19" s="158"/>
      <c r="Z19" s="383"/>
      <c r="AA19" s="383"/>
      <c r="AB19" s="383"/>
      <c r="AC19" s="387">
        <f t="shared" si="4"/>
        <v>0</v>
      </c>
      <c r="AD19" s="383"/>
      <c r="AE19" s="387">
        <f t="shared" si="5"/>
        <v>0</v>
      </c>
      <c r="AF19" s="383"/>
      <c r="AG19" s="387">
        <f t="shared" si="6"/>
        <v>0</v>
      </c>
      <c r="AH19" s="383"/>
      <c r="AI19" s="387">
        <f t="shared" si="7"/>
        <v>0</v>
      </c>
      <c r="AJ19" s="383"/>
      <c r="AK19" s="387">
        <f t="shared" si="8"/>
        <v>0</v>
      </c>
      <c r="AL19" s="383"/>
      <c r="AM19" s="387">
        <f t="shared" si="9"/>
        <v>0</v>
      </c>
      <c r="AN19" s="383"/>
      <c r="AO19" s="387">
        <f t="shared" si="10"/>
        <v>0</v>
      </c>
      <c r="AP19" s="383"/>
      <c r="AQ19" s="387">
        <f t="shared" si="11"/>
        <v>0</v>
      </c>
      <c r="AR19" s="383"/>
      <c r="AS19" s="387">
        <f t="shared" si="12"/>
        <v>0</v>
      </c>
      <c r="AT19" s="383"/>
      <c r="AU19" s="387">
        <f t="shared" si="13"/>
        <v>0</v>
      </c>
      <c r="AV19" s="383"/>
      <c r="AW19" s="387">
        <f t="shared" si="14"/>
        <v>0</v>
      </c>
      <c r="AX19" s="383"/>
      <c r="AY19" s="387">
        <f t="shared" si="3"/>
        <v>0</v>
      </c>
      <c r="AZ19" s="383"/>
      <c r="BA19" s="387">
        <f t="shared" si="15"/>
        <v>0</v>
      </c>
      <c r="BB19" s="383"/>
      <c r="BC19" s="387">
        <f t="shared" si="16"/>
        <v>0</v>
      </c>
      <c r="BD19" s="383"/>
      <c r="BE19" s="387">
        <f t="shared" si="17"/>
        <v>0</v>
      </c>
      <c r="BF19" s="383"/>
      <c r="BG19" s="387">
        <f t="shared" si="18"/>
        <v>0</v>
      </c>
      <c r="BH19" s="383"/>
      <c r="BI19" s="387">
        <f t="shared" si="19"/>
        <v>0</v>
      </c>
      <c r="BJ19" s="383"/>
      <c r="BK19" s="383"/>
      <c r="BL19" s="383"/>
      <c r="BN19" s="383"/>
      <c r="BO19" s="383"/>
      <c r="BP19" s="383"/>
      <c r="BQ19" s="383"/>
      <c r="BR19" s="158">
        <f>BN19+BO19+BP19+BQ19</f>
        <v>0</v>
      </c>
      <c r="BS19" s="383"/>
      <c r="BT19" s="383"/>
      <c r="BU19" s="383">
        <f>BS19+BT19</f>
        <v>0</v>
      </c>
      <c r="BV19" s="158">
        <f t="shared" si="2"/>
        <v>0</v>
      </c>
    </row>
    <row r="20" spans="1:74" ht="31.5" x14ac:dyDescent="0.25">
      <c r="A20" s="1008"/>
      <c r="B20" s="38"/>
      <c r="C20" s="38" t="s">
        <v>382</v>
      </c>
      <c r="D20" s="38" t="s">
        <v>209</v>
      </c>
      <c r="E20" s="375">
        <f>0.05*100000</f>
        <v>5000</v>
      </c>
      <c r="F20" s="38">
        <f>BJ20</f>
        <v>90</v>
      </c>
      <c r="G20" s="158">
        <f>E20*F20</f>
        <v>450000</v>
      </c>
      <c r="H20" s="158">
        <f>G20*0.2</f>
        <v>90000</v>
      </c>
      <c r="I20" s="158">
        <f>G20*0.8</f>
        <v>360000</v>
      </c>
      <c r="J20" s="158">
        <f>G20*0</f>
        <v>0</v>
      </c>
      <c r="K20" s="158">
        <f>G20*0</f>
        <v>0</v>
      </c>
      <c r="L20" s="158">
        <f>G20*0</f>
        <v>0</v>
      </c>
      <c r="M20" s="158">
        <f>G20*0</f>
        <v>0</v>
      </c>
      <c r="N20" s="158">
        <f>G20*0</f>
        <v>0</v>
      </c>
      <c r="O20" s="158">
        <f>G20*0</f>
        <v>0</v>
      </c>
      <c r="P20" s="158">
        <f>G20*0</f>
        <v>0</v>
      </c>
      <c r="Q20" s="158">
        <f>G20*0</f>
        <v>0</v>
      </c>
      <c r="R20" s="222">
        <v>22</v>
      </c>
      <c r="S20" s="222">
        <v>25</v>
      </c>
      <c r="T20" s="222">
        <v>23</v>
      </c>
      <c r="U20" s="222">
        <v>20</v>
      </c>
      <c r="V20" s="158">
        <f>R20*E20</f>
        <v>110000</v>
      </c>
      <c r="W20" s="158">
        <f>S20*E20</f>
        <v>125000</v>
      </c>
      <c r="X20" s="158">
        <f>T20*E20</f>
        <v>115000</v>
      </c>
      <c r="Y20" s="158">
        <f>U20*E20</f>
        <v>100000</v>
      </c>
      <c r="Z20" s="383">
        <v>4</v>
      </c>
      <c r="AA20" s="387">
        <f>Z20*E20</f>
        <v>20000</v>
      </c>
      <c r="AB20" s="383">
        <v>3</v>
      </c>
      <c r="AC20" s="387">
        <f t="shared" si="4"/>
        <v>15000</v>
      </c>
      <c r="AD20" s="383">
        <v>4</v>
      </c>
      <c r="AE20" s="387">
        <f t="shared" si="5"/>
        <v>20000</v>
      </c>
      <c r="AF20" s="383">
        <v>5</v>
      </c>
      <c r="AG20" s="387">
        <f t="shared" si="6"/>
        <v>25000</v>
      </c>
      <c r="AH20" s="383">
        <v>2</v>
      </c>
      <c r="AI20" s="387">
        <f t="shared" si="7"/>
        <v>10000</v>
      </c>
      <c r="AJ20" s="383">
        <v>4</v>
      </c>
      <c r="AK20" s="387">
        <f t="shared" si="8"/>
        <v>20000</v>
      </c>
      <c r="AL20" s="383">
        <v>5</v>
      </c>
      <c r="AM20" s="387">
        <f t="shared" si="9"/>
        <v>25000</v>
      </c>
      <c r="AN20" s="383">
        <v>8</v>
      </c>
      <c r="AO20" s="387">
        <f t="shared" si="10"/>
        <v>40000</v>
      </c>
      <c r="AP20" s="383">
        <v>2</v>
      </c>
      <c r="AQ20" s="387">
        <f t="shared" si="11"/>
        <v>10000</v>
      </c>
      <c r="AR20" s="383">
        <v>3</v>
      </c>
      <c r="AS20" s="387">
        <f t="shared" si="12"/>
        <v>15000</v>
      </c>
      <c r="AT20" s="383">
        <v>6</v>
      </c>
      <c r="AU20" s="387">
        <f t="shared" si="13"/>
        <v>30000</v>
      </c>
      <c r="AV20" s="383">
        <v>5</v>
      </c>
      <c r="AW20" s="387">
        <f t="shared" si="14"/>
        <v>25000</v>
      </c>
      <c r="AX20" s="383">
        <v>9</v>
      </c>
      <c r="AY20" s="387">
        <f t="shared" si="3"/>
        <v>45000</v>
      </c>
      <c r="AZ20" s="383">
        <v>9</v>
      </c>
      <c r="BA20" s="387">
        <f t="shared" si="15"/>
        <v>45000</v>
      </c>
      <c r="BB20" s="383">
        <v>3</v>
      </c>
      <c r="BC20" s="387">
        <f t="shared" si="16"/>
        <v>15000</v>
      </c>
      <c r="BD20" s="383">
        <v>12</v>
      </c>
      <c r="BE20" s="387">
        <f t="shared" si="17"/>
        <v>60000</v>
      </c>
      <c r="BF20" s="383">
        <v>6</v>
      </c>
      <c r="BG20" s="387">
        <f t="shared" si="18"/>
        <v>30000</v>
      </c>
      <c r="BH20" s="383">
        <v>0</v>
      </c>
      <c r="BI20" s="387">
        <f t="shared" si="19"/>
        <v>0</v>
      </c>
      <c r="BJ20" s="47">
        <f t="shared" ref="BJ20:BK22" si="25">Z20+AB20+AD20+AF20+AH20+AJ20+AL20+AN20+AP20+AR20+AT20+AV20+AX20+AZ20+BB20+BD20+BF20+BH20</f>
        <v>90</v>
      </c>
      <c r="BK20" s="85">
        <f t="shared" si="25"/>
        <v>450000</v>
      </c>
      <c r="BL20" s="304" t="s">
        <v>469</v>
      </c>
      <c r="BN20" s="383"/>
      <c r="BO20" s="158">
        <f>G20</f>
        <v>450000</v>
      </c>
      <c r="BP20" s="383"/>
      <c r="BQ20" s="383"/>
      <c r="BR20" s="158">
        <f>BN20+BO20+BP20+BQ20</f>
        <v>450000</v>
      </c>
      <c r="BS20" s="383"/>
      <c r="BT20" s="383"/>
      <c r="BU20" s="383">
        <f>BS20+BT20</f>
        <v>0</v>
      </c>
      <c r="BV20" s="158">
        <f t="shared" si="2"/>
        <v>450000</v>
      </c>
    </row>
    <row r="21" spans="1:74" ht="31.5" x14ac:dyDescent="0.25">
      <c r="A21" s="1008"/>
      <c r="B21" s="38"/>
      <c r="C21" s="38" t="s">
        <v>383</v>
      </c>
      <c r="D21" s="38" t="s">
        <v>209</v>
      </c>
      <c r="E21" s="375">
        <f>0.05*100000</f>
        <v>5000</v>
      </c>
      <c r="F21" s="38">
        <f>BJ21</f>
        <v>34</v>
      </c>
      <c r="G21" s="158">
        <f>E21*F21</f>
        <v>170000</v>
      </c>
      <c r="H21" s="158">
        <f>G21*0.2</f>
        <v>34000</v>
      </c>
      <c r="I21" s="158">
        <f>G21*0.8</f>
        <v>136000</v>
      </c>
      <c r="J21" s="158">
        <f>G21*0</f>
        <v>0</v>
      </c>
      <c r="K21" s="158">
        <f>G21*0</f>
        <v>0</v>
      </c>
      <c r="L21" s="158">
        <f>G21*0</f>
        <v>0</v>
      </c>
      <c r="M21" s="158">
        <f>G21*0</f>
        <v>0</v>
      </c>
      <c r="N21" s="158">
        <f>G21*0</f>
        <v>0</v>
      </c>
      <c r="O21" s="158">
        <f>G21*0</f>
        <v>0</v>
      </c>
      <c r="P21" s="158">
        <f>G21*0</f>
        <v>0</v>
      </c>
      <c r="Q21" s="158">
        <f>G21*0</f>
        <v>0</v>
      </c>
      <c r="R21" s="222">
        <v>17</v>
      </c>
      <c r="S21" s="222">
        <v>0</v>
      </c>
      <c r="T21" s="222">
        <v>17</v>
      </c>
      <c r="U21" s="222"/>
      <c r="V21" s="158">
        <f>R21*E21</f>
        <v>85000</v>
      </c>
      <c r="W21" s="158">
        <f>S21*E21</f>
        <v>0</v>
      </c>
      <c r="X21" s="158">
        <f>T21*E21</f>
        <v>85000</v>
      </c>
      <c r="Y21" s="158">
        <f>U21*E21</f>
        <v>0</v>
      </c>
      <c r="Z21" s="383">
        <v>2</v>
      </c>
      <c r="AA21" s="387">
        <f>Z21*E21</f>
        <v>10000</v>
      </c>
      <c r="AB21" s="383">
        <v>2</v>
      </c>
      <c r="AC21" s="387">
        <f t="shared" si="4"/>
        <v>10000</v>
      </c>
      <c r="AD21" s="383">
        <v>2</v>
      </c>
      <c r="AE21" s="387">
        <f t="shared" si="5"/>
        <v>10000</v>
      </c>
      <c r="AF21" s="383">
        <v>2</v>
      </c>
      <c r="AG21" s="387">
        <f t="shared" si="6"/>
        <v>10000</v>
      </c>
      <c r="AH21" s="383">
        <v>2</v>
      </c>
      <c r="AI21" s="387">
        <f t="shared" si="7"/>
        <v>10000</v>
      </c>
      <c r="AJ21" s="383">
        <v>2</v>
      </c>
      <c r="AK21" s="387">
        <f t="shared" si="8"/>
        <v>10000</v>
      </c>
      <c r="AL21" s="383">
        <v>2</v>
      </c>
      <c r="AM21" s="387">
        <f t="shared" si="9"/>
        <v>10000</v>
      </c>
      <c r="AN21" s="383">
        <v>2</v>
      </c>
      <c r="AO21" s="387">
        <f t="shared" si="10"/>
        <v>10000</v>
      </c>
      <c r="AP21" s="383">
        <v>2</v>
      </c>
      <c r="AQ21" s="387">
        <f t="shared" si="11"/>
        <v>10000</v>
      </c>
      <c r="AR21" s="383">
        <v>2</v>
      </c>
      <c r="AS21" s="387">
        <f t="shared" si="12"/>
        <v>10000</v>
      </c>
      <c r="AT21" s="383">
        <v>2</v>
      </c>
      <c r="AU21" s="387">
        <f t="shared" si="13"/>
        <v>10000</v>
      </c>
      <c r="AV21" s="383">
        <v>2</v>
      </c>
      <c r="AW21" s="387">
        <f t="shared" si="14"/>
        <v>10000</v>
      </c>
      <c r="AX21" s="383">
        <v>2</v>
      </c>
      <c r="AY21" s="387">
        <f t="shared" si="3"/>
        <v>10000</v>
      </c>
      <c r="AZ21" s="383">
        <v>2</v>
      </c>
      <c r="BA21" s="387">
        <f t="shared" si="15"/>
        <v>10000</v>
      </c>
      <c r="BB21" s="383">
        <v>2</v>
      </c>
      <c r="BC21" s="387">
        <f t="shared" si="16"/>
        <v>10000</v>
      </c>
      <c r="BD21" s="383">
        <v>2</v>
      </c>
      <c r="BE21" s="387">
        <f t="shared" si="17"/>
        <v>10000</v>
      </c>
      <c r="BF21" s="383">
        <v>2</v>
      </c>
      <c r="BG21" s="387">
        <f t="shared" si="18"/>
        <v>10000</v>
      </c>
      <c r="BH21" s="383">
        <v>0</v>
      </c>
      <c r="BI21" s="387">
        <f t="shared" si="19"/>
        <v>0</v>
      </c>
      <c r="BJ21" s="47">
        <f t="shared" si="25"/>
        <v>34</v>
      </c>
      <c r="BK21" s="85">
        <f t="shared" si="25"/>
        <v>170000</v>
      </c>
      <c r="BL21" s="304" t="s">
        <v>469</v>
      </c>
      <c r="BN21" s="383"/>
      <c r="BO21" s="158">
        <f>G21</f>
        <v>170000</v>
      </c>
      <c r="BP21" s="383"/>
      <c r="BQ21" s="383"/>
      <c r="BR21" s="158">
        <f>BN21+BO21+BP21+BQ21</f>
        <v>170000</v>
      </c>
      <c r="BS21" s="383"/>
      <c r="BT21" s="383"/>
      <c r="BU21" s="383">
        <f>BS21+BT21</f>
        <v>0</v>
      </c>
      <c r="BV21" s="158">
        <f t="shared" si="2"/>
        <v>170000</v>
      </c>
    </row>
    <row r="22" spans="1:74" s="279" customFormat="1" ht="31.5" x14ac:dyDescent="0.25">
      <c r="A22" s="1008"/>
      <c r="B22" s="171"/>
      <c r="C22" s="171" t="s">
        <v>384</v>
      </c>
      <c r="D22" s="171" t="s">
        <v>209</v>
      </c>
      <c r="E22" s="180">
        <f>0.5*100000</f>
        <v>50000</v>
      </c>
      <c r="F22" s="38">
        <f>BJ22</f>
        <v>2</v>
      </c>
      <c r="G22" s="176">
        <f>E22*F22</f>
        <v>100000</v>
      </c>
      <c r="H22" s="158">
        <f>G22*0.2</f>
        <v>20000</v>
      </c>
      <c r="I22" s="176">
        <f>G22*0.8</f>
        <v>80000</v>
      </c>
      <c r="J22" s="176">
        <f>G22*0</f>
        <v>0</v>
      </c>
      <c r="K22" s="158">
        <f>G22*0</f>
        <v>0</v>
      </c>
      <c r="L22" s="176">
        <f>G22*0</f>
        <v>0</v>
      </c>
      <c r="M22" s="176">
        <f>G22*0</f>
        <v>0</v>
      </c>
      <c r="N22" s="176">
        <f>G22*0</f>
        <v>0</v>
      </c>
      <c r="O22" s="176">
        <f>G22*0</f>
        <v>0</v>
      </c>
      <c r="P22" s="176">
        <f>G22*0</f>
        <v>0</v>
      </c>
      <c r="Q22" s="176">
        <f>G22*0</f>
        <v>0</v>
      </c>
      <c r="R22" s="177">
        <v>0</v>
      </c>
      <c r="S22" s="177">
        <v>1</v>
      </c>
      <c r="T22" s="177">
        <v>1</v>
      </c>
      <c r="U22" s="177">
        <v>0</v>
      </c>
      <c r="V22" s="158">
        <f>R22*E22</f>
        <v>0</v>
      </c>
      <c r="W22" s="158">
        <f>S22*E22</f>
        <v>50000</v>
      </c>
      <c r="X22" s="158">
        <f>T22*E22</f>
        <v>50000</v>
      </c>
      <c r="Y22" s="158">
        <f>U22*E22</f>
        <v>0</v>
      </c>
      <c r="Z22" s="425">
        <v>0</v>
      </c>
      <c r="AA22" s="387">
        <f>Z22*E22</f>
        <v>0</v>
      </c>
      <c r="AB22" s="425">
        <v>0</v>
      </c>
      <c r="AC22" s="387">
        <f t="shared" si="4"/>
        <v>0</v>
      </c>
      <c r="AD22" s="425">
        <v>0</v>
      </c>
      <c r="AE22" s="387">
        <f t="shared" si="5"/>
        <v>0</v>
      </c>
      <c r="AF22" s="425">
        <v>0</v>
      </c>
      <c r="AG22" s="387">
        <f t="shared" si="6"/>
        <v>0</v>
      </c>
      <c r="AH22" s="425">
        <v>0</v>
      </c>
      <c r="AI22" s="387">
        <f t="shared" si="7"/>
        <v>0</v>
      </c>
      <c r="AJ22" s="425">
        <v>0</v>
      </c>
      <c r="AK22" s="387">
        <f t="shared" si="8"/>
        <v>0</v>
      </c>
      <c r="AL22" s="425">
        <v>0</v>
      </c>
      <c r="AM22" s="387">
        <f t="shared" si="9"/>
        <v>0</v>
      </c>
      <c r="AN22" s="425">
        <v>0</v>
      </c>
      <c r="AO22" s="387">
        <f t="shared" si="10"/>
        <v>0</v>
      </c>
      <c r="AP22" s="425">
        <v>0</v>
      </c>
      <c r="AQ22" s="387">
        <f t="shared" si="11"/>
        <v>0</v>
      </c>
      <c r="AR22" s="425">
        <v>0</v>
      </c>
      <c r="AS22" s="387">
        <f t="shared" si="12"/>
        <v>0</v>
      </c>
      <c r="AT22" s="425">
        <v>0</v>
      </c>
      <c r="AU22" s="387">
        <f t="shared" si="13"/>
        <v>0</v>
      </c>
      <c r="AV22" s="425">
        <v>0</v>
      </c>
      <c r="AW22" s="387">
        <f t="shared" si="14"/>
        <v>0</v>
      </c>
      <c r="AX22" s="425">
        <v>0</v>
      </c>
      <c r="AY22" s="387">
        <f t="shared" si="3"/>
        <v>0</v>
      </c>
      <c r="AZ22" s="425">
        <v>0</v>
      </c>
      <c r="BA22" s="387">
        <f t="shared" si="15"/>
        <v>0</v>
      </c>
      <c r="BB22" s="425">
        <v>0</v>
      </c>
      <c r="BC22" s="387">
        <f t="shared" si="16"/>
        <v>0</v>
      </c>
      <c r="BD22" s="425">
        <v>0</v>
      </c>
      <c r="BE22" s="387">
        <f t="shared" si="17"/>
        <v>0</v>
      </c>
      <c r="BF22" s="425">
        <v>0</v>
      </c>
      <c r="BG22" s="387">
        <f t="shared" si="18"/>
        <v>0</v>
      </c>
      <c r="BH22" s="425">
        <v>2</v>
      </c>
      <c r="BI22" s="387">
        <f t="shared" si="19"/>
        <v>100000</v>
      </c>
      <c r="BJ22" s="136">
        <f t="shared" si="25"/>
        <v>2</v>
      </c>
      <c r="BK22" s="134">
        <f t="shared" si="25"/>
        <v>100000</v>
      </c>
      <c r="BL22" s="304" t="s">
        <v>469</v>
      </c>
      <c r="BN22" s="426"/>
      <c r="BO22" s="176">
        <f>G22</f>
        <v>100000</v>
      </c>
      <c r="BP22" s="426"/>
      <c r="BQ22" s="426"/>
      <c r="BR22" s="176">
        <f>BN22+BO22+BP22+BQ22</f>
        <v>100000</v>
      </c>
      <c r="BS22" s="426"/>
      <c r="BT22" s="426"/>
      <c r="BU22" s="425">
        <f>BS22+BT22</f>
        <v>0</v>
      </c>
      <c r="BV22" s="176">
        <f t="shared" si="2"/>
        <v>100000</v>
      </c>
    </row>
    <row r="23" spans="1:74" s="275" customFormat="1" x14ac:dyDescent="0.25">
      <c r="A23" s="1008"/>
      <c r="B23" s="377"/>
      <c r="C23" s="379" t="s">
        <v>385</v>
      </c>
      <c r="D23" s="379" t="s">
        <v>282</v>
      </c>
      <c r="E23" s="379" t="s">
        <v>282</v>
      </c>
      <c r="F23" s="379">
        <f>SUM(F20:F22)</f>
        <v>126</v>
      </c>
      <c r="G23" s="419">
        <f>SUM(G20:G22)</f>
        <v>720000</v>
      </c>
      <c r="H23" s="419">
        <f t="shared" ref="H23:Q23" si="26">SUM(H20:H22)</f>
        <v>144000</v>
      </c>
      <c r="I23" s="419">
        <f t="shared" si="26"/>
        <v>576000</v>
      </c>
      <c r="J23" s="419">
        <f t="shared" si="26"/>
        <v>0</v>
      </c>
      <c r="K23" s="419">
        <f t="shared" si="26"/>
        <v>0</v>
      </c>
      <c r="L23" s="419">
        <f t="shared" si="26"/>
        <v>0</v>
      </c>
      <c r="M23" s="419">
        <f t="shared" si="26"/>
        <v>0</v>
      </c>
      <c r="N23" s="419">
        <f t="shared" si="26"/>
        <v>0</v>
      </c>
      <c r="O23" s="419">
        <f t="shared" si="26"/>
        <v>0</v>
      </c>
      <c r="P23" s="419">
        <f t="shared" si="26"/>
        <v>0</v>
      </c>
      <c r="Q23" s="419">
        <f t="shared" si="26"/>
        <v>0</v>
      </c>
      <c r="R23" s="420">
        <f t="shared" ref="R23:BK23" si="27">SUM(R20:R22)</f>
        <v>39</v>
      </c>
      <c r="S23" s="420">
        <f t="shared" si="27"/>
        <v>26</v>
      </c>
      <c r="T23" s="420">
        <f t="shared" si="27"/>
        <v>41</v>
      </c>
      <c r="U23" s="420">
        <f t="shared" si="27"/>
        <v>20</v>
      </c>
      <c r="V23" s="419">
        <f t="shared" si="27"/>
        <v>195000</v>
      </c>
      <c r="W23" s="419">
        <f t="shared" si="27"/>
        <v>175000</v>
      </c>
      <c r="X23" s="419">
        <f t="shared" si="27"/>
        <v>250000</v>
      </c>
      <c r="Y23" s="419">
        <f t="shared" si="27"/>
        <v>100000</v>
      </c>
      <c r="Z23" s="379">
        <f t="shared" si="27"/>
        <v>6</v>
      </c>
      <c r="AA23" s="419">
        <f t="shared" si="27"/>
        <v>30000</v>
      </c>
      <c r="AB23" s="379">
        <f t="shared" si="27"/>
        <v>5</v>
      </c>
      <c r="AC23" s="419">
        <f t="shared" si="27"/>
        <v>25000</v>
      </c>
      <c r="AD23" s="379">
        <f t="shared" si="27"/>
        <v>6</v>
      </c>
      <c r="AE23" s="419">
        <f t="shared" si="27"/>
        <v>30000</v>
      </c>
      <c r="AF23" s="379">
        <f t="shared" si="27"/>
        <v>7</v>
      </c>
      <c r="AG23" s="419">
        <f t="shared" si="27"/>
        <v>35000</v>
      </c>
      <c r="AH23" s="379">
        <f t="shared" si="27"/>
        <v>4</v>
      </c>
      <c r="AI23" s="419">
        <f t="shared" si="27"/>
        <v>20000</v>
      </c>
      <c r="AJ23" s="379">
        <f t="shared" si="27"/>
        <v>6</v>
      </c>
      <c r="AK23" s="419">
        <f t="shared" si="27"/>
        <v>30000</v>
      </c>
      <c r="AL23" s="379">
        <f t="shared" si="27"/>
        <v>7</v>
      </c>
      <c r="AM23" s="419">
        <f t="shared" si="27"/>
        <v>35000</v>
      </c>
      <c r="AN23" s="379">
        <f t="shared" si="27"/>
        <v>10</v>
      </c>
      <c r="AO23" s="419">
        <f t="shared" si="27"/>
        <v>50000</v>
      </c>
      <c r="AP23" s="379">
        <f t="shared" si="27"/>
        <v>4</v>
      </c>
      <c r="AQ23" s="419">
        <f t="shared" si="27"/>
        <v>20000</v>
      </c>
      <c r="AR23" s="379">
        <f t="shared" si="27"/>
        <v>5</v>
      </c>
      <c r="AS23" s="419">
        <f t="shared" si="27"/>
        <v>25000</v>
      </c>
      <c r="AT23" s="379">
        <f t="shared" si="27"/>
        <v>8</v>
      </c>
      <c r="AU23" s="419">
        <f t="shared" si="27"/>
        <v>40000</v>
      </c>
      <c r="AV23" s="379">
        <f t="shared" si="27"/>
        <v>7</v>
      </c>
      <c r="AW23" s="419">
        <f t="shared" si="27"/>
        <v>35000</v>
      </c>
      <c r="AX23" s="379">
        <f t="shared" si="27"/>
        <v>11</v>
      </c>
      <c r="AY23" s="419">
        <f t="shared" si="27"/>
        <v>55000</v>
      </c>
      <c r="AZ23" s="379">
        <f t="shared" si="27"/>
        <v>11</v>
      </c>
      <c r="BA23" s="419">
        <f t="shared" si="27"/>
        <v>55000</v>
      </c>
      <c r="BB23" s="379">
        <f t="shared" si="27"/>
        <v>5</v>
      </c>
      <c r="BC23" s="419">
        <f t="shared" si="27"/>
        <v>25000</v>
      </c>
      <c r="BD23" s="379">
        <f t="shared" si="27"/>
        <v>14</v>
      </c>
      <c r="BE23" s="419">
        <f t="shared" si="27"/>
        <v>70000</v>
      </c>
      <c r="BF23" s="379">
        <f t="shared" si="27"/>
        <v>8</v>
      </c>
      <c r="BG23" s="419">
        <f t="shared" si="27"/>
        <v>40000</v>
      </c>
      <c r="BH23" s="379">
        <f t="shared" si="27"/>
        <v>2</v>
      </c>
      <c r="BI23" s="419">
        <f t="shared" si="27"/>
        <v>100000</v>
      </c>
      <c r="BJ23" s="379">
        <f t="shared" si="27"/>
        <v>126</v>
      </c>
      <c r="BK23" s="419">
        <f t="shared" si="27"/>
        <v>720000</v>
      </c>
      <c r="BL23" s="421"/>
      <c r="BN23" s="419">
        <f t="shared" ref="BN23:BU23" si="28">SUM(BN20:BN22)</f>
        <v>0</v>
      </c>
      <c r="BO23" s="419">
        <f t="shared" si="28"/>
        <v>720000</v>
      </c>
      <c r="BP23" s="419">
        <f t="shared" si="28"/>
        <v>0</v>
      </c>
      <c r="BQ23" s="419">
        <f t="shared" si="28"/>
        <v>0</v>
      </c>
      <c r="BR23" s="419">
        <f t="shared" si="28"/>
        <v>720000</v>
      </c>
      <c r="BS23" s="419">
        <f t="shared" si="28"/>
        <v>0</v>
      </c>
      <c r="BT23" s="419">
        <f t="shared" si="28"/>
        <v>0</v>
      </c>
      <c r="BU23" s="419">
        <f t="shared" si="28"/>
        <v>0</v>
      </c>
      <c r="BV23" s="419">
        <f t="shared" si="2"/>
        <v>720000</v>
      </c>
    </row>
    <row r="24" spans="1:74" x14ac:dyDescent="0.25">
      <c r="A24" s="1008"/>
      <c r="B24" s="38">
        <v>43400</v>
      </c>
      <c r="C24" s="38" t="s">
        <v>386</v>
      </c>
      <c r="D24" s="38"/>
      <c r="E24" s="375"/>
      <c r="F24" s="38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52"/>
      <c r="R24" s="428"/>
      <c r="S24" s="428"/>
      <c r="T24" s="428"/>
      <c r="U24" s="428"/>
      <c r="V24" s="158"/>
      <c r="W24" s="158"/>
      <c r="X24" s="158"/>
      <c r="Y24" s="158"/>
      <c r="Z24" s="383"/>
      <c r="AA24" s="383"/>
      <c r="AB24" s="383"/>
      <c r="AC24" s="387">
        <f t="shared" si="4"/>
        <v>0</v>
      </c>
      <c r="AD24" s="383"/>
      <c r="AE24" s="387">
        <f t="shared" si="5"/>
        <v>0</v>
      </c>
      <c r="AF24" s="383"/>
      <c r="AG24" s="387">
        <f t="shared" si="6"/>
        <v>0</v>
      </c>
      <c r="AH24" s="383"/>
      <c r="AI24" s="387">
        <f t="shared" si="7"/>
        <v>0</v>
      </c>
      <c r="AJ24" s="383"/>
      <c r="AK24" s="387">
        <f t="shared" si="8"/>
        <v>0</v>
      </c>
      <c r="AL24" s="383"/>
      <c r="AM24" s="387">
        <f t="shared" si="9"/>
        <v>0</v>
      </c>
      <c r="AN24" s="383"/>
      <c r="AO24" s="387">
        <f t="shared" si="10"/>
        <v>0</v>
      </c>
      <c r="AP24" s="383"/>
      <c r="AQ24" s="387">
        <f t="shared" si="11"/>
        <v>0</v>
      </c>
      <c r="AR24" s="383"/>
      <c r="AS24" s="387">
        <f t="shared" si="12"/>
        <v>0</v>
      </c>
      <c r="AT24" s="383"/>
      <c r="AU24" s="387">
        <f t="shared" si="13"/>
        <v>0</v>
      </c>
      <c r="AV24" s="383"/>
      <c r="AW24" s="387">
        <f t="shared" si="14"/>
        <v>0</v>
      </c>
      <c r="AX24" s="383"/>
      <c r="AY24" s="387">
        <f t="shared" si="3"/>
        <v>0</v>
      </c>
      <c r="AZ24" s="383"/>
      <c r="BA24" s="387">
        <f t="shared" si="15"/>
        <v>0</v>
      </c>
      <c r="BB24" s="383"/>
      <c r="BC24" s="387">
        <f t="shared" si="16"/>
        <v>0</v>
      </c>
      <c r="BD24" s="383"/>
      <c r="BE24" s="387">
        <f t="shared" si="17"/>
        <v>0</v>
      </c>
      <c r="BF24" s="383"/>
      <c r="BG24" s="387">
        <f t="shared" si="18"/>
        <v>0</v>
      </c>
      <c r="BH24" s="383"/>
      <c r="BI24" s="387">
        <f t="shared" si="19"/>
        <v>0</v>
      </c>
      <c r="BJ24" s="383"/>
      <c r="BK24" s="383"/>
      <c r="BL24" s="383"/>
      <c r="BN24" s="383"/>
      <c r="BO24" s="383"/>
      <c r="BP24" s="383"/>
      <c r="BQ24" s="383"/>
      <c r="BR24" s="158">
        <f t="shared" ref="BR24:BR32" si="29">BN24+BO24+BP24+BQ24</f>
        <v>0</v>
      </c>
      <c r="BS24" s="383"/>
      <c r="BT24" s="383"/>
      <c r="BU24" s="383">
        <f t="shared" ref="BU24:BU32" si="30">BS24+BT24</f>
        <v>0</v>
      </c>
      <c r="BV24" s="158">
        <f t="shared" si="2"/>
        <v>0</v>
      </c>
    </row>
    <row r="25" spans="1:74" x14ac:dyDescent="0.25">
      <c r="A25" s="1008"/>
      <c r="B25" s="38">
        <v>43410</v>
      </c>
      <c r="C25" s="38" t="s">
        <v>387</v>
      </c>
      <c r="D25" s="38" t="s">
        <v>17</v>
      </c>
      <c r="E25" s="375">
        <f>2.25*100000</f>
        <v>225000</v>
      </c>
      <c r="F25" s="38">
        <f>BJ25</f>
        <v>1</v>
      </c>
      <c r="G25" s="158">
        <f>E25*F25</f>
        <v>225000</v>
      </c>
      <c r="H25" s="158">
        <f>G25*0.2</f>
        <v>45000</v>
      </c>
      <c r="I25" s="158">
        <f>G25*0.8</f>
        <v>180000</v>
      </c>
      <c r="J25" s="158">
        <f>G25*0</f>
        <v>0</v>
      </c>
      <c r="K25" s="158">
        <f>G25*0</f>
        <v>0</v>
      </c>
      <c r="L25" s="158">
        <f>G25*0</f>
        <v>0</v>
      </c>
      <c r="M25" s="158">
        <f>G25*0</f>
        <v>0</v>
      </c>
      <c r="N25" s="158">
        <f>G25*0</f>
        <v>0</v>
      </c>
      <c r="O25" s="158">
        <f>G25*0</f>
        <v>0</v>
      </c>
      <c r="P25" s="158">
        <f>G25*0</f>
        <v>0</v>
      </c>
      <c r="Q25" s="158">
        <f>G25*0</f>
        <v>0</v>
      </c>
      <c r="R25" s="222">
        <v>0</v>
      </c>
      <c r="S25" s="222">
        <v>0</v>
      </c>
      <c r="T25" s="222">
        <v>1</v>
      </c>
      <c r="U25" s="222">
        <v>0</v>
      </c>
      <c r="V25" s="158">
        <f>R25*E25</f>
        <v>0</v>
      </c>
      <c r="W25" s="158">
        <f>S25*E25</f>
        <v>0</v>
      </c>
      <c r="X25" s="158">
        <f>T25*E25</f>
        <v>225000</v>
      </c>
      <c r="Y25" s="158">
        <f>U25*E25</f>
        <v>0</v>
      </c>
      <c r="Z25" s="383">
        <v>0</v>
      </c>
      <c r="AA25" s="387">
        <f>Z25*E25</f>
        <v>0</v>
      </c>
      <c r="AB25" s="383">
        <v>0</v>
      </c>
      <c r="AC25" s="387">
        <f t="shared" si="4"/>
        <v>0</v>
      </c>
      <c r="AD25" s="383">
        <v>0</v>
      </c>
      <c r="AE25" s="387">
        <f t="shared" si="5"/>
        <v>0</v>
      </c>
      <c r="AF25" s="383">
        <v>0</v>
      </c>
      <c r="AG25" s="387">
        <f t="shared" si="6"/>
        <v>0</v>
      </c>
      <c r="AH25" s="383">
        <v>0</v>
      </c>
      <c r="AI25" s="387">
        <f t="shared" si="7"/>
        <v>0</v>
      </c>
      <c r="AJ25" s="383">
        <v>0</v>
      </c>
      <c r="AK25" s="387">
        <f t="shared" si="8"/>
        <v>0</v>
      </c>
      <c r="AL25" s="383">
        <v>0</v>
      </c>
      <c r="AM25" s="387">
        <f t="shared" si="9"/>
        <v>0</v>
      </c>
      <c r="AN25" s="383">
        <v>0</v>
      </c>
      <c r="AO25" s="387">
        <f t="shared" si="10"/>
        <v>0</v>
      </c>
      <c r="AP25" s="383">
        <v>0</v>
      </c>
      <c r="AQ25" s="387">
        <f t="shared" si="11"/>
        <v>0</v>
      </c>
      <c r="AR25" s="383">
        <v>0</v>
      </c>
      <c r="AS25" s="387">
        <f t="shared" si="12"/>
        <v>0</v>
      </c>
      <c r="AT25" s="383">
        <v>0</v>
      </c>
      <c r="AU25" s="387">
        <f t="shared" si="13"/>
        <v>0</v>
      </c>
      <c r="AV25" s="383">
        <v>0</v>
      </c>
      <c r="AW25" s="387">
        <f t="shared" si="14"/>
        <v>0</v>
      </c>
      <c r="AX25" s="383">
        <v>0</v>
      </c>
      <c r="AY25" s="387">
        <f t="shared" si="3"/>
        <v>0</v>
      </c>
      <c r="AZ25" s="383">
        <v>0</v>
      </c>
      <c r="BA25" s="387">
        <f t="shared" si="15"/>
        <v>0</v>
      </c>
      <c r="BB25" s="383">
        <v>0</v>
      </c>
      <c r="BC25" s="387">
        <f t="shared" si="16"/>
        <v>0</v>
      </c>
      <c r="BD25" s="383">
        <v>0</v>
      </c>
      <c r="BE25" s="387">
        <f t="shared" si="17"/>
        <v>0</v>
      </c>
      <c r="BF25" s="383">
        <v>0</v>
      </c>
      <c r="BG25" s="387">
        <f t="shared" si="18"/>
        <v>0</v>
      </c>
      <c r="BH25" s="383">
        <v>1</v>
      </c>
      <c r="BI25" s="387">
        <f t="shared" si="19"/>
        <v>225000</v>
      </c>
      <c r="BJ25" s="47">
        <f>Z25+AB25+AD25+AF25+AH25+AJ25+AL25+AN25+AP25+AR25+AT25+AV25+AX25+AZ25+BB25+BD25+BF25+BH25</f>
        <v>1</v>
      </c>
      <c r="BK25" s="85">
        <f>AA25+AC25+AE25+AG25+AI25+AK25+AM25+AO25+AQ25+AS25+AU25+AW25+AY25+BA25+BC25+BE25+BG25+BI25</f>
        <v>225000</v>
      </c>
      <c r="BL25" s="304" t="s">
        <v>469</v>
      </c>
      <c r="BN25" s="383"/>
      <c r="BO25" s="176">
        <f>G25</f>
        <v>225000</v>
      </c>
      <c r="BP25" s="383"/>
      <c r="BQ25" s="383"/>
      <c r="BR25" s="158">
        <f t="shared" si="29"/>
        <v>225000</v>
      </c>
      <c r="BS25" s="383"/>
      <c r="BT25" s="383"/>
      <c r="BU25" s="383">
        <f t="shared" si="30"/>
        <v>0</v>
      </c>
      <c r="BV25" s="158">
        <f t="shared" si="2"/>
        <v>225000</v>
      </c>
    </row>
    <row r="26" spans="1:74" x14ac:dyDescent="0.25">
      <c r="A26" s="1008"/>
      <c r="B26" s="38">
        <v>43420</v>
      </c>
      <c r="C26" s="38" t="s">
        <v>388</v>
      </c>
      <c r="D26" s="38" t="s">
        <v>17</v>
      </c>
      <c r="E26" s="375">
        <f>3.25*100000</f>
        <v>325000</v>
      </c>
      <c r="F26" s="38">
        <f>BJ26</f>
        <v>0</v>
      </c>
      <c r="G26" s="158">
        <f>E26*F26</f>
        <v>0</v>
      </c>
      <c r="H26" s="158">
        <f>G26*0.2</f>
        <v>0</v>
      </c>
      <c r="I26" s="158">
        <f>G26*0.8</f>
        <v>0</v>
      </c>
      <c r="J26" s="158">
        <f>G26*0</f>
        <v>0</v>
      </c>
      <c r="K26" s="158">
        <f>G26*0</f>
        <v>0</v>
      </c>
      <c r="L26" s="158">
        <f>G26*0</f>
        <v>0</v>
      </c>
      <c r="M26" s="158">
        <f>G26*0</f>
        <v>0</v>
      </c>
      <c r="N26" s="158">
        <f>G26*0</f>
        <v>0</v>
      </c>
      <c r="O26" s="158">
        <f>G26*0</f>
        <v>0</v>
      </c>
      <c r="P26" s="158">
        <f>G26*0</f>
        <v>0</v>
      </c>
      <c r="Q26" s="158">
        <f>G26*0</f>
        <v>0</v>
      </c>
      <c r="R26" s="222">
        <v>0</v>
      </c>
      <c r="S26" s="222">
        <v>0</v>
      </c>
      <c r="T26" s="222">
        <v>0</v>
      </c>
      <c r="U26" s="222">
        <v>0</v>
      </c>
      <c r="V26" s="158">
        <f>R26*E26</f>
        <v>0</v>
      </c>
      <c r="W26" s="158">
        <f>S26*E26</f>
        <v>0</v>
      </c>
      <c r="X26" s="158">
        <f>T26*E26</f>
        <v>0</v>
      </c>
      <c r="Y26" s="158">
        <f>U26*E26</f>
        <v>0</v>
      </c>
      <c r="Z26" s="383">
        <v>0</v>
      </c>
      <c r="AA26" s="387">
        <f>Z26*E26</f>
        <v>0</v>
      </c>
      <c r="AB26" s="383">
        <v>0</v>
      </c>
      <c r="AC26" s="387">
        <f t="shared" si="4"/>
        <v>0</v>
      </c>
      <c r="AD26" s="383">
        <v>0</v>
      </c>
      <c r="AE26" s="387">
        <f t="shared" si="5"/>
        <v>0</v>
      </c>
      <c r="AF26" s="383">
        <v>0</v>
      </c>
      <c r="AG26" s="387">
        <f t="shared" si="6"/>
        <v>0</v>
      </c>
      <c r="AH26" s="383">
        <v>0</v>
      </c>
      <c r="AI26" s="387">
        <f t="shared" si="7"/>
        <v>0</v>
      </c>
      <c r="AJ26" s="383">
        <v>0</v>
      </c>
      <c r="AK26" s="387">
        <f t="shared" si="8"/>
        <v>0</v>
      </c>
      <c r="AL26" s="383">
        <v>0</v>
      </c>
      <c r="AM26" s="387">
        <f t="shared" si="9"/>
        <v>0</v>
      </c>
      <c r="AN26" s="383">
        <v>0</v>
      </c>
      <c r="AO26" s="387">
        <f t="shared" si="10"/>
        <v>0</v>
      </c>
      <c r="AP26" s="383">
        <v>0</v>
      </c>
      <c r="AQ26" s="387">
        <f t="shared" si="11"/>
        <v>0</v>
      </c>
      <c r="AR26" s="383">
        <v>0</v>
      </c>
      <c r="AS26" s="387">
        <f t="shared" si="12"/>
        <v>0</v>
      </c>
      <c r="AT26" s="383">
        <v>0</v>
      </c>
      <c r="AU26" s="387">
        <f t="shared" si="13"/>
        <v>0</v>
      </c>
      <c r="AV26" s="383">
        <v>0</v>
      </c>
      <c r="AW26" s="387">
        <f t="shared" si="14"/>
        <v>0</v>
      </c>
      <c r="AX26" s="383">
        <v>0</v>
      </c>
      <c r="AY26" s="387">
        <f>AX26*E26</f>
        <v>0</v>
      </c>
      <c r="AZ26" s="383">
        <v>0</v>
      </c>
      <c r="BA26" s="387">
        <f t="shared" si="15"/>
        <v>0</v>
      </c>
      <c r="BB26" s="383">
        <v>0</v>
      </c>
      <c r="BC26" s="387">
        <f t="shared" si="16"/>
        <v>0</v>
      </c>
      <c r="BD26" s="383">
        <v>0</v>
      </c>
      <c r="BE26" s="387">
        <f t="shared" si="17"/>
        <v>0</v>
      </c>
      <c r="BF26" s="383">
        <v>0</v>
      </c>
      <c r="BG26" s="387">
        <f t="shared" si="18"/>
        <v>0</v>
      </c>
      <c r="BH26" s="383">
        <v>0</v>
      </c>
      <c r="BI26" s="387">
        <f t="shared" si="19"/>
        <v>0</v>
      </c>
      <c r="BJ26" s="47">
        <f>Z26+AB26+AD26+AF26+AH26+AJ26+AL26+AN26+AP26+AR26+AT26+AV26+AX26+AZ26+BB26+BD26+BF26+BH26</f>
        <v>0</v>
      </c>
      <c r="BK26" s="85">
        <f>AA26+AC26+AE26+AG26+AI26+AK26+AM26+AO26+AQ26+AS26+AU26+AW26+AY26+BA26+BC26+BE26+BG26+BI26</f>
        <v>0</v>
      </c>
      <c r="BL26" s="304" t="s">
        <v>469</v>
      </c>
      <c r="BN26" s="383"/>
      <c r="BO26" s="176">
        <f>G26</f>
        <v>0</v>
      </c>
      <c r="BP26" s="383"/>
      <c r="BQ26" s="383"/>
      <c r="BR26" s="158">
        <f t="shared" si="29"/>
        <v>0</v>
      </c>
      <c r="BS26" s="383"/>
      <c r="BT26" s="383"/>
      <c r="BU26" s="383">
        <f t="shared" si="30"/>
        <v>0</v>
      </c>
      <c r="BV26" s="158">
        <f t="shared" si="2"/>
        <v>0</v>
      </c>
    </row>
    <row r="27" spans="1:74" s="275" customFormat="1" x14ac:dyDescent="0.25">
      <c r="A27" s="1008"/>
      <c r="B27" s="377"/>
      <c r="C27" s="379" t="s">
        <v>389</v>
      </c>
      <c r="D27" s="379" t="s">
        <v>282</v>
      </c>
      <c r="E27" s="379" t="s">
        <v>282</v>
      </c>
      <c r="F27" s="379">
        <f>SUM(F25:F26)</f>
        <v>1</v>
      </c>
      <c r="G27" s="419">
        <f>SUM(G25:G26)</f>
        <v>225000</v>
      </c>
      <c r="H27" s="419">
        <f t="shared" ref="H27:Q27" si="31">SUM(H25:H26)</f>
        <v>45000</v>
      </c>
      <c r="I27" s="419">
        <f t="shared" si="31"/>
        <v>180000</v>
      </c>
      <c r="J27" s="419">
        <f t="shared" si="31"/>
        <v>0</v>
      </c>
      <c r="K27" s="419">
        <f t="shared" si="31"/>
        <v>0</v>
      </c>
      <c r="L27" s="419">
        <f t="shared" si="31"/>
        <v>0</v>
      </c>
      <c r="M27" s="419">
        <f t="shared" si="31"/>
        <v>0</v>
      </c>
      <c r="N27" s="419">
        <f t="shared" si="31"/>
        <v>0</v>
      </c>
      <c r="O27" s="419">
        <f t="shared" si="31"/>
        <v>0</v>
      </c>
      <c r="P27" s="419">
        <f t="shared" si="31"/>
        <v>0</v>
      </c>
      <c r="Q27" s="419">
        <f t="shared" si="31"/>
        <v>0</v>
      </c>
      <c r="R27" s="379">
        <f t="shared" ref="R27:BK27" si="32">SUM(R25:R26)</f>
        <v>0</v>
      </c>
      <c r="S27" s="379">
        <f t="shared" si="32"/>
        <v>0</v>
      </c>
      <c r="T27" s="379">
        <f t="shared" si="32"/>
        <v>1</v>
      </c>
      <c r="U27" s="379">
        <f t="shared" si="32"/>
        <v>0</v>
      </c>
      <c r="V27" s="419">
        <f t="shared" si="32"/>
        <v>0</v>
      </c>
      <c r="W27" s="419">
        <f t="shared" si="32"/>
        <v>0</v>
      </c>
      <c r="X27" s="419">
        <f t="shared" si="32"/>
        <v>225000</v>
      </c>
      <c r="Y27" s="419">
        <f t="shared" si="32"/>
        <v>0</v>
      </c>
      <c r="Z27" s="379">
        <f t="shared" si="32"/>
        <v>0</v>
      </c>
      <c r="AA27" s="419">
        <f t="shared" si="32"/>
        <v>0</v>
      </c>
      <c r="AB27" s="379">
        <f t="shared" si="32"/>
        <v>0</v>
      </c>
      <c r="AC27" s="419">
        <f t="shared" si="32"/>
        <v>0</v>
      </c>
      <c r="AD27" s="379">
        <f t="shared" si="32"/>
        <v>0</v>
      </c>
      <c r="AE27" s="419">
        <f t="shared" si="32"/>
        <v>0</v>
      </c>
      <c r="AF27" s="379">
        <f t="shared" si="32"/>
        <v>0</v>
      </c>
      <c r="AG27" s="419">
        <f t="shared" si="32"/>
        <v>0</v>
      </c>
      <c r="AH27" s="379">
        <f t="shared" si="32"/>
        <v>0</v>
      </c>
      <c r="AI27" s="419">
        <f t="shared" si="32"/>
        <v>0</v>
      </c>
      <c r="AJ27" s="379">
        <f t="shared" si="32"/>
        <v>0</v>
      </c>
      <c r="AK27" s="419">
        <f t="shared" si="32"/>
        <v>0</v>
      </c>
      <c r="AL27" s="379">
        <f t="shared" si="32"/>
        <v>0</v>
      </c>
      <c r="AM27" s="419">
        <f t="shared" si="32"/>
        <v>0</v>
      </c>
      <c r="AN27" s="379">
        <f t="shared" si="32"/>
        <v>0</v>
      </c>
      <c r="AO27" s="419">
        <f t="shared" si="32"/>
        <v>0</v>
      </c>
      <c r="AP27" s="379">
        <f t="shared" si="32"/>
        <v>0</v>
      </c>
      <c r="AQ27" s="419">
        <f t="shared" si="32"/>
        <v>0</v>
      </c>
      <c r="AR27" s="379">
        <f t="shared" si="32"/>
        <v>0</v>
      </c>
      <c r="AS27" s="419">
        <f t="shared" si="32"/>
        <v>0</v>
      </c>
      <c r="AT27" s="379">
        <f t="shared" si="32"/>
        <v>0</v>
      </c>
      <c r="AU27" s="419">
        <f t="shared" si="32"/>
        <v>0</v>
      </c>
      <c r="AV27" s="379">
        <f t="shared" si="32"/>
        <v>0</v>
      </c>
      <c r="AW27" s="419">
        <f t="shared" si="32"/>
        <v>0</v>
      </c>
      <c r="AX27" s="379">
        <f t="shared" si="32"/>
        <v>0</v>
      </c>
      <c r="AY27" s="419">
        <f t="shared" si="32"/>
        <v>0</v>
      </c>
      <c r="AZ27" s="379">
        <f t="shared" si="32"/>
        <v>0</v>
      </c>
      <c r="BA27" s="419">
        <f t="shared" si="32"/>
        <v>0</v>
      </c>
      <c r="BB27" s="379">
        <f t="shared" si="32"/>
        <v>0</v>
      </c>
      <c r="BC27" s="419">
        <f t="shared" si="32"/>
        <v>0</v>
      </c>
      <c r="BD27" s="379">
        <f t="shared" si="32"/>
        <v>0</v>
      </c>
      <c r="BE27" s="419">
        <f t="shared" si="32"/>
        <v>0</v>
      </c>
      <c r="BF27" s="379">
        <f t="shared" si="32"/>
        <v>0</v>
      </c>
      <c r="BG27" s="419">
        <f t="shared" si="32"/>
        <v>0</v>
      </c>
      <c r="BH27" s="379">
        <f t="shared" si="32"/>
        <v>1</v>
      </c>
      <c r="BI27" s="419">
        <f t="shared" si="32"/>
        <v>225000</v>
      </c>
      <c r="BJ27" s="379">
        <f t="shared" si="32"/>
        <v>1</v>
      </c>
      <c r="BK27" s="419">
        <f t="shared" si="32"/>
        <v>225000</v>
      </c>
      <c r="BL27" s="421"/>
      <c r="BN27" s="429"/>
      <c r="BO27" s="419">
        <f>SUM(BO25:BO26)</f>
        <v>225000</v>
      </c>
      <c r="BP27" s="429"/>
      <c r="BQ27" s="429"/>
      <c r="BR27" s="419">
        <f t="shared" si="29"/>
        <v>225000</v>
      </c>
      <c r="BS27" s="429"/>
      <c r="BT27" s="429"/>
      <c r="BU27" s="429">
        <f t="shared" si="30"/>
        <v>0</v>
      </c>
      <c r="BV27" s="419">
        <f t="shared" si="2"/>
        <v>225000</v>
      </c>
    </row>
    <row r="28" spans="1:74" x14ac:dyDescent="0.25">
      <c r="A28" s="1008"/>
      <c r="B28" s="38">
        <v>43500</v>
      </c>
      <c r="C28" s="38" t="s">
        <v>390</v>
      </c>
      <c r="D28" s="38"/>
      <c r="E28" s="375"/>
      <c r="F28" s="3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383"/>
      <c r="R28" s="222"/>
      <c r="S28" s="222" t="s">
        <v>41</v>
      </c>
      <c r="T28" s="222"/>
      <c r="U28" s="222"/>
      <c r="V28" s="158"/>
      <c r="W28" s="158"/>
      <c r="X28" s="158"/>
      <c r="Y28" s="158"/>
      <c r="Z28" s="383"/>
      <c r="AA28" s="383"/>
      <c r="AB28" s="383"/>
      <c r="AC28" s="387">
        <f t="shared" si="4"/>
        <v>0</v>
      </c>
      <c r="AD28" s="383"/>
      <c r="AE28" s="387">
        <f t="shared" si="5"/>
        <v>0</v>
      </c>
      <c r="AF28" s="383"/>
      <c r="AG28" s="387">
        <f t="shared" si="6"/>
        <v>0</v>
      </c>
      <c r="AH28" s="383"/>
      <c r="AI28" s="387">
        <f t="shared" si="7"/>
        <v>0</v>
      </c>
      <c r="AJ28" s="383"/>
      <c r="AK28" s="387">
        <f t="shared" si="8"/>
        <v>0</v>
      </c>
      <c r="AL28" s="383"/>
      <c r="AM28" s="387">
        <f t="shared" si="9"/>
        <v>0</v>
      </c>
      <c r="AN28" s="383"/>
      <c r="AO28" s="387">
        <f t="shared" si="10"/>
        <v>0</v>
      </c>
      <c r="AP28" s="383"/>
      <c r="AQ28" s="387">
        <f t="shared" si="11"/>
        <v>0</v>
      </c>
      <c r="AR28" s="383"/>
      <c r="AS28" s="387">
        <f t="shared" si="12"/>
        <v>0</v>
      </c>
      <c r="AT28" s="383"/>
      <c r="AU28" s="387">
        <f t="shared" si="13"/>
        <v>0</v>
      </c>
      <c r="AV28" s="383"/>
      <c r="AW28" s="387">
        <f t="shared" si="14"/>
        <v>0</v>
      </c>
      <c r="AX28" s="383"/>
      <c r="AY28" s="387">
        <f t="shared" ref="AY28:AY40" si="33">AX28*E28</f>
        <v>0</v>
      </c>
      <c r="AZ28" s="383"/>
      <c r="BA28" s="387">
        <f t="shared" si="15"/>
        <v>0</v>
      </c>
      <c r="BB28" s="383"/>
      <c r="BC28" s="387">
        <f t="shared" si="16"/>
        <v>0</v>
      </c>
      <c r="BD28" s="383"/>
      <c r="BE28" s="387">
        <f t="shared" si="17"/>
        <v>0</v>
      </c>
      <c r="BF28" s="383"/>
      <c r="BG28" s="387">
        <f t="shared" si="18"/>
        <v>0</v>
      </c>
      <c r="BH28" s="383"/>
      <c r="BI28" s="387">
        <f t="shared" si="19"/>
        <v>0</v>
      </c>
      <c r="BJ28" s="383"/>
      <c r="BK28" s="383"/>
      <c r="BL28" s="383"/>
      <c r="BN28" s="383"/>
      <c r="BO28" s="383"/>
      <c r="BP28" s="383"/>
      <c r="BQ28" s="383"/>
      <c r="BR28" s="158">
        <f t="shared" si="29"/>
        <v>0</v>
      </c>
      <c r="BS28" s="383"/>
      <c r="BT28" s="383"/>
      <c r="BU28" s="383">
        <f t="shared" si="30"/>
        <v>0</v>
      </c>
      <c r="BV28" s="158">
        <f t="shared" si="2"/>
        <v>0</v>
      </c>
    </row>
    <row r="29" spans="1:74" s="99" customFormat="1" ht="31.5" x14ac:dyDescent="0.25">
      <c r="A29" s="1008"/>
      <c r="B29" s="171">
        <v>43510</v>
      </c>
      <c r="C29" s="171" t="s">
        <v>391</v>
      </c>
      <c r="D29" s="171" t="s">
        <v>17</v>
      </c>
      <c r="E29" s="180">
        <f>1*100000</f>
        <v>100000</v>
      </c>
      <c r="F29" s="38">
        <f>BJ29</f>
        <v>1</v>
      </c>
      <c r="G29" s="176">
        <f>E29*F29</f>
        <v>100000</v>
      </c>
      <c r="H29" s="158">
        <f>G29*0.2</f>
        <v>20000</v>
      </c>
      <c r="I29" s="176">
        <f>G29*0.8</f>
        <v>80000</v>
      </c>
      <c r="J29" s="176">
        <f>G29*0</f>
        <v>0</v>
      </c>
      <c r="K29" s="158">
        <f>G29*0</f>
        <v>0</v>
      </c>
      <c r="L29" s="176">
        <f>G29*0</f>
        <v>0</v>
      </c>
      <c r="M29" s="176">
        <f>G29*0</f>
        <v>0</v>
      </c>
      <c r="N29" s="176">
        <f>G29*0</f>
        <v>0</v>
      </c>
      <c r="O29" s="176">
        <f>G29*0</f>
        <v>0</v>
      </c>
      <c r="P29" s="176">
        <f>G29*0</f>
        <v>0</v>
      </c>
      <c r="Q29" s="176">
        <f>G29*0</f>
        <v>0</v>
      </c>
      <c r="R29" s="177">
        <v>0</v>
      </c>
      <c r="S29" s="177">
        <v>1</v>
      </c>
      <c r="T29" s="177">
        <v>0</v>
      </c>
      <c r="U29" s="177">
        <v>0</v>
      </c>
      <c r="V29" s="158">
        <f>R29*E29</f>
        <v>0</v>
      </c>
      <c r="W29" s="158">
        <f>S29*E29</f>
        <v>100000</v>
      </c>
      <c r="X29" s="158">
        <f>T29*E29</f>
        <v>0</v>
      </c>
      <c r="Y29" s="158">
        <f>U29*E29</f>
        <v>0</v>
      </c>
      <c r="Z29" s="425">
        <v>0</v>
      </c>
      <c r="AA29" s="387">
        <f>Z29*E29</f>
        <v>0</v>
      </c>
      <c r="AB29" s="425">
        <v>0</v>
      </c>
      <c r="AC29" s="387">
        <f t="shared" si="4"/>
        <v>0</v>
      </c>
      <c r="AD29" s="425">
        <v>0</v>
      </c>
      <c r="AE29" s="387">
        <f t="shared" si="5"/>
        <v>0</v>
      </c>
      <c r="AF29" s="425">
        <v>0</v>
      </c>
      <c r="AG29" s="387">
        <f t="shared" si="6"/>
        <v>0</v>
      </c>
      <c r="AH29" s="425">
        <v>0</v>
      </c>
      <c r="AI29" s="387">
        <f t="shared" si="7"/>
        <v>0</v>
      </c>
      <c r="AJ29" s="425">
        <v>0</v>
      </c>
      <c r="AK29" s="387">
        <f t="shared" si="8"/>
        <v>0</v>
      </c>
      <c r="AL29" s="425">
        <v>0</v>
      </c>
      <c r="AM29" s="387">
        <f t="shared" si="9"/>
        <v>0</v>
      </c>
      <c r="AN29" s="425">
        <v>0</v>
      </c>
      <c r="AO29" s="387">
        <f t="shared" si="10"/>
        <v>0</v>
      </c>
      <c r="AP29" s="425">
        <v>0</v>
      </c>
      <c r="AQ29" s="387">
        <f t="shared" si="11"/>
        <v>0</v>
      </c>
      <c r="AR29" s="425">
        <v>0</v>
      </c>
      <c r="AS29" s="387">
        <f t="shared" si="12"/>
        <v>0</v>
      </c>
      <c r="AT29" s="425">
        <v>0</v>
      </c>
      <c r="AU29" s="387">
        <f t="shared" si="13"/>
        <v>0</v>
      </c>
      <c r="AV29" s="425">
        <v>0</v>
      </c>
      <c r="AW29" s="387">
        <f t="shared" si="14"/>
        <v>0</v>
      </c>
      <c r="AX29" s="425">
        <v>0</v>
      </c>
      <c r="AY29" s="387">
        <f t="shared" si="33"/>
        <v>0</v>
      </c>
      <c r="AZ29" s="425">
        <v>0</v>
      </c>
      <c r="BA29" s="387">
        <f t="shared" si="15"/>
        <v>0</v>
      </c>
      <c r="BB29" s="425">
        <v>0</v>
      </c>
      <c r="BC29" s="387">
        <f t="shared" si="16"/>
        <v>0</v>
      </c>
      <c r="BD29" s="425">
        <v>0</v>
      </c>
      <c r="BE29" s="387">
        <f t="shared" si="17"/>
        <v>0</v>
      </c>
      <c r="BF29" s="425">
        <v>0</v>
      </c>
      <c r="BG29" s="387">
        <f t="shared" si="18"/>
        <v>0</v>
      </c>
      <c r="BH29" s="425">
        <v>1</v>
      </c>
      <c r="BI29" s="387">
        <f t="shared" si="19"/>
        <v>100000</v>
      </c>
      <c r="BJ29" s="136">
        <f t="shared" ref="BJ29:BK32" si="34">Z29+AB29+AD29+AF29+AH29+AJ29+AL29+AN29+AP29+AR29+AT29+AV29+AX29+AZ29+BB29+BD29+BF29+BH29</f>
        <v>1</v>
      </c>
      <c r="BK29" s="134">
        <f t="shared" si="34"/>
        <v>100000</v>
      </c>
      <c r="BL29" s="304" t="s">
        <v>469</v>
      </c>
      <c r="BN29" s="425"/>
      <c r="BO29" s="176">
        <f>G29</f>
        <v>100000</v>
      </c>
      <c r="BP29" s="425"/>
      <c r="BQ29" s="425"/>
      <c r="BR29" s="176">
        <f t="shared" si="29"/>
        <v>100000</v>
      </c>
      <c r="BS29" s="425"/>
      <c r="BT29" s="425"/>
      <c r="BU29" s="425">
        <f t="shared" si="30"/>
        <v>0</v>
      </c>
      <c r="BV29" s="176">
        <f t="shared" si="2"/>
        <v>100000</v>
      </c>
    </row>
    <row r="30" spans="1:74" s="99" customFormat="1" ht="31.5" x14ac:dyDescent="0.25">
      <c r="A30" s="1008"/>
      <c r="B30" s="171"/>
      <c r="C30" s="171" t="s">
        <v>392</v>
      </c>
      <c r="D30" s="171" t="s">
        <v>17</v>
      </c>
      <c r="E30" s="180">
        <v>30000</v>
      </c>
      <c r="F30" s="38">
        <f>BJ30</f>
        <v>17</v>
      </c>
      <c r="G30" s="176">
        <f>E30*F30</f>
        <v>510000</v>
      </c>
      <c r="H30" s="158">
        <f>G30*0.2</f>
        <v>102000</v>
      </c>
      <c r="I30" s="176">
        <f>G30*0.8</f>
        <v>408000</v>
      </c>
      <c r="J30" s="176">
        <f>G30*0</f>
        <v>0</v>
      </c>
      <c r="K30" s="158">
        <f>G30*0</f>
        <v>0</v>
      </c>
      <c r="L30" s="176">
        <f>G30*0</f>
        <v>0</v>
      </c>
      <c r="M30" s="176">
        <f>G30*0</f>
        <v>0</v>
      </c>
      <c r="N30" s="176">
        <f>G30*0</f>
        <v>0</v>
      </c>
      <c r="O30" s="176">
        <f>G30*0</f>
        <v>0</v>
      </c>
      <c r="P30" s="176">
        <f>G30*0</f>
        <v>0</v>
      </c>
      <c r="Q30" s="176">
        <f>G30*0</f>
        <v>0</v>
      </c>
      <c r="R30" s="177">
        <v>8</v>
      </c>
      <c r="S30" s="177">
        <v>4</v>
      </c>
      <c r="T30" s="177">
        <v>4</v>
      </c>
      <c r="U30" s="177">
        <v>1</v>
      </c>
      <c r="V30" s="158">
        <f>R30*E30</f>
        <v>240000</v>
      </c>
      <c r="W30" s="158">
        <f>S30*E30</f>
        <v>120000</v>
      </c>
      <c r="X30" s="158">
        <f>T30*E30</f>
        <v>120000</v>
      </c>
      <c r="Y30" s="158">
        <f>U30*E30</f>
        <v>30000</v>
      </c>
      <c r="Z30" s="425">
        <v>1</v>
      </c>
      <c r="AA30" s="387">
        <f>Z30*E30</f>
        <v>30000</v>
      </c>
      <c r="AB30" s="425">
        <v>1</v>
      </c>
      <c r="AC30" s="387">
        <f t="shared" si="4"/>
        <v>30000</v>
      </c>
      <c r="AD30" s="425">
        <v>1</v>
      </c>
      <c r="AE30" s="387">
        <f t="shared" si="5"/>
        <v>30000</v>
      </c>
      <c r="AF30" s="425">
        <v>1</v>
      </c>
      <c r="AG30" s="387">
        <f t="shared" si="6"/>
        <v>30000</v>
      </c>
      <c r="AH30" s="425">
        <v>1</v>
      </c>
      <c r="AI30" s="387">
        <f t="shared" si="7"/>
        <v>30000</v>
      </c>
      <c r="AJ30" s="425">
        <v>1</v>
      </c>
      <c r="AK30" s="387">
        <f t="shared" si="8"/>
        <v>30000</v>
      </c>
      <c r="AL30" s="425">
        <v>1</v>
      </c>
      <c r="AM30" s="387">
        <f t="shared" si="9"/>
        <v>30000</v>
      </c>
      <c r="AN30" s="425">
        <v>1</v>
      </c>
      <c r="AO30" s="387">
        <f t="shared" si="10"/>
        <v>30000</v>
      </c>
      <c r="AP30" s="425">
        <v>1</v>
      </c>
      <c r="AQ30" s="387">
        <f t="shared" si="11"/>
        <v>30000</v>
      </c>
      <c r="AR30" s="425">
        <v>1</v>
      </c>
      <c r="AS30" s="387">
        <f t="shared" si="12"/>
        <v>30000</v>
      </c>
      <c r="AT30" s="425">
        <v>1</v>
      </c>
      <c r="AU30" s="387">
        <f t="shared" si="13"/>
        <v>30000</v>
      </c>
      <c r="AV30" s="425">
        <v>1</v>
      </c>
      <c r="AW30" s="387">
        <f t="shared" si="14"/>
        <v>30000</v>
      </c>
      <c r="AX30" s="425">
        <v>1</v>
      </c>
      <c r="AY30" s="387">
        <f t="shared" si="33"/>
        <v>30000</v>
      </c>
      <c r="AZ30" s="425">
        <v>1</v>
      </c>
      <c r="BA30" s="387">
        <f t="shared" si="15"/>
        <v>30000</v>
      </c>
      <c r="BB30" s="425">
        <v>1</v>
      </c>
      <c r="BC30" s="387">
        <f t="shared" si="16"/>
        <v>30000</v>
      </c>
      <c r="BD30" s="425">
        <v>1</v>
      </c>
      <c r="BE30" s="387">
        <f t="shared" si="17"/>
        <v>30000</v>
      </c>
      <c r="BF30" s="425">
        <v>1</v>
      </c>
      <c r="BG30" s="387">
        <f t="shared" si="18"/>
        <v>30000</v>
      </c>
      <c r="BH30" s="425">
        <v>0</v>
      </c>
      <c r="BI30" s="387">
        <f t="shared" si="19"/>
        <v>0</v>
      </c>
      <c r="BJ30" s="136">
        <f t="shared" si="34"/>
        <v>17</v>
      </c>
      <c r="BK30" s="134">
        <f t="shared" si="34"/>
        <v>510000</v>
      </c>
      <c r="BL30" s="304" t="s">
        <v>469</v>
      </c>
      <c r="BN30" s="425"/>
      <c r="BO30" s="176">
        <f>G30</f>
        <v>510000</v>
      </c>
      <c r="BP30" s="425"/>
      <c r="BQ30" s="425"/>
      <c r="BR30" s="176">
        <f t="shared" si="29"/>
        <v>510000</v>
      </c>
      <c r="BS30" s="425"/>
      <c r="BT30" s="425"/>
      <c r="BU30" s="425">
        <f t="shared" si="30"/>
        <v>0</v>
      </c>
      <c r="BV30" s="176">
        <f t="shared" si="2"/>
        <v>510000</v>
      </c>
    </row>
    <row r="31" spans="1:74" ht="31.5" x14ac:dyDescent="0.25">
      <c r="A31" s="1008"/>
      <c r="B31" s="38">
        <v>43520</v>
      </c>
      <c r="C31" s="38" t="s">
        <v>393</v>
      </c>
      <c r="D31" s="38" t="s">
        <v>17</v>
      </c>
      <c r="E31" s="375">
        <f>1*100000</f>
        <v>100000</v>
      </c>
      <c r="F31" s="38">
        <f>BJ31</f>
        <v>1</v>
      </c>
      <c r="G31" s="158">
        <f>E31*F31</f>
        <v>100000</v>
      </c>
      <c r="H31" s="158">
        <f>G31*0.2</f>
        <v>20000</v>
      </c>
      <c r="I31" s="158">
        <f>G31*0.8</f>
        <v>80000</v>
      </c>
      <c r="J31" s="158">
        <f>G31*0</f>
        <v>0</v>
      </c>
      <c r="K31" s="158">
        <f>G31*0</f>
        <v>0</v>
      </c>
      <c r="L31" s="158">
        <f>G31*0</f>
        <v>0</v>
      </c>
      <c r="M31" s="158">
        <f>G31*0</f>
        <v>0</v>
      </c>
      <c r="N31" s="158">
        <f>G31*0</f>
        <v>0</v>
      </c>
      <c r="O31" s="158">
        <f>G31*0</f>
        <v>0</v>
      </c>
      <c r="P31" s="158">
        <f>G31*0</f>
        <v>0</v>
      </c>
      <c r="Q31" s="158">
        <f>G31*0</f>
        <v>0</v>
      </c>
      <c r="R31" s="428">
        <v>0</v>
      </c>
      <c r="S31" s="428">
        <v>0</v>
      </c>
      <c r="T31" s="428">
        <v>1</v>
      </c>
      <c r="U31" s="428">
        <v>0</v>
      </c>
      <c r="V31" s="158">
        <f>R31*E31</f>
        <v>0</v>
      </c>
      <c r="W31" s="158">
        <f>S31*E31</f>
        <v>0</v>
      </c>
      <c r="X31" s="158">
        <f>T31*E31</f>
        <v>100000</v>
      </c>
      <c r="Y31" s="158">
        <f>U31*E31</f>
        <v>0</v>
      </c>
      <c r="Z31" s="383">
        <v>0</v>
      </c>
      <c r="AA31" s="387">
        <f>Z31*E31</f>
        <v>0</v>
      </c>
      <c r="AB31" s="383">
        <v>0</v>
      </c>
      <c r="AC31" s="387">
        <f t="shared" si="4"/>
        <v>0</v>
      </c>
      <c r="AD31" s="383">
        <v>0</v>
      </c>
      <c r="AE31" s="387">
        <f t="shared" si="5"/>
        <v>0</v>
      </c>
      <c r="AF31" s="383">
        <v>0</v>
      </c>
      <c r="AG31" s="387">
        <f t="shared" si="6"/>
        <v>0</v>
      </c>
      <c r="AH31" s="383">
        <v>0</v>
      </c>
      <c r="AI31" s="387">
        <f t="shared" si="7"/>
        <v>0</v>
      </c>
      <c r="AJ31" s="383">
        <v>0</v>
      </c>
      <c r="AK31" s="387">
        <f t="shared" si="8"/>
        <v>0</v>
      </c>
      <c r="AL31" s="383">
        <v>0</v>
      </c>
      <c r="AM31" s="387">
        <f t="shared" si="9"/>
        <v>0</v>
      </c>
      <c r="AN31" s="383">
        <v>0</v>
      </c>
      <c r="AO31" s="387">
        <f t="shared" si="10"/>
        <v>0</v>
      </c>
      <c r="AP31" s="383">
        <v>0</v>
      </c>
      <c r="AQ31" s="387">
        <f t="shared" si="11"/>
        <v>0</v>
      </c>
      <c r="AR31" s="383">
        <v>0</v>
      </c>
      <c r="AS31" s="387">
        <f t="shared" si="12"/>
        <v>0</v>
      </c>
      <c r="AT31" s="383">
        <v>0</v>
      </c>
      <c r="AU31" s="387">
        <f t="shared" si="13"/>
        <v>0</v>
      </c>
      <c r="AV31" s="383">
        <v>0</v>
      </c>
      <c r="AW31" s="387">
        <f t="shared" si="14"/>
        <v>0</v>
      </c>
      <c r="AX31" s="383">
        <v>0</v>
      </c>
      <c r="AY31" s="387">
        <f t="shared" si="33"/>
        <v>0</v>
      </c>
      <c r="AZ31" s="383">
        <v>0</v>
      </c>
      <c r="BA31" s="387">
        <f t="shared" si="15"/>
        <v>0</v>
      </c>
      <c r="BB31" s="383">
        <v>0</v>
      </c>
      <c r="BC31" s="387">
        <f t="shared" si="16"/>
        <v>0</v>
      </c>
      <c r="BD31" s="383">
        <v>0</v>
      </c>
      <c r="BE31" s="387">
        <f t="shared" si="17"/>
        <v>0</v>
      </c>
      <c r="BF31" s="383">
        <v>0</v>
      </c>
      <c r="BG31" s="387">
        <f t="shared" si="18"/>
        <v>0</v>
      </c>
      <c r="BH31" s="383">
        <v>1</v>
      </c>
      <c r="BI31" s="387">
        <f t="shared" si="19"/>
        <v>100000</v>
      </c>
      <c r="BJ31" s="47">
        <f t="shared" si="34"/>
        <v>1</v>
      </c>
      <c r="BK31" s="85">
        <f t="shared" si="34"/>
        <v>100000</v>
      </c>
      <c r="BL31" s="304" t="s">
        <v>469</v>
      </c>
      <c r="BN31" s="383"/>
      <c r="BO31" s="158">
        <f>G31</f>
        <v>100000</v>
      </c>
      <c r="BP31" s="383"/>
      <c r="BQ31" s="383"/>
      <c r="BR31" s="158">
        <f t="shared" si="29"/>
        <v>100000</v>
      </c>
      <c r="BS31" s="383"/>
      <c r="BT31" s="383"/>
      <c r="BU31" s="383">
        <f t="shared" si="30"/>
        <v>0</v>
      </c>
      <c r="BV31" s="158">
        <f t="shared" si="2"/>
        <v>100000</v>
      </c>
    </row>
    <row r="32" spans="1:74" x14ac:dyDescent="0.25">
      <c r="A32" s="1008"/>
      <c r="B32" s="38">
        <v>43530</v>
      </c>
      <c r="C32" s="38" t="s">
        <v>394</v>
      </c>
      <c r="D32" s="38" t="s">
        <v>17</v>
      </c>
      <c r="E32" s="375">
        <f>2.25*100000</f>
        <v>225000</v>
      </c>
      <c r="F32" s="38">
        <f>BJ32</f>
        <v>0</v>
      </c>
      <c r="G32" s="158">
        <f>E32*F32</f>
        <v>0</v>
      </c>
      <c r="H32" s="158">
        <f>G32*0.2</f>
        <v>0</v>
      </c>
      <c r="I32" s="158">
        <f>G32*0.8</f>
        <v>0</v>
      </c>
      <c r="J32" s="158">
        <f>G32*0</f>
        <v>0</v>
      </c>
      <c r="K32" s="158">
        <f>G32*0</f>
        <v>0</v>
      </c>
      <c r="L32" s="158">
        <f>G32*0</f>
        <v>0</v>
      </c>
      <c r="M32" s="158">
        <f>G32*0</f>
        <v>0</v>
      </c>
      <c r="N32" s="158">
        <f>G32*0</f>
        <v>0</v>
      </c>
      <c r="O32" s="158">
        <f>G32*0</f>
        <v>0</v>
      </c>
      <c r="P32" s="158">
        <f>G32*0</f>
        <v>0</v>
      </c>
      <c r="Q32" s="158">
        <f>G32*0</f>
        <v>0</v>
      </c>
      <c r="R32" s="222">
        <v>0</v>
      </c>
      <c r="S32" s="222">
        <v>0</v>
      </c>
      <c r="T32" s="222">
        <v>0</v>
      </c>
      <c r="U32" s="222">
        <v>0</v>
      </c>
      <c r="V32" s="158">
        <f>R32*E32</f>
        <v>0</v>
      </c>
      <c r="W32" s="158">
        <f>S32*E32</f>
        <v>0</v>
      </c>
      <c r="X32" s="158">
        <f>T32*E32</f>
        <v>0</v>
      </c>
      <c r="Y32" s="158">
        <f>U32*E32</f>
        <v>0</v>
      </c>
      <c r="Z32" s="383">
        <v>0</v>
      </c>
      <c r="AA32" s="387">
        <f>Z32*E32</f>
        <v>0</v>
      </c>
      <c r="AB32" s="383">
        <v>0</v>
      </c>
      <c r="AC32" s="387">
        <f t="shared" si="4"/>
        <v>0</v>
      </c>
      <c r="AD32" s="383">
        <v>0</v>
      </c>
      <c r="AE32" s="387">
        <f t="shared" si="5"/>
        <v>0</v>
      </c>
      <c r="AF32" s="383">
        <v>0</v>
      </c>
      <c r="AG32" s="387">
        <f t="shared" si="6"/>
        <v>0</v>
      </c>
      <c r="AH32" s="383">
        <v>0</v>
      </c>
      <c r="AI32" s="387">
        <f t="shared" si="7"/>
        <v>0</v>
      </c>
      <c r="AJ32" s="383">
        <v>0</v>
      </c>
      <c r="AK32" s="387">
        <f t="shared" si="8"/>
        <v>0</v>
      </c>
      <c r="AL32" s="383">
        <v>0</v>
      </c>
      <c r="AM32" s="387">
        <f t="shared" si="9"/>
        <v>0</v>
      </c>
      <c r="AN32" s="383">
        <v>0</v>
      </c>
      <c r="AO32" s="387">
        <f t="shared" si="10"/>
        <v>0</v>
      </c>
      <c r="AP32" s="383">
        <v>0</v>
      </c>
      <c r="AQ32" s="387">
        <f t="shared" si="11"/>
        <v>0</v>
      </c>
      <c r="AR32" s="383">
        <v>0</v>
      </c>
      <c r="AS32" s="387">
        <f t="shared" si="12"/>
        <v>0</v>
      </c>
      <c r="AT32" s="383">
        <v>0</v>
      </c>
      <c r="AU32" s="387">
        <f t="shared" si="13"/>
        <v>0</v>
      </c>
      <c r="AV32" s="383">
        <v>0</v>
      </c>
      <c r="AW32" s="387">
        <f t="shared" si="14"/>
        <v>0</v>
      </c>
      <c r="AX32" s="383">
        <v>0</v>
      </c>
      <c r="AY32" s="387">
        <f t="shared" si="33"/>
        <v>0</v>
      </c>
      <c r="AZ32" s="383">
        <v>0</v>
      </c>
      <c r="BA32" s="387">
        <f t="shared" si="15"/>
        <v>0</v>
      </c>
      <c r="BB32" s="383">
        <v>0</v>
      </c>
      <c r="BC32" s="387">
        <f t="shared" si="16"/>
        <v>0</v>
      </c>
      <c r="BD32" s="383">
        <v>0</v>
      </c>
      <c r="BE32" s="387">
        <f t="shared" si="17"/>
        <v>0</v>
      </c>
      <c r="BF32" s="383">
        <v>0</v>
      </c>
      <c r="BG32" s="387">
        <f t="shared" si="18"/>
        <v>0</v>
      </c>
      <c r="BH32" s="383">
        <v>0</v>
      </c>
      <c r="BI32" s="387">
        <f t="shared" si="19"/>
        <v>0</v>
      </c>
      <c r="BJ32" s="47">
        <f t="shared" si="34"/>
        <v>0</v>
      </c>
      <c r="BK32" s="85">
        <f t="shared" si="34"/>
        <v>0</v>
      </c>
      <c r="BL32" s="304" t="s">
        <v>469</v>
      </c>
      <c r="BN32" s="383"/>
      <c r="BO32" s="383"/>
      <c r="BP32" s="383"/>
      <c r="BQ32" s="383"/>
      <c r="BR32" s="158">
        <f t="shared" si="29"/>
        <v>0</v>
      </c>
      <c r="BS32" s="383"/>
      <c r="BT32" s="383"/>
      <c r="BU32" s="383">
        <f t="shared" si="30"/>
        <v>0</v>
      </c>
      <c r="BV32" s="158">
        <f t="shared" si="2"/>
        <v>0</v>
      </c>
    </row>
    <row r="33" spans="1:74" s="275" customFormat="1" x14ac:dyDescent="0.25">
      <c r="A33" s="1008"/>
      <c r="B33" s="377"/>
      <c r="C33" s="379" t="s">
        <v>395</v>
      </c>
      <c r="D33" s="379" t="s">
        <v>282</v>
      </c>
      <c r="E33" s="379" t="s">
        <v>282</v>
      </c>
      <c r="F33" s="379">
        <f>SUM(F29:F32)</f>
        <v>19</v>
      </c>
      <c r="G33" s="419">
        <f>SUM(G29:G32)</f>
        <v>710000</v>
      </c>
      <c r="H33" s="419">
        <f t="shared" ref="H33:Q33" si="35">SUM(H29:H32)</f>
        <v>142000</v>
      </c>
      <c r="I33" s="419">
        <f t="shared" si="35"/>
        <v>568000</v>
      </c>
      <c r="J33" s="419">
        <f t="shared" si="35"/>
        <v>0</v>
      </c>
      <c r="K33" s="419">
        <f t="shared" si="35"/>
        <v>0</v>
      </c>
      <c r="L33" s="419">
        <f>SUM(L29:L32)</f>
        <v>0</v>
      </c>
      <c r="M33" s="419">
        <f t="shared" si="35"/>
        <v>0</v>
      </c>
      <c r="N33" s="419">
        <f t="shared" si="35"/>
        <v>0</v>
      </c>
      <c r="O33" s="419">
        <f t="shared" si="35"/>
        <v>0</v>
      </c>
      <c r="P33" s="419">
        <f t="shared" si="35"/>
        <v>0</v>
      </c>
      <c r="Q33" s="419">
        <f t="shared" si="35"/>
        <v>0</v>
      </c>
      <c r="R33" s="420">
        <f t="shared" ref="R33:BK33" si="36">SUM(R29:R32)</f>
        <v>8</v>
      </c>
      <c r="S33" s="420">
        <f t="shared" si="36"/>
        <v>5</v>
      </c>
      <c r="T33" s="420">
        <f t="shared" si="36"/>
        <v>5</v>
      </c>
      <c r="U33" s="420">
        <f t="shared" si="36"/>
        <v>1</v>
      </c>
      <c r="V33" s="419">
        <f t="shared" si="36"/>
        <v>240000</v>
      </c>
      <c r="W33" s="419">
        <f t="shared" si="36"/>
        <v>220000</v>
      </c>
      <c r="X33" s="419">
        <f t="shared" si="36"/>
        <v>220000</v>
      </c>
      <c r="Y33" s="419">
        <f t="shared" si="36"/>
        <v>30000</v>
      </c>
      <c r="Z33" s="379">
        <f t="shared" si="36"/>
        <v>1</v>
      </c>
      <c r="AA33" s="419">
        <f t="shared" si="36"/>
        <v>30000</v>
      </c>
      <c r="AB33" s="379">
        <f t="shared" si="36"/>
        <v>1</v>
      </c>
      <c r="AC33" s="419">
        <f t="shared" si="36"/>
        <v>30000</v>
      </c>
      <c r="AD33" s="379">
        <f t="shared" si="36"/>
        <v>1</v>
      </c>
      <c r="AE33" s="419">
        <f t="shared" si="36"/>
        <v>30000</v>
      </c>
      <c r="AF33" s="379">
        <f t="shared" si="36"/>
        <v>1</v>
      </c>
      <c r="AG33" s="419">
        <f t="shared" si="36"/>
        <v>30000</v>
      </c>
      <c r="AH33" s="379">
        <f t="shared" si="36"/>
        <v>1</v>
      </c>
      <c r="AI33" s="419">
        <f t="shared" si="36"/>
        <v>30000</v>
      </c>
      <c r="AJ33" s="379">
        <f t="shared" si="36"/>
        <v>1</v>
      </c>
      <c r="AK33" s="419">
        <f t="shared" si="36"/>
        <v>30000</v>
      </c>
      <c r="AL33" s="379">
        <f t="shared" si="36"/>
        <v>1</v>
      </c>
      <c r="AM33" s="419">
        <f t="shared" si="36"/>
        <v>30000</v>
      </c>
      <c r="AN33" s="379">
        <f t="shared" si="36"/>
        <v>1</v>
      </c>
      <c r="AO33" s="419">
        <f t="shared" si="36"/>
        <v>30000</v>
      </c>
      <c r="AP33" s="379">
        <f t="shared" si="36"/>
        <v>1</v>
      </c>
      <c r="AQ33" s="419">
        <f t="shared" si="36"/>
        <v>30000</v>
      </c>
      <c r="AR33" s="379">
        <f t="shared" si="36"/>
        <v>1</v>
      </c>
      <c r="AS33" s="419">
        <f t="shared" si="36"/>
        <v>30000</v>
      </c>
      <c r="AT33" s="379">
        <f t="shared" si="36"/>
        <v>1</v>
      </c>
      <c r="AU33" s="419">
        <f t="shared" si="36"/>
        <v>30000</v>
      </c>
      <c r="AV33" s="379">
        <f t="shared" si="36"/>
        <v>1</v>
      </c>
      <c r="AW33" s="419">
        <f t="shared" si="36"/>
        <v>30000</v>
      </c>
      <c r="AX33" s="379">
        <f t="shared" si="36"/>
        <v>1</v>
      </c>
      <c r="AY33" s="419">
        <f t="shared" si="36"/>
        <v>30000</v>
      </c>
      <c r="AZ33" s="379">
        <f t="shared" si="36"/>
        <v>1</v>
      </c>
      <c r="BA33" s="419">
        <f t="shared" si="36"/>
        <v>30000</v>
      </c>
      <c r="BB33" s="379">
        <f t="shared" si="36"/>
        <v>1</v>
      </c>
      <c r="BC33" s="419">
        <f t="shared" si="36"/>
        <v>30000</v>
      </c>
      <c r="BD33" s="379">
        <f t="shared" si="36"/>
        <v>1</v>
      </c>
      <c r="BE33" s="419">
        <f t="shared" si="36"/>
        <v>30000</v>
      </c>
      <c r="BF33" s="379">
        <f t="shared" si="36"/>
        <v>1</v>
      </c>
      <c r="BG33" s="419">
        <f t="shared" si="36"/>
        <v>30000</v>
      </c>
      <c r="BH33" s="379">
        <f t="shared" si="36"/>
        <v>2</v>
      </c>
      <c r="BI33" s="419">
        <f t="shared" si="36"/>
        <v>200000</v>
      </c>
      <c r="BJ33" s="379">
        <f t="shared" si="36"/>
        <v>19</v>
      </c>
      <c r="BK33" s="419">
        <f t="shared" si="36"/>
        <v>710000</v>
      </c>
      <c r="BL33" s="421"/>
      <c r="BN33" s="419">
        <f t="shared" ref="BN33:BU33" si="37">SUM(BN29:BN32)</f>
        <v>0</v>
      </c>
      <c r="BO33" s="419">
        <f t="shared" si="37"/>
        <v>710000</v>
      </c>
      <c r="BP33" s="419">
        <f t="shared" si="37"/>
        <v>0</v>
      </c>
      <c r="BQ33" s="419">
        <f t="shared" si="37"/>
        <v>0</v>
      </c>
      <c r="BR33" s="419">
        <f t="shared" si="37"/>
        <v>710000</v>
      </c>
      <c r="BS33" s="419">
        <f t="shared" si="37"/>
        <v>0</v>
      </c>
      <c r="BT33" s="419">
        <f t="shared" si="37"/>
        <v>0</v>
      </c>
      <c r="BU33" s="419">
        <f t="shared" si="37"/>
        <v>0</v>
      </c>
      <c r="BV33" s="419">
        <f t="shared" si="2"/>
        <v>710000</v>
      </c>
    </row>
    <row r="34" spans="1:74" x14ac:dyDescent="0.25">
      <c r="A34" s="1008"/>
      <c r="B34" s="38">
        <v>41330</v>
      </c>
      <c r="C34" s="38" t="s">
        <v>287</v>
      </c>
      <c r="D34" s="38"/>
      <c r="E34" s="375"/>
      <c r="F34" s="38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52"/>
      <c r="R34" s="428"/>
      <c r="S34" s="428"/>
      <c r="T34" s="428"/>
      <c r="U34" s="428"/>
      <c r="V34" s="158"/>
      <c r="W34" s="158"/>
      <c r="X34" s="158"/>
      <c r="Y34" s="158"/>
      <c r="Z34" s="383"/>
      <c r="AA34" s="383"/>
      <c r="AB34" s="383"/>
      <c r="AC34" s="387">
        <f t="shared" si="4"/>
        <v>0</v>
      </c>
      <c r="AD34" s="383"/>
      <c r="AE34" s="387">
        <f t="shared" si="5"/>
        <v>0</v>
      </c>
      <c r="AF34" s="383"/>
      <c r="AG34" s="387">
        <f t="shared" si="6"/>
        <v>0</v>
      </c>
      <c r="AH34" s="383"/>
      <c r="AI34" s="387">
        <f t="shared" si="7"/>
        <v>0</v>
      </c>
      <c r="AJ34" s="383"/>
      <c r="AK34" s="387">
        <f t="shared" si="8"/>
        <v>0</v>
      </c>
      <c r="AL34" s="383"/>
      <c r="AM34" s="387">
        <f t="shared" si="9"/>
        <v>0</v>
      </c>
      <c r="AN34" s="383"/>
      <c r="AO34" s="387">
        <f t="shared" si="10"/>
        <v>0</v>
      </c>
      <c r="AP34" s="383"/>
      <c r="AQ34" s="387">
        <f t="shared" si="11"/>
        <v>0</v>
      </c>
      <c r="AR34" s="383"/>
      <c r="AS34" s="387">
        <f t="shared" si="12"/>
        <v>0</v>
      </c>
      <c r="AT34" s="383"/>
      <c r="AU34" s="387">
        <f t="shared" si="13"/>
        <v>0</v>
      </c>
      <c r="AV34" s="383"/>
      <c r="AW34" s="387">
        <f t="shared" si="14"/>
        <v>0</v>
      </c>
      <c r="AX34" s="383"/>
      <c r="AY34" s="387">
        <f t="shared" si="33"/>
        <v>0</v>
      </c>
      <c r="AZ34" s="383"/>
      <c r="BA34" s="387">
        <f t="shared" si="15"/>
        <v>0</v>
      </c>
      <c r="BB34" s="383"/>
      <c r="BC34" s="387">
        <f t="shared" si="16"/>
        <v>0</v>
      </c>
      <c r="BD34" s="383"/>
      <c r="BE34" s="387">
        <f t="shared" si="17"/>
        <v>0</v>
      </c>
      <c r="BF34" s="383"/>
      <c r="BG34" s="387">
        <f t="shared" si="18"/>
        <v>0</v>
      </c>
      <c r="BH34" s="383"/>
      <c r="BI34" s="387">
        <f t="shared" si="19"/>
        <v>0</v>
      </c>
      <c r="BJ34" s="383"/>
      <c r="BK34" s="383"/>
      <c r="BL34" s="383"/>
      <c r="BN34" s="383"/>
      <c r="BO34" s="383"/>
      <c r="BP34" s="383"/>
      <c r="BQ34" s="383"/>
      <c r="BR34" s="383"/>
      <c r="BS34" s="383"/>
      <c r="BT34" s="383"/>
      <c r="BU34" s="383">
        <f>BS34+BT34</f>
        <v>0</v>
      </c>
      <c r="BV34" s="158">
        <f t="shared" si="2"/>
        <v>0</v>
      </c>
    </row>
    <row r="35" spans="1:74" x14ac:dyDescent="0.25">
      <c r="A35" s="1008"/>
      <c r="B35" s="38"/>
      <c r="C35" s="38" t="s">
        <v>396</v>
      </c>
      <c r="D35" s="38" t="s">
        <v>17</v>
      </c>
      <c r="E35" s="375">
        <f>1.2*100000</f>
        <v>120000</v>
      </c>
      <c r="F35" s="38">
        <f t="shared" ref="F35:F40" si="38">BJ35</f>
        <v>1</v>
      </c>
      <c r="G35" s="158">
        <f>E35*F35</f>
        <v>120000</v>
      </c>
      <c r="H35" s="158">
        <f>G35*0.2</f>
        <v>24000</v>
      </c>
      <c r="I35" s="158">
        <f>G35*0.8</f>
        <v>96000</v>
      </c>
      <c r="J35" s="158">
        <f>G35*0</f>
        <v>0</v>
      </c>
      <c r="K35" s="158">
        <f>G35*0</f>
        <v>0</v>
      </c>
      <c r="L35" s="158">
        <f>G35*0</f>
        <v>0</v>
      </c>
      <c r="M35" s="158">
        <f>G35*0</f>
        <v>0</v>
      </c>
      <c r="N35" s="158">
        <f>G35*0</f>
        <v>0</v>
      </c>
      <c r="O35" s="158">
        <f>G35*0</f>
        <v>0</v>
      </c>
      <c r="P35" s="158">
        <f>G35*0</f>
        <v>0</v>
      </c>
      <c r="Q35" s="158">
        <f>G35*0</f>
        <v>0</v>
      </c>
      <c r="R35" s="428">
        <v>1</v>
      </c>
      <c r="S35" s="428">
        <v>0</v>
      </c>
      <c r="T35" s="428">
        <v>0</v>
      </c>
      <c r="U35" s="428">
        <v>0</v>
      </c>
      <c r="V35" s="158">
        <f>R35*E35</f>
        <v>120000</v>
      </c>
      <c r="W35" s="158">
        <f>S35*E35</f>
        <v>0</v>
      </c>
      <c r="X35" s="158">
        <f>T35*E35</f>
        <v>0</v>
      </c>
      <c r="Y35" s="158">
        <f>U35*E35</f>
        <v>0</v>
      </c>
      <c r="Z35" s="383">
        <v>0</v>
      </c>
      <c r="AA35" s="387">
        <f t="shared" ref="AA35:AA40" si="39">Z35*E35</f>
        <v>0</v>
      </c>
      <c r="AB35" s="383">
        <v>0</v>
      </c>
      <c r="AC35" s="387">
        <f t="shared" si="4"/>
        <v>0</v>
      </c>
      <c r="AD35" s="383">
        <v>0</v>
      </c>
      <c r="AE35" s="387">
        <f t="shared" si="5"/>
        <v>0</v>
      </c>
      <c r="AF35" s="383">
        <v>0</v>
      </c>
      <c r="AG35" s="387">
        <f t="shared" si="6"/>
        <v>0</v>
      </c>
      <c r="AH35" s="383">
        <v>0</v>
      </c>
      <c r="AI35" s="387">
        <f t="shared" si="7"/>
        <v>0</v>
      </c>
      <c r="AJ35" s="383">
        <v>0</v>
      </c>
      <c r="AK35" s="387">
        <f t="shared" si="8"/>
        <v>0</v>
      </c>
      <c r="AL35" s="383">
        <v>0</v>
      </c>
      <c r="AM35" s="387">
        <f t="shared" si="9"/>
        <v>0</v>
      </c>
      <c r="AN35" s="383">
        <v>0</v>
      </c>
      <c r="AO35" s="387">
        <f t="shared" si="10"/>
        <v>0</v>
      </c>
      <c r="AP35" s="383">
        <v>0</v>
      </c>
      <c r="AQ35" s="387">
        <f t="shared" si="11"/>
        <v>0</v>
      </c>
      <c r="AR35" s="383">
        <v>0</v>
      </c>
      <c r="AS35" s="387">
        <f t="shared" si="12"/>
        <v>0</v>
      </c>
      <c r="AT35" s="383">
        <v>0</v>
      </c>
      <c r="AU35" s="387">
        <f t="shared" si="13"/>
        <v>0</v>
      </c>
      <c r="AV35" s="383">
        <v>0</v>
      </c>
      <c r="AW35" s="387">
        <f t="shared" si="14"/>
        <v>0</v>
      </c>
      <c r="AX35" s="383">
        <v>0</v>
      </c>
      <c r="AY35" s="387">
        <f t="shared" si="33"/>
        <v>0</v>
      </c>
      <c r="AZ35" s="383">
        <v>0</v>
      </c>
      <c r="BA35" s="387">
        <f t="shared" si="15"/>
        <v>0</v>
      </c>
      <c r="BB35" s="383">
        <v>0</v>
      </c>
      <c r="BC35" s="387">
        <f t="shared" si="16"/>
        <v>0</v>
      </c>
      <c r="BD35" s="383">
        <v>0</v>
      </c>
      <c r="BE35" s="387">
        <f t="shared" si="17"/>
        <v>0</v>
      </c>
      <c r="BF35" s="383">
        <v>0</v>
      </c>
      <c r="BG35" s="387">
        <f t="shared" si="18"/>
        <v>0</v>
      </c>
      <c r="BH35" s="383">
        <v>1</v>
      </c>
      <c r="BI35" s="387">
        <f t="shared" si="19"/>
        <v>120000</v>
      </c>
      <c r="BJ35" s="47">
        <f t="shared" ref="BJ35:BK38" si="40">Z35+AB35+AD35+AF35+AH35+AJ35+AL35+AN35+AP35+AR35+AT35+AV35+AX35+AZ35+BB35+BD35+BF35+BH35</f>
        <v>1</v>
      </c>
      <c r="BK35" s="85">
        <f t="shared" si="40"/>
        <v>120000</v>
      </c>
      <c r="BL35" s="304" t="s">
        <v>469</v>
      </c>
      <c r="BN35" s="383"/>
      <c r="BO35" s="383"/>
      <c r="BP35" s="158">
        <f>G35</f>
        <v>120000</v>
      </c>
      <c r="BQ35" s="383"/>
      <c r="BR35" s="158">
        <f t="shared" ref="BR35:BR40" si="41">BN35+BO35+BP35+BQ35</f>
        <v>120000</v>
      </c>
      <c r="BS35" s="383"/>
      <c r="BT35" s="383"/>
      <c r="BU35" s="383">
        <f>BS35+BT35</f>
        <v>0</v>
      </c>
      <c r="BV35" s="158">
        <f t="shared" si="2"/>
        <v>120000</v>
      </c>
    </row>
    <row r="36" spans="1:74" s="99" customFormat="1" ht="28.5" customHeight="1" x14ac:dyDescent="0.25">
      <c r="A36" s="1008"/>
      <c r="B36" s="171"/>
      <c r="C36" s="719" t="s">
        <v>886</v>
      </c>
      <c r="D36" s="171" t="s">
        <v>17</v>
      </c>
      <c r="E36" s="180">
        <v>5000000</v>
      </c>
      <c r="F36" s="38">
        <f t="shared" si="38"/>
        <v>1</v>
      </c>
      <c r="G36" s="176">
        <f>E36*F36</f>
        <v>5000000</v>
      </c>
      <c r="H36" s="176">
        <f>G36*0.2</f>
        <v>1000000</v>
      </c>
      <c r="I36" s="176">
        <f>G36*0.8</f>
        <v>4000000</v>
      </c>
      <c r="J36" s="176">
        <f>G36*0</f>
        <v>0</v>
      </c>
      <c r="K36" s="176">
        <f>G36*0</f>
        <v>0</v>
      </c>
      <c r="L36" s="176">
        <f>G36*0</f>
        <v>0</v>
      </c>
      <c r="M36" s="176">
        <f>G36*0</f>
        <v>0</v>
      </c>
      <c r="N36" s="176">
        <f>G36*0</f>
        <v>0</v>
      </c>
      <c r="O36" s="176">
        <f>G36*0</f>
        <v>0</v>
      </c>
      <c r="P36" s="176">
        <f>G36*0</f>
        <v>0</v>
      </c>
      <c r="Q36" s="176">
        <f>G36*0</f>
        <v>0</v>
      </c>
      <c r="R36" s="430">
        <v>1</v>
      </c>
      <c r="S36" s="430">
        <v>0</v>
      </c>
      <c r="T36" s="430">
        <v>0</v>
      </c>
      <c r="U36" s="430">
        <v>0</v>
      </c>
      <c r="V36" s="158">
        <f>R36*E36</f>
        <v>5000000</v>
      </c>
      <c r="W36" s="158">
        <f>S36*E36</f>
        <v>0</v>
      </c>
      <c r="X36" s="158">
        <f>T36*E36</f>
        <v>0</v>
      </c>
      <c r="Y36" s="158">
        <f>U36*E36</f>
        <v>0</v>
      </c>
      <c r="Z36" s="425">
        <v>0</v>
      </c>
      <c r="AA36" s="387">
        <f t="shared" si="39"/>
        <v>0</v>
      </c>
      <c r="AB36" s="425">
        <v>0</v>
      </c>
      <c r="AC36" s="387">
        <f t="shared" si="4"/>
        <v>0</v>
      </c>
      <c r="AD36" s="425">
        <v>0</v>
      </c>
      <c r="AE36" s="387">
        <f t="shared" si="5"/>
        <v>0</v>
      </c>
      <c r="AF36" s="425">
        <v>0</v>
      </c>
      <c r="AG36" s="387">
        <f t="shared" si="6"/>
        <v>0</v>
      </c>
      <c r="AH36" s="425">
        <v>0</v>
      </c>
      <c r="AI36" s="387">
        <f t="shared" si="7"/>
        <v>0</v>
      </c>
      <c r="AJ36" s="425">
        <v>0</v>
      </c>
      <c r="AK36" s="387">
        <f t="shared" si="8"/>
        <v>0</v>
      </c>
      <c r="AL36" s="425">
        <v>0</v>
      </c>
      <c r="AM36" s="387">
        <f t="shared" si="9"/>
        <v>0</v>
      </c>
      <c r="AN36" s="425">
        <v>0</v>
      </c>
      <c r="AO36" s="387">
        <f t="shared" si="10"/>
        <v>0</v>
      </c>
      <c r="AP36" s="425">
        <v>0</v>
      </c>
      <c r="AQ36" s="387">
        <f t="shared" si="11"/>
        <v>0</v>
      </c>
      <c r="AR36" s="425">
        <v>0</v>
      </c>
      <c r="AS36" s="387">
        <f t="shared" si="12"/>
        <v>0</v>
      </c>
      <c r="AT36" s="425">
        <v>0</v>
      </c>
      <c r="AU36" s="387">
        <f t="shared" si="13"/>
        <v>0</v>
      </c>
      <c r="AV36" s="425">
        <v>0</v>
      </c>
      <c r="AW36" s="387">
        <f t="shared" si="14"/>
        <v>0</v>
      </c>
      <c r="AX36" s="425">
        <v>0</v>
      </c>
      <c r="AY36" s="387">
        <f t="shared" si="33"/>
        <v>0</v>
      </c>
      <c r="AZ36" s="425">
        <v>0</v>
      </c>
      <c r="BA36" s="387">
        <f t="shared" si="15"/>
        <v>0</v>
      </c>
      <c r="BB36" s="425">
        <v>0</v>
      </c>
      <c r="BC36" s="387">
        <f t="shared" si="16"/>
        <v>0</v>
      </c>
      <c r="BD36" s="425">
        <v>0</v>
      </c>
      <c r="BE36" s="387">
        <f t="shared" si="17"/>
        <v>0</v>
      </c>
      <c r="BF36" s="425">
        <v>0</v>
      </c>
      <c r="BG36" s="387">
        <f t="shared" si="18"/>
        <v>0</v>
      </c>
      <c r="BH36" s="425">
        <v>1</v>
      </c>
      <c r="BI36" s="387">
        <f t="shared" si="19"/>
        <v>5000000</v>
      </c>
      <c r="BJ36" s="136">
        <f t="shared" si="40"/>
        <v>1</v>
      </c>
      <c r="BK36" s="134">
        <f t="shared" si="40"/>
        <v>5000000</v>
      </c>
      <c r="BL36" s="305" t="s">
        <v>469</v>
      </c>
      <c r="BN36" s="425"/>
      <c r="BO36" s="425"/>
      <c r="BP36" s="176">
        <f>G36</f>
        <v>5000000</v>
      </c>
      <c r="BQ36" s="425"/>
      <c r="BR36" s="176">
        <f t="shared" si="41"/>
        <v>5000000</v>
      </c>
      <c r="BS36" s="425"/>
      <c r="BT36" s="425"/>
      <c r="BU36" s="425">
        <f>BS36+BT36</f>
        <v>0</v>
      </c>
      <c r="BV36" s="176">
        <f t="shared" si="2"/>
        <v>5000000</v>
      </c>
    </row>
    <row r="37" spans="1:74" s="99" customFormat="1" x14ac:dyDescent="0.25">
      <c r="A37" s="1008"/>
      <c r="B37" s="171"/>
      <c r="C37" s="171" t="s">
        <v>397</v>
      </c>
      <c r="D37" s="171" t="s">
        <v>73</v>
      </c>
      <c r="E37" s="180">
        <f>1.25*100000</f>
        <v>125000</v>
      </c>
      <c r="F37" s="38">
        <f t="shared" si="38"/>
        <v>0</v>
      </c>
      <c r="G37" s="176">
        <f>E37*F37</f>
        <v>0</v>
      </c>
      <c r="H37" s="176">
        <f>G37*0.2</f>
        <v>0</v>
      </c>
      <c r="I37" s="176">
        <f>G37*0.8</f>
        <v>0</v>
      </c>
      <c r="J37" s="176">
        <f>G37*0</f>
        <v>0</v>
      </c>
      <c r="K37" s="176">
        <f>G37*0</f>
        <v>0</v>
      </c>
      <c r="L37" s="176">
        <f>G37*0</f>
        <v>0</v>
      </c>
      <c r="M37" s="176">
        <f>G37*0</f>
        <v>0</v>
      </c>
      <c r="N37" s="176">
        <f>G37*0</f>
        <v>0</v>
      </c>
      <c r="O37" s="176">
        <f>G37*0</f>
        <v>0</v>
      </c>
      <c r="P37" s="176">
        <f>G37*0</f>
        <v>0</v>
      </c>
      <c r="Q37" s="176">
        <f>G37*0</f>
        <v>0</v>
      </c>
      <c r="R37" s="430">
        <v>0</v>
      </c>
      <c r="S37" s="430">
        <v>0</v>
      </c>
      <c r="T37" s="430">
        <v>0</v>
      </c>
      <c r="U37" s="430">
        <v>0</v>
      </c>
      <c r="V37" s="158">
        <f>R37*E37</f>
        <v>0</v>
      </c>
      <c r="W37" s="158">
        <f>S37*E37</f>
        <v>0</v>
      </c>
      <c r="X37" s="158">
        <f>T37*E37</f>
        <v>0</v>
      </c>
      <c r="Y37" s="158">
        <f>U37*E37</f>
        <v>0</v>
      </c>
      <c r="Z37" s="425">
        <v>0</v>
      </c>
      <c r="AA37" s="387">
        <f t="shared" si="39"/>
        <v>0</v>
      </c>
      <c r="AB37" s="425">
        <v>0</v>
      </c>
      <c r="AC37" s="387">
        <f t="shared" si="4"/>
        <v>0</v>
      </c>
      <c r="AD37" s="425">
        <v>0</v>
      </c>
      <c r="AE37" s="387">
        <f t="shared" si="5"/>
        <v>0</v>
      </c>
      <c r="AF37" s="425">
        <v>0</v>
      </c>
      <c r="AG37" s="387">
        <f t="shared" si="6"/>
        <v>0</v>
      </c>
      <c r="AH37" s="425">
        <v>0</v>
      </c>
      <c r="AI37" s="387">
        <f t="shared" si="7"/>
        <v>0</v>
      </c>
      <c r="AJ37" s="425">
        <v>0</v>
      </c>
      <c r="AK37" s="387">
        <f t="shared" si="8"/>
        <v>0</v>
      </c>
      <c r="AL37" s="425">
        <v>0</v>
      </c>
      <c r="AM37" s="387">
        <f t="shared" si="9"/>
        <v>0</v>
      </c>
      <c r="AN37" s="425">
        <v>0</v>
      </c>
      <c r="AO37" s="387">
        <f t="shared" si="10"/>
        <v>0</v>
      </c>
      <c r="AP37" s="425">
        <v>0</v>
      </c>
      <c r="AQ37" s="387">
        <f t="shared" si="11"/>
        <v>0</v>
      </c>
      <c r="AR37" s="425">
        <v>0</v>
      </c>
      <c r="AS37" s="387">
        <f t="shared" si="12"/>
        <v>0</v>
      </c>
      <c r="AT37" s="425">
        <v>0</v>
      </c>
      <c r="AU37" s="387">
        <f t="shared" si="13"/>
        <v>0</v>
      </c>
      <c r="AV37" s="425">
        <v>0</v>
      </c>
      <c r="AW37" s="387">
        <f t="shared" si="14"/>
        <v>0</v>
      </c>
      <c r="AX37" s="425">
        <v>0</v>
      </c>
      <c r="AY37" s="387">
        <f t="shared" si="33"/>
        <v>0</v>
      </c>
      <c r="AZ37" s="425">
        <v>0</v>
      </c>
      <c r="BA37" s="387">
        <f t="shared" si="15"/>
        <v>0</v>
      </c>
      <c r="BB37" s="425">
        <v>0</v>
      </c>
      <c r="BC37" s="387">
        <f t="shared" si="16"/>
        <v>0</v>
      </c>
      <c r="BD37" s="425">
        <v>0</v>
      </c>
      <c r="BE37" s="387">
        <f t="shared" si="17"/>
        <v>0</v>
      </c>
      <c r="BF37" s="425">
        <v>0</v>
      </c>
      <c r="BG37" s="387">
        <f t="shared" si="18"/>
        <v>0</v>
      </c>
      <c r="BH37" s="425">
        <v>0</v>
      </c>
      <c r="BI37" s="387">
        <f t="shared" si="19"/>
        <v>0</v>
      </c>
      <c r="BJ37" s="136">
        <f t="shared" si="40"/>
        <v>0</v>
      </c>
      <c r="BK37" s="134">
        <f t="shared" si="40"/>
        <v>0</v>
      </c>
      <c r="BL37" s="305" t="s">
        <v>469</v>
      </c>
      <c r="BN37" s="425"/>
      <c r="BO37" s="425"/>
      <c r="BP37" s="176">
        <f>G37</f>
        <v>0</v>
      </c>
      <c r="BQ37" s="425"/>
      <c r="BR37" s="176">
        <f t="shared" si="41"/>
        <v>0</v>
      </c>
      <c r="BS37" s="425"/>
      <c r="BT37" s="425"/>
      <c r="BU37" s="425">
        <f>BS37+BT37</f>
        <v>0</v>
      </c>
      <c r="BV37" s="176">
        <f t="shared" si="2"/>
        <v>0</v>
      </c>
    </row>
    <row r="38" spans="1:74" ht="31.5" x14ac:dyDescent="0.25">
      <c r="A38" s="1008"/>
      <c r="B38" s="38"/>
      <c r="C38" s="38" t="s">
        <v>398</v>
      </c>
      <c r="D38" s="38" t="s">
        <v>17</v>
      </c>
      <c r="E38" s="375">
        <f>2*100000</f>
        <v>200000</v>
      </c>
      <c r="F38" s="38">
        <f t="shared" si="38"/>
        <v>0</v>
      </c>
      <c r="G38" s="158">
        <f>E38*F38</f>
        <v>0</v>
      </c>
      <c r="H38" s="158">
        <f>G38*0.2</f>
        <v>0</v>
      </c>
      <c r="I38" s="158">
        <f>G38*0.8</f>
        <v>0</v>
      </c>
      <c r="J38" s="158">
        <f>G38*0</f>
        <v>0</v>
      </c>
      <c r="K38" s="158">
        <f>G38*0</f>
        <v>0</v>
      </c>
      <c r="L38" s="158">
        <f>G38*0</f>
        <v>0</v>
      </c>
      <c r="M38" s="158">
        <f>G38*0</f>
        <v>0</v>
      </c>
      <c r="N38" s="158">
        <f>G38*0</f>
        <v>0</v>
      </c>
      <c r="O38" s="158">
        <f>G38*0</f>
        <v>0</v>
      </c>
      <c r="P38" s="158">
        <f>G38*0</f>
        <v>0</v>
      </c>
      <c r="Q38" s="158">
        <f>G38*0</f>
        <v>0</v>
      </c>
      <c r="R38" s="428">
        <v>0</v>
      </c>
      <c r="S38" s="428">
        <v>0</v>
      </c>
      <c r="T38" s="428">
        <v>0</v>
      </c>
      <c r="U38" s="428">
        <v>0</v>
      </c>
      <c r="V38" s="158">
        <f>R38*E38</f>
        <v>0</v>
      </c>
      <c r="W38" s="158">
        <f>S38*E38</f>
        <v>0</v>
      </c>
      <c r="X38" s="158">
        <f>T38*E38</f>
        <v>0</v>
      </c>
      <c r="Y38" s="158">
        <f>U38*E38</f>
        <v>0</v>
      </c>
      <c r="Z38" s="383">
        <v>0</v>
      </c>
      <c r="AA38" s="387">
        <f t="shared" si="39"/>
        <v>0</v>
      </c>
      <c r="AB38" s="383">
        <v>0</v>
      </c>
      <c r="AC38" s="387">
        <f t="shared" si="4"/>
        <v>0</v>
      </c>
      <c r="AD38" s="383">
        <v>0</v>
      </c>
      <c r="AE38" s="387">
        <f t="shared" si="5"/>
        <v>0</v>
      </c>
      <c r="AF38" s="383">
        <v>0</v>
      </c>
      <c r="AG38" s="387">
        <f t="shared" si="6"/>
        <v>0</v>
      </c>
      <c r="AH38" s="383">
        <v>0</v>
      </c>
      <c r="AI38" s="387">
        <f t="shared" si="7"/>
        <v>0</v>
      </c>
      <c r="AJ38" s="383">
        <v>0</v>
      </c>
      <c r="AK38" s="387">
        <f t="shared" si="8"/>
        <v>0</v>
      </c>
      <c r="AL38" s="383">
        <v>0</v>
      </c>
      <c r="AM38" s="387">
        <f t="shared" si="9"/>
        <v>0</v>
      </c>
      <c r="AN38" s="383">
        <v>0</v>
      </c>
      <c r="AO38" s="387">
        <f t="shared" si="10"/>
        <v>0</v>
      </c>
      <c r="AP38" s="383">
        <v>0</v>
      </c>
      <c r="AQ38" s="387">
        <f t="shared" si="11"/>
        <v>0</v>
      </c>
      <c r="AR38" s="383">
        <v>0</v>
      </c>
      <c r="AS38" s="387">
        <f t="shared" si="12"/>
        <v>0</v>
      </c>
      <c r="AT38" s="383">
        <v>0</v>
      </c>
      <c r="AU38" s="387">
        <f t="shared" si="13"/>
        <v>0</v>
      </c>
      <c r="AV38" s="383">
        <v>0</v>
      </c>
      <c r="AW38" s="387">
        <f t="shared" si="14"/>
        <v>0</v>
      </c>
      <c r="AX38" s="383">
        <v>0</v>
      </c>
      <c r="AY38" s="387">
        <f t="shared" si="33"/>
        <v>0</v>
      </c>
      <c r="AZ38" s="383">
        <v>0</v>
      </c>
      <c r="BA38" s="387">
        <f t="shared" si="15"/>
        <v>0</v>
      </c>
      <c r="BB38" s="383">
        <v>0</v>
      </c>
      <c r="BC38" s="387">
        <f t="shared" si="16"/>
        <v>0</v>
      </c>
      <c r="BD38" s="383">
        <v>0</v>
      </c>
      <c r="BE38" s="387">
        <f t="shared" si="17"/>
        <v>0</v>
      </c>
      <c r="BF38" s="383">
        <v>0</v>
      </c>
      <c r="BG38" s="387">
        <f t="shared" si="18"/>
        <v>0</v>
      </c>
      <c r="BH38" s="383">
        <v>0</v>
      </c>
      <c r="BI38" s="387">
        <f t="shared" si="19"/>
        <v>0</v>
      </c>
      <c r="BJ38" s="47">
        <f t="shared" si="40"/>
        <v>0</v>
      </c>
      <c r="BK38" s="85">
        <f t="shared" si="40"/>
        <v>0</v>
      </c>
      <c r="BL38" s="304" t="s">
        <v>469</v>
      </c>
      <c r="BN38" s="383"/>
      <c r="BO38" s="383"/>
      <c r="BP38" s="383"/>
      <c r="BQ38" s="383"/>
      <c r="BR38" s="158">
        <f t="shared" si="41"/>
        <v>0</v>
      </c>
      <c r="BS38" s="383"/>
      <c r="BT38" s="383"/>
      <c r="BU38" s="383">
        <f>BS38+BT38</f>
        <v>0</v>
      </c>
      <c r="BV38" s="158">
        <f t="shared" si="2"/>
        <v>0</v>
      </c>
    </row>
    <row r="39" spans="1:74" s="275" customFormat="1" x14ac:dyDescent="0.25">
      <c r="A39" s="1008"/>
      <c r="B39" s="377"/>
      <c r="C39" s="379" t="s">
        <v>290</v>
      </c>
      <c r="D39" s="379" t="s">
        <v>282</v>
      </c>
      <c r="E39" s="379" t="s">
        <v>282</v>
      </c>
      <c r="F39" s="379">
        <f>SUM(F35:F38)</f>
        <v>2</v>
      </c>
      <c r="G39" s="419">
        <f>SUM(G35:G38)</f>
        <v>5120000</v>
      </c>
      <c r="H39" s="419">
        <f t="shared" ref="H39:Q39" si="42">SUM(H35:H38)</f>
        <v>1024000</v>
      </c>
      <c r="I39" s="419">
        <f t="shared" si="42"/>
        <v>4096000</v>
      </c>
      <c r="J39" s="419">
        <f t="shared" si="42"/>
        <v>0</v>
      </c>
      <c r="K39" s="419">
        <f t="shared" si="42"/>
        <v>0</v>
      </c>
      <c r="L39" s="419">
        <f t="shared" si="42"/>
        <v>0</v>
      </c>
      <c r="M39" s="419">
        <f t="shared" si="42"/>
        <v>0</v>
      </c>
      <c r="N39" s="419">
        <f t="shared" si="42"/>
        <v>0</v>
      </c>
      <c r="O39" s="419">
        <f t="shared" si="42"/>
        <v>0</v>
      </c>
      <c r="P39" s="419">
        <f t="shared" si="42"/>
        <v>0</v>
      </c>
      <c r="Q39" s="419">
        <f t="shared" si="42"/>
        <v>0</v>
      </c>
      <c r="R39" s="420">
        <f t="shared" ref="R39:BK39" si="43">SUM(R35:R38)</f>
        <v>2</v>
      </c>
      <c r="S39" s="420">
        <f t="shared" si="43"/>
        <v>0</v>
      </c>
      <c r="T39" s="420">
        <f t="shared" si="43"/>
        <v>0</v>
      </c>
      <c r="U39" s="420">
        <f t="shared" si="43"/>
        <v>0</v>
      </c>
      <c r="V39" s="419">
        <f t="shared" si="43"/>
        <v>5120000</v>
      </c>
      <c r="W39" s="419">
        <f t="shared" si="43"/>
        <v>0</v>
      </c>
      <c r="X39" s="419">
        <f t="shared" si="43"/>
        <v>0</v>
      </c>
      <c r="Y39" s="419">
        <f t="shared" si="43"/>
        <v>0</v>
      </c>
      <c r="Z39" s="379">
        <f t="shared" si="43"/>
        <v>0</v>
      </c>
      <c r="AA39" s="419">
        <f t="shared" si="43"/>
        <v>0</v>
      </c>
      <c r="AB39" s="379">
        <f t="shared" si="43"/>
        <v>0</v>
      </c>
      <c r="AC39" s="419">
        <f t="shared" si="43"/>
        <v>0</v>
      </c>
      <c r="AD39" s="379">
        <f t="shared" si="43"/>
        <v>0</v>
      </c>
      <c r="AE39" s="419">
        <f t="shared" si="43"/>
        <v>0</v>
      </c>
      <c r="AF39" s="379">
        <f t="shared" si="43"/>
        <v>0</v>
      </c>
      <c r="AG39" s="419">
        <f t="shared" si="43"/>
        <v>0</v>
      </c>
      <c r="AH39" s="379">
        <f t="shared" si="43"/>
        <v>0</v>
      </c>
      <c r="AI39" s="419">
        <f t="shared" si="43"/>
        <v>0</v>
      </c>
      <c r="AJ39" s="379">
        <f t="shared" si="43"/>
        <v>0</v>
      </c>
      <c r="AK39" s="419">
        <f t="shared" si="43"/>
        <v>0</v>
      </c>
      <c r="AL39" s="379">
        <f t="shared" si="43"/>
        <v>0</v>
      </c>
      <c r="AM39" s="419">
        <f t="shared" si="43"/>
        <v>0</v>
      </c>
      <c r="AN39" s="379">
        <f t="shared" si="43"/>
        <v>0</v>
      </c>
      <c r="AO39" s="419">
        <f t="shared" si="43"/>
        <v>0</v>
      </c>
      <c r="AP39" s="379">
        <f t="shared" si="43"/>
        <v>0</v>
      </c>
      <c r="AQ39" s="419">
        <f t="shared" si="43"/>
        <v>0</v>
      </c>
      <c r="AR39" s="379">
        <f t="shared" si="43"/>
        <v>0</v>
      </c>
      <c r="AS39" s="419">
        <f t="shared" si="43"/>
        <v>0</v>
      </c>
      <c r="AT39" s="379">
        <f t="shared" si="43"/>
        <v>0</v>
      </c>
      <c r="AU39" s="419">
        <f t="shared" si="43"/>
        <v>0</v>
      </c>
      <c r="AV39" s="379">
        <f t="shared" si="43"/>
        <v>0</v>
      </c>
      <c r="AW39" s="419">
        <f t="shared" si="43"/>
        <v>0</v>
      </c>
      <c r="AX39" s="379">
        <f t="shared" si="43"/>
        <v>0</v>
      </c>
      <c r="AY39" s="419">
        <f t="shared" si="43"/>
        <v>0</v>
      </c>
      <c r="AZ39" s="379">
        <f t="shared" si="43"/>
        <v>0</v>
      </c>
      <c r="BA39" s="419">
        <f t="shared" si="43"/>
        <v>0</v>
      </c>
      <c r="BB39" s="379">
        <f t="shared" si="43"/>
        <v>0</v>
      </c>
      <c r="BC39" s="419">
        <f t="shared" si="43"/>
        <v>0</v>
      </c>
      <c r="BD39" s="379">
        <f t="shared" si="43"/>
        <v>0</v>
      </c>
      <c r="BE39" s="419">
        <f t="shared" si="43"/>
        <v>0</v>
      </c>
      <c r="BF39" s="379">
        <f t="shared" si="43"/>
        <v>0</v>
      </c>
      <c r="BG39" s="419">
        <f t="shared" si="43"/>
        <v>0</v>
      </c>
      <c r="BH39" s="379">
        <f t="shared" si="43"/>
        <v>2</v>
      </c>
      <c r="BI39" s="419">
        <f t="shared" si="43"/>
        <v>5120000</v>
      </c>
      <c r="BJ39" s="379">
        <f t="shared" si="43"/>
        <v>2</v>
      </c>
      <c r="BK39" s="419">
        <f t="shared" si="43"/>
        <v>5120000</v>
      </c>
      <c r="BL39" s="421"/>
      <c r="BN39" s="419">
        <f t="shared" ref="BN39:BU39" si="44">SUM(BN35:BN38)</f>
        <v>0</v>
      </c>
      <c r="BO39" s="419">
        <f t="shared" si="44"/>
        <v>0</v>
      </c>
      <c r="BP39" s="419">
        <f t="shared" si="44"/>
        <v>5120000</v>
      </c>
      <c r="BQ39" s="419">
        <f t="shared" si="44"/>
        <v>0</v>
      </c>
      <c r="BR39" s="419">
        <f t="shared" si="44"/>
        <v>5120000</v>
      </c>
      <c r="BS39" s="419">
        <f t="shared" si="44"/>
        <v>0</v>
      </c>
      <c r="BT39" s="419">
        <f t="shared" si="44"/>
        <v>0</v>
      </c>
      <c r="BU39" s="419">
        <f t="shared" si="44"/>
        <v>0</v>
      </c>
      <c r="BV39" s="427">
        <f t="shared" si="2"/>
        <v>5120000</v>
      </c>
    </row>
    <row r="40" spans="1:74" ht="31.5" x14ac:dyDescent="0.25">
      <c r="A40" s="1008"/>
      <c r="B40" s="38">
        <v>43600</v>
      </c>
      <c r="C40" s="38" t="s">
        <v>399</v>
      </c>
      <c r="D40" s="38" t="s">
        <v>72</v>
      </c>
      <c r="E40" s="375">
        <f>4*100000</f>
        <v>400000</v>
      </c>
      <c r="F40" s="38">
        <f t="shared" si="38"/>
        <v>1</v>
      </c>
      <c r="G40" s="158">
        <f>E40*F40</f>
        <v>400000</v>
      </c>
      <c r="H40" s="158">
        <f>G40*0.2</f>
        <v>80000</v>
      </c>
      <c r="I40" s="158">
        <f>G40*0.8</f>
        <v>320000</v>
      </c>
      <c r="J40" s="158">
        <f>G40*0</f>
        <v>0</v>
      </c>
      <c r="K40" s="158">
        <f>G40*0</f>
        <v>0</v>
      </c>
      <c r="L40" s="158">
        <f>G40*0</f>
        <v>0</v>
      </c>
      <c r="M40" s="158">
        <f>G40*0</f>
        <v>0</v>
      </c>
      <c r="N40" s="158">
        <f>G40*0</f>
        <v>0</v>
      </c>
      <c r="O40" s="158">
        <f>G40*0</f>
        <v>0</v>
      </c>
      <c r="P40" s="158">
        <f>G40*0</f>
        <v>0</v>
      </c>
      <c r="Q40" s="158">
        <f>G40*0</f>
        <v>0</v>
      </c>
      <c r="R40" s="428">
        <v>0</v>
      </c>
      <c r="S40" s="428">
        <v>1</v>
      </c>
      <c r="T40" s="428">
        <v>0</v>
      </c>
      <c r="U40" s="428">
        <v>0</v>
      </c>
      <c r="V40" s="158">
        <f>R40*E40</f>
        <v>0</v>
      </c>
      <c r="W40" s="158">
        <f>S40*E40</f>
        <v>400000</v>
      </c>
      <c r="X40" s="158">
        <f>T40*E40</f>
        <v>0</v>
      </c>
      <c r="Y40" s="158">
        <f>U40*E40</f>
        <v>0</v>
      </c>
      <c r="Z40" s="383">
        <v>0</v>
      </c>
      <c r="AA40" s="387">
        <f t="shared" si="39"/>
        <v>0</v>
      </c>
      <c r="AB40" s="383">
        <v>0</v>
      </c>
      <c r="AC40" s="387">
        <f t="shared" si="4"/>
        <v>0</v>
      </c>
      <c r="AD40" s="383">
        <v>0</v>
      </c>
      <c r="AE40" s="387">
        <f t="shared" si="5"/>
        <v>0</v>
      </c>
      <c r="AF40" s="383">
        <v>0</v>
      </c>
      <c r="AG40" s="387">
        <f t="shared" si="6"/>
        <v>0</v>
      </c>
      <c r="AH40" s="383">
        <v>0</v>
      </c>
      <c r="AI40" s="387">
        <f t="shared" si="7"/>
        <v>0</v>
      </c>
      <c r="AJ40" s="383">
        <v>0</v>
      </c>
      <c r="AK40" s="387">
        <f t="shared" si="8"/>
        <v>0</v>
      </c>
      <c r="AL40" s="383">
        <v>0</v>
      </c>
      <c r="AM40" s="387">
        <f t="shared" si="9"/>
        <v>0</v>
      </c>
      <c r="AN40" s="383">
        <v>0</v>
      </c>
      <c r="AO40" s="387">
        <f t="shared" si="10"/>
        <v>0</v>
      </c>
      <c r="AP40" s="383">
        <v>0</v>
      </c>
      <c r="AQ40" s="387">
        <f t="shared" si="11"/>
        <v>0</v>
      </c>
      <c r="AR40" s="383">
        <v>0</v>
      </c>
      <c r="AS40" s="387">
        <f t="shared" si="12"/>
        <v>0</v>
      </c>
      <c r="AT40" s="383">
        <v>0</v>
      </c>
      <c r="AU40" s="387">
        <f t="shared" si="13"/>
        <v>0</v>
      </c>
      <c r="AV40" s="383">
        <v>0</v>
      </c>
      <c r="AW40" s="387">
        <f t="shared" si="14"/>
        <v>0</v>
      </c>
      <c r="AX40" s="383">
        <v>0</v>
      </c>
      <c r="AY40" s="387">
        <f t="shared" si="33"/>
        <v>0</v>
      </c>
      <c r="AZ40" s="383">
        <v>0</v>
      </c>
      <c r="BA40" s="387">
        <f t="shared" si="15"/>
        <v>0</v>
      </c>
      <c r="BB40" s="383">
        <v>0</v>
      </c>
      <c r="BC40" s="387">
        <f t="shared" si="16"/>
        <v>0</v>
      </c>
      <c r="BD40" s="383">
        <v>0</v>
      </c>
      <c r="BE40" s="387">
        <f t="shared" si="17"/>
        <v>0</v>
      </c>
      <c r="BF40" s="383">
        <v>0</v>
      </c>
      <c r="BG40" s="387">
        <f t="shared" si="18"/>
        <v>0</v>
      </c>
      <c r="BH40" s="383">
        <v>1</v>
      </c>
      <c r="BI40" s="387">
        <f t="shared" si="19"/>
        <v>400000</v>
      </c>
      <c r="BJ40" s="47">
        <f>Z40+AB40+AD40+AF40+AH40+AJ40+AL40+AN40+AP40+AR40+AT40+AV40+AX40+AZ40+BB40+BD40+BF40+BH40</f>
        <v>1</v>
      </c>
      <c r="BK40" s="85">
        <f>AA40+AC40+AE40+AG40+AI40+AK40+AM40+AO40+AQ40+AS40+AU40+AW40+AY40+BA40+BC40+BE40+BG40+BI40</f>
        <v>400000</v>
      </c>
      <c r="BL40" s="304" t="s">
        <v>469</v>
      </c>
      <c r="BN40" s="383"/>
      <c r="BO40" s="383"/>
      <c r="BP40" s="158">
        <f>G40</f>
        <v>400000</v>
      </c>
      <c r="BQ40" s="383"/>
      <c r="BR40" s="158">
        <f t="shared" si="41"/>
        <v>400000</v>
      </c>
      <c r="BS40" s="383"/>
      <c r="BT40" s="383"/>
      <c r="BU40" s="383">
        <f>BS40+BT40</f>
        <v>0</v>
      </c>
      <c r="BV40" s="158">
        <f t="shared" si="2"/>
        <v>400000</v>
      </c>
    </row>
    <row r="41" spans="1:74" s="275" customFormat="1" ht="31.5" x14ac:dyDescent="0.25">
      <c r="A41" s="1008"/>
      <c r="B41" s="377"/>
      <c r="C41" s="720" t="s">
        <v>400</v>
      </c>
      <c r="D41" s="379"/>
      <c r="E41" s="379"/>
      <c r="F41" s="379">
        <f>SUM(F40)</f>
        <v>1</v>
      </c>
      <c r="G41" s="419">
        <f>SUM(G40)</f>
        <v>400000</v>
      </c>
      <c r="H41" s="419">
        <f t="shared" ref="H41:Q41" si="45">SUM(H40)</f>
        <v>80000</v>
      </c>
      <c r="I41" s="419">
        <f t="shared" si="45"/>
        <v>320000</v>
      </c>
      <c r="J41" s="419">
        <f t="shared" si="45"/>
        <v>0</v>
      </c>
      <c r="K41" s="419">
        <f t="shared" si="45"/>
        <v>0</v>
      </c>
      <c r="L41" s="419">
        <f t="shared" si="45"/>
        <v>0</v>
      </c>
      <c r="M41" s="419">
        <f t="shared" si="45"/>
        <v>0</v>
      </c>
      <c r="N41" s="419">
        <f t="shared" si="45"/>
        <v>0</v>
      </c>
      <c r="O41" s="419">
        <f t="shared" si="45"/>
        <v>0</v>
      </c>
      <c r="P41" s="419">
        <f t="shared" si="45"/>
        <v>0</v>
      </c>
      <c r="Q41" s="419">
        <f t="shared" si="45"/>
        <v>0</v>
      </c>
      <c r="R41" s="420">
        <f t="shared" ref="R41:BK41" si="46">SUM(R40)</f>
        <v>0</v>
      </c>
      <c r="S41" s="420">
        <f t="shared" si="46"/>
        <v>1</v>
      </c>
      <c r="T41" s="420">
        <f t="shared" si="46"/>
        <v>0</v>
      </c>
      <c r="U41" s="420">
        <f t="shared" si="46"/>
        <v>0</v>
      </c>
      <c r="V41" s="419">
        <f t="shared" si="46"/>
        <v>0</v>
      </c>
      <c r="W41" s="419">
        <f t="shared" si="46"/>
        <v>400000</v>
      </c>
      <c r="X41" s="419">
        <f t="shared" si="46"/>
        <v>0</v>
      </c>
      <c r="Y41" s="419">
        <f t="shared" si="46"/>
        <v>0</v>
      </c>
      <c r="Z41" s="379">
        <f t="shared" si="46"/>
        <v>0</v>
      </c>
      <c r="AA41" s="419">
        <f t="shared" si="46"/>
        <v>0</v>
      </c>
      <c r="AB41" s="379">
        <f t="shared" si="46"/>
        <v>0</v>
      </c>
      <c r="AC41" s="419">
        <f t="shared" si="46"/>
        <v>0</v>
      </c>
      <c r="AD41" s="379">
        <f t="shared" si="46"/>
        <v>0</v>
      </c>
      <c r="AE41" s="419">
        <f t="shared" si="46"/>
        <v>0</v>
      </c>
      <c r="AF41" s="379">
        <f t="shared" si="46"/>
        <v>0</v>
      </c>
      <c r="AG41" s="419">
        <f t="shared" si="46"/>
        <v>0</v>
      </c>
      <c r="AH41" s="379">
        <f t="shared" si="46"/>
        <v>0</v>
      </c>
      <c r="AI41" s="419">
        <f t="shared" si="46"/>
        <v>0</v>
      </c>
      <c r="AJ41" s="379">
        <f t="shared" si="46"/>
        <v>0</v>
      </c>
      <c r="AK41" s="419">
        <f t="shared" si="46"/>
        <v>0</v>
      </c>
      <c r="AL41" s="379">
        <f t="shared" si="46"/>
        <v>0</v>
      </c>
      <c r="AM41" s="419">
        <f t="shared" si="46"/>
        <v>0</v>
      </c>
      <c r="AN41" s="379">
        <f t="shared" si="46"/>
        <v>0</v>
      </c>
      <c r="AO41" s="419">
        <f t="shared" si="46"/>
        <v>0</v>
      </c>
      <c r="AP41" s="379">
        <f t="shared" si="46"/>
        <v>0</v>
      </c>
      <c r="AQ41" s="419">
        <f t="shared" si="46"/>
        <v>0</v>
      </c>
      <c r="AR41" s="379">
        <f t="shared" si="46"/>
        <v>0</v>
      </c>
      <c r="AS41" s="419">
        <f t="shared" si="46"/>
        <v>0</v>
      </c>
      <c r="AT41" s="379">
        <f t="shared" si="46"/>
        <v>0</v>
      </c>
      <c r="AU41" s="419">
        <f t="shared" si="46"/>
        <v>0</v>
      </c>
      <c r="AV41" s="379">
        <f t="shared" si="46"/>
        <v>0</v>
      </c>
      <c r="AW41" s="419">
        <f t="shared" si="46"/>
        <v>0</v>
      </c>
      <c r="AX41" s="379">
        <f t="shared" si="46"/>
        <v>0</v>
      </c>
      <c r="AY41" s="419">
        <f t="shared" si="46"/>
        <v>0</v>
      </c>
      <c r="AZ41" s="379">
        <f t="shared" si="46"/>
        <v>0</v>
      </c>
      <c r="BA41" s="419">
        <f t="shared" si="46"/>
        <v>0</v>
      </c>
      <c r="BB41" s="379">
        <f t="shared" si="46"/>
        <v>0</v>
      </c>
      <c r="BC41" s="419">
        <f t="shared" si="46"/>
        <v>0</v>
      </c>
      <c r="BD41" s="379">
        <f t="shared" si="46"/>
        <v>0</v>
      </c>
      <c r="BE41" s="419">
        <f t="shared" si="46"/>
        <v>0</v>
      </c>
      <c r="BF41" s="379">
        <f t="shared" si="46"/>
        <v>0</v>
      </c>
      <c r="BG41" s="419">
        <f t="shared" si="46"/>
        <v>0</v>
      </c>
      <c r="BH41" s="379">
        <f t="shared" si="46"/>
        <v>1</v>
      </c>
      <c r="BI41" s="419">
        <f t="shared" si="46"/>
        <v>400000</v>
      </c>
      <c r="BJ41" s="379">
        <f t="shared" si="46"/>
        <v>1</v>
      </c>
      <c r="BK41" s="419">
        <f t="shared" si="46"/>
        <v>400000</v>
      </c>
      <c r="BL41" s="421"/>
      <c r="BN41" s="419">
        <f t="shared" ref="BN41:BU41" si="47">SUM(BN40)</f>
        <v>0</v>
      </c>
      <c r="BO41" s="419">
        <f t="shared" si="47"/>
        <v>0</v>
      </c>
      <c r="BP41" s="419">
        <f t="shared" si="47"/>
        <v>400000</v>
      </c>
      <c r="BQ41" s="419">
        <f t="shared" si="47"/>
        <v>0</v>
      </c>
      <c r="BR41" s="419">
        <f t="shared" si="47"/>
        <v>400000</v>
      </c>
      <c r="BS41" s="419">
        <f t="shared" si="47"/>
        <v>0</v>
      </c>
      <c r="BT41" s="419">
        <f t="shared" si="47"/>
        <v>0</v>
      </c>
      <c r="BU41" s="419">
        <f t="shared" si="47"/>
        <v>0</v>
      </c>
      <c r="BV41" s="419">
        <f t="shared" si="2"/>
        <v>400000</v>
      </c>
    </row>
    <row r="42" spans="1:74" s="275" customFormat="1" x14ac:dyDescent="0.25">
      <c r="A42" s="1008"/>
      <c r="B42" s="431"/>
      <c r="C42" s="432"/>
      <c r="D42" s="432"/>
      <c r="E42" s="432"/>
      <c r="F42" s="432">
        <f>F41+F39+F33+F27+F23+F18+F14</f>
        <v>365</v>
      </c>
      <c r="G42" s="433">
        <f>G41+G39+G33+G27+G23+G18+G14</f>
        <v>7925000</v>
      </c>
      <c r="H42" s="433">
        <f t="shared" ref="H42:Q42" si="48">H41+H39+H33+H27+H23+H18+H14</f>
        <v>1585000</v>
      </c>
      <c r="I42" s="433">
        <f t="shared" si="48"/>
        <v>6340000</v>
      </c>
      <c r="J42" s="433">
        <f t="shared" si="48"/>
        <v>0</v>
      </c>
      <c r="K42" s="433">
        <f t="shared" si="48"/>
        <v>0</v>
      </c>
      <c r="L42" s="433">
        <f t="shared" si="48"/>
        <v>0</v>
      </c>
      <c r="M42" s="433">
        <f t="shared" si="48"/>
        <v>0</v>
      </c>
      <c r="N42" s="433">
        <f t="shared" si="48"/>
        <v>0</v>
      </c>
      <c r="O42" s="433">
        <f t="shared" si="48"/>
        <v>0</v>
      </c>
      <c r="P42" s="433">
        <f t="shared" si="48"/>
        <v>0</v>
      </c>
      <c r="Q42" s="433">
        <f t="shared" si="48"/>
        <v>0</v>
      </c>
      <c r="R42" s="432">
        <f t="shared" ref="R42:BK42" si="49">R41+R39+R33+R27+R23+R18+R14</f>
        <v>103</v>
      </c>
      <c r="S42" s="432">
        <f t="shared" si="49"/>
        <v>86</v>
      </c>
      <c r="T42" s="432">
        <f t="shared" si="49"/>
        <v>101</v>
      </c>
      <c r="U42" s="432">
        <f t="shared" si="49"/>
        <v>75</v>
      </c>
      <c r="V42" s="433">
        <f t="shared" si="49"/>
        <v>5742500</v>
      </c>
      <c r="W42" s="433">
        <f t="shared" si="49"/>
        <v>982500</v>
      </c>
      <c r="X42" s="433">
        <f t="shared" si="49"/>
        <v>882500</v>
      </c>
      <c r="Y42" s="433">
        <f t="shared" si="49"/>
        <v>317500</v>
      </c>
      <c r="Z42" s="432">
        <f t="shared" si="49"/>
        <v>19</v>
      </c>
      <c r="AA42" s="433">
        <f t="shared" si="49"/>
        <v>90000</v>
      </c>
      <c r="AB42" s="432">
        <f t="shared" si="49"/>
        <v>18</v>
      </c>
      <c r="AC42" s="433">
        <f t="shared" si="49"/>
        <v>85000</v>
      </c>
      <c r="AD42" s="432">
        <f t="shared" si="49"/>
        <v>19</v>
      </c>
      <c r="AE42" s="433">
        <f t="shared" si="49"/>
        <v>90000</v>
      </c>
      <c r="AF42" s="432">
        <f t="shared" si="49"/>
        <v>20</v>
      </c>
      <c r="AG42" s="433">
        <f t="shared" si="49"/>
        <v>95000</v>
      </c>
      <c r="AH42" s="432">
        <f t="shared" si="49"/>
        <v>17</v>
      </c>
      <c r="AI42" s="433">
        <f t="shared" si="49"/>
        <v>80000</v>
      </c>
      <c r="AJ42" s="432">
        <f t="shared" si="49"/>
        <v>19</v>
      </c>
      <c r="AK42" s="433">
        <f t="shared" si="49"/>
        <v>90000</v>
      </c>
      <c r="AL42" s="432">
        <f t="shared" si="49"/>
        <v>20</v>
      </c>
      <c r="AM42" s="433">
        <f t="shared" si="49"/>
        <v>95000</v>
      </c>
      <c r="AN42" s="432">
        <f t="shared" si="49"/>
        <v>23</v>
      </c>
      <c r="AO42" s="433">
        <f t="shared" si="49"/>
        <v>110000</v>
      </c>
      <c r="AP42" s="432">
        <f t="shared" si="49"/>
        <v>17</v>
      </c>
      <c r="AQ42" s="433">
        <f t="shared" si="49"/>
        <v>80000</v>
      </c>
      <c r="AR42" s="432">
        <f t="shared" si="49"/>
        <v>18</v>
      </c>
      <c r="AS42" s="433">
        <f t="shared" si="49"/>
        <v>85000</v>
      </c>
      <c r="AT42" s="432">
        <f t="shared" si="49"/>
        <v>21</v>
      </c>
      <c r="AU42" s="433">
        <f t="shared" si="49"/>
        <v>100000</v>
      </c>
      <c r="AV42" s="432">
        <f t="shared" si="49"/>
        <v>20</v>
      </c>
      <c r="AW42" s="433">
        <f t="shared" si="49"/>
        <v>95000</v>
      </c>
      <c r="AX42" s="432">
        <f t="shared" si="49"/>
        <v>24</v>
      </c>
      <c r="AY42" s="433">
        <f t="shared" si="49"/>
        <v>115000</v>
      </c>
      <c r="AZ42" s="432">
        <f t="shared" si="49"/>
        <v>24</v>
      </c>
      <c r="BA42" s="433">
        <f t="shared" si="49"/>
        <v>115000</v>
      </c>
      <c r="BB42" s="432">
        <f t="shared" si="49"/>
        <v>18</v>
      </c>
      <c r="BC42" s="433">
        <f t="shared" si="49"/>
        <v>85000</v>
      </c>
      <c r="BD42" s="432">
        <f t="shared" si="49"/>
        <v>27</v>
      </c>
      <c r="BE42" s="433">
        <f t="shared" si="49"/>
        <v>130000</v>
      </c>
      <c r="BF42" s="432">
        <f t="shared" si="49"/>
        <v>21</v>
      </c>
      <c r="BG42" s="433">
        <f t="shared" si="49"/>
        <v>100000</v>
      </c>
      <c r="BH42" s="432">
        <f t="shared" si="49"/>
        <v>20</v>
      </c>
      <c r="BI42" s="433">
        <f t="shared" si="49"/>
        <v>6285000</v>
      </c>
      <c r="BJ42" s="432">
        <f t="shared" si="49"/>
        <v>365</v>
      </c>
      <c r="BK42" s="433">
        <f t="shared" si="49"/>
        <v>7925000</v>
      </c>
      <c r="BL42" s="421"/>
      <c r="BN42" s="433">
        <f t="shared" ref="BN42:BU42" si="50">BN41+BN39+BN33+BN27+BN23+BN18+BN14</f>
        <v>0</v>
      </c>
      <c r="BO42" s="433">
        <f t="shared" si="50"/>
        <v>2405000</v>
      </c>
      <c r="BP42" s="433">
        <f t="shared" si="50"/>
        <v>5520000</v>
      </c>
      <c r="BQ42" s="433">
        <f t="shared" si="50"/>
        <v>0</v>
      </c>
      <c r="BR42" s="433">
        <f t="shared" si="50"/>
        <v>7925000</v>
      </c>
      <c r="BS42" s="433">
        <f t="shared" si="50"/>
        <v>0</v>
      </c>
      <c r="BT42" s="433">
        <f t="shared" si="50"/>
        <v>0</v>
      </c>
      <c r="BU42" s="433">
        <f t="shared" si="50"/>
        <v>0</v>
      </c>
      <c r="BV42" s="437">
        <f t="shared" si="2"/>
        <v>7925000</v>
      </c>
    </row>
    <row r="43" spans="1:74" x14ac:dyDescent="0.25">
      <c r="C43" s="39" t="s">
        <v>507</v>
      </c>
      <c r="E43" s="434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4"/>
      <c r="R43" s="436"/>
      <c r="S43" s="436"/>
      <c r="T43" s="436"/>
      <c r="U43" s="436"/>
    </row>
    <row r="44" spans="1:74" x14ac:dyDescent="0.25">
      <c r="C44" s="39" t="s">
        <v>583</v>
      </c>
    </row>
    <row r="45" spans="1:74" x14ac:dyDescent="0.25">
      <c r="C45" s="39" t="s">
        <v>584</v>
      </c>
    </row>
    <row r="46" spans="1:74" x14ac:dyDescent="0.25">
      <c r="C46" s="39" t="s">
        <v>585</v>
      </c>
    </row>
    <row r="47" spans="1:74" x14ac:dyDescent="0.25">
      <c r="C47" s="39" t="s">
        <v>586</v>
      </c>
    </row>
    <row r="48" spans="1:74" x14ac:dyDescent="0.25">
      <c r="C48" s="39" t="s">
        <v>587</v>
      </c>
    </row>
    <row r="49" spans="3:3" x14ac:dyDescent="0.25">
      <c r="C49" s="39" t="s">
        <v>588</v>
      </c>
    </row>
    <row r="50" spans="3:3" x14ac:dyDescent="0.25">
      <c r="C50" s="39" t="s">
        <v>589</v>
      </c>
    </row>
    <row r="51" spans="3:3" x14ac:dyDescent="0.25">
      <c r="C51" s="39"/>
    </row>
  </sheetData>
  <mergeCells count="45"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  <mergeCell ref="H7:Q7"/>
    <mergeCell ref="A10:A42"/>
    <mergeCell ref="AJ7:AK8"/>
    <mergeCell ref="BF7:BG8"/>
    <mergeCell ref="F8:F9"/>
    <mergeCell ref="G8:G9"/>
    <mergeCell ref="AT7:AU8"/>
    <mergeCell ref="AV7:AW8"/>
    <mergeCell ref="AL7:AM8"/>
    <mergeCell ref="V7:Y8"/>
    <mergeCell ref="AB7:AC8"/>
    <mergeCell ref="AP7:AQ8"/>
    <mergeCell ref="Z7:AA8"/>
    <mergeCell ref="BH7:BI8"/>
    <mergeCell ref="AF7:AG8"/>
    <mergeCell ref="AH7:AI8"/>
    <mergeCell ref="BJ7:BK8"/>
    <mergeCell ref="A8:A9"/>
    <mergeCell ref="B8:B9"/>
    <mergeCell ref="C8:C9"/>
    <mergeCell ref="E8:E9"/>
    <mergeCell ref="AR7:AS8"/>
    <mergeCell ref="R7:U8"/>
    <mergeCell ref="BB7:BC8"/>
    <mergeCell ref="BD7:BE8"/>
    <mergeCell ref="AD7:AE8"/>
    <mergeCell ref="AX7:AY8"/>
    <mergeCell ref="AZ7:BA8"/>
    <mergeCell ref="AN7:AO8"/>
  </mergeCells>
  <pageMargins left="0.2" right="0.25" top="0.75" bottom="0.75" header="0.3" footer="0.3"/>
  <pageSetup paperSize="9" scale="17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N14:O17"/>
  <sheetViews>
    <sheetView workbookViewId="0">
      <selection activeCell="Q12" sqref="Q12"/>
    </sheetView>
  </sheetViews>
  <sheetFormatPr defaultRowHeight="15" x14ac:dyDescent="0.25"/>
  <cols>
    <col min="14" max="14" width="13.42578125" bestFit="1" customWidth="1"/>
  </cols>
  <sheetData>
    <row r="14" spans="14:15" ht="23.25" x14ac:dyDescent="0.35">
      <c r="N14" s="717">
        <f>1000*1500</f>
        <v>1500000</v>
      </c>
      <c r="O14">
        <f>8*1.18</f>
        <v>9.44</v>
      </c>
    </row>
    <row r="17" spans="14:14" x14ac:dyDescent="0.25">
      <c r="N17">
        <f>1500*1.18</f>
        <v>1770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"/>
  <sheetViews>
    <sheetView zoomScaleNormal="100" workbookViewId="0">
      <selection activeCell="D32" sqref="D32"/>
    </sheetView>
  </sheetViews>
  <sheetFormatPr defaultRowHeight="15.75" x14ac:dyDescent="0.25"/>
  <cols>
    <col min="1" max="1" width="5.7109375" style="32" customWidth="1"/>
    <col min="2" max="2" width="8" style="32" customWidth="1"/>
    <col min="3" max="3" width="31" style="32" customWidth="1"/>
    <col min="4" max="4" width="19.42578125" style="32" customWidth="1"/>
    <col min="5" max="6" width="15.42578125" style="32" bestFit="1" customWidth="1"/>
    <col min="7" max="7" width="14.28515625" style="32" customWidth="1"/>
    <col min="8" max="8" width="15.140625" style="32" customWidth="1"/>
    <col min="9" max="9" width="15.42578125" style="32" bestFit="1" customWidth="1"/>
    <col min="10" max="10" width="15.28515625" style="32" customWidth="1"/>
    <col min="11" max="11" width="5.7109375" style="32" customWidth="1"/>
    <col min="12" max="12" width="7.42578125" style="32" customWidth="1"/>
    <col min="13" max="13" width="14.28515625" style="32" customWidth="1"/>
    <col min="14" max="14" width="15" style="32" customWidth="1"/>
    <col min="15" max="15" width="19.42578125" style="32" bestFit="1" customWidth="1"/>
    <col min="16" max="16" width="15.7109375" style="32" hidden="1" customWidth="1"/>
    <col min="17" max="17" width="15.85546875" style="32" hidden="1" customWidth="1"/>
    <col min="18" max="18" width="16.5703125" style="32" hidden="1" customWidth="1"/>
    <col min="19" max="19" width="15.42578125" style="32" hidden="1" customWidth="1"/>
    <col min="20" max="29" width="18" style="32" hidden="1" customWidth="1"/>
    <col min="30" max="30" width="16.85546875" style="32" hidden="1" customWidth="1"/>
    <col min="31" max="31" width="16.7109375" style="32" hidden="1" customWidth="1"/>
    <col min="32" max="32" width="15.7109375" style="32" hidden="1" customWidth="1"/>
    <col min="33" max="33" width="18" style="32" hidden="1" customWidth="1"/>
    <col min="34" max="34" width="15.5703125" style="32" hidden="1" customWidth="1"/>
    <col min="35" max="35" width="9.140625" style="32"/>
    <col min="36" max="36" width="16" style="32" customWidth="1"/>
    <col min="37" max="16384" width="9.140625" style="32"/>
  </cols>
  <sheetData>
    <row r="1" spans="1:34" ht="13.5" customHeight="1" x14ac:dyDescent="0.25">
      <c r="A1" s="806"/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34" x14ac:dyDescent="0.25">
      <c r="A2" s="806" t="s">
        <v>404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34" x14ac:dyDescent="0.25">
      <c r="A3" s="806" t="s">
        <v>827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34" x14ac:dyDescent="0.25">
      <c r="A4" s="807" t="s">
        <v>5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1:34" ht="14.25" customHeigh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1"/>
      <c r="M5" s="740"/>
      <c r="N5" s="741"/>
      <c r="O5" s="740"/>
    </row>
    <row r="6" spans="1:34" s="742" customFormat="1" ht="22.9" customHeight="1" x14ac:dyDescent="0.25">
      <c r="A6" s="808" t="s">
        <v>64</v>
      </c>
      <c r="B6" s="808" t="s">
        <v>62</v>
      </c>
      <c r="C6" s="810" t="s">
        <v>14</v>
      </c>
      <c r="D6" s="808" t="s">
        <v>828</v>
      </c>
      <c r="E6" s="812" t="s">
        <v>468</v>
      </c>
      <c r="F6" s="813"/>
      <c r="G6" s="813"/>
      <c r="H6" s="813"/>
      <c r="I6" s="813"/>
      <c r="J6" s="813"/>
      <c r="K6" s="813"/>
      <c r="L6" s="813"/>
      <c r="M6" s="813"/>
      <c r="N6" s="813"/>
      <c r="O6" s="814"/>
    </row>
    <row r="7" spans="1:34" s="745" customFormat="1" ht="54" customHeight="1" x14ac:dyDescent="0.25">
      <c r="A7" s="809"/>
      <c r="B7" s="809"/>
      <c r="C7" s="811"/>
      <c r="D7" s="809"/>
      <c r="E7" s="30" t="s">
        <v>457</v>
      </c>
      <c r="F7" s="30" t="s">
        <v>458</v>
      </c>
      <c r="G7" s="30" t="s">
        <v>459</v>
      </c>
      <c r="H7" s="30" t="s">
        <v>460</v>
      </c>
      <c r="I7" s="30" t="s">
        <v>461</v>
      </c>
      <c r="J7" s="30" t="s">
        <v>462</v>
      </c>
      <c r="K7" s="30" t="s">
        <v>463</v>
      </c>
      <c r="L7" s="30" t="s">
        <v>464</v>
      </c>
      <c r="M7" s="30" t="s">
        <v>465</v>
      </c>
      <c r="N7" s="30" t="s">
        <v>466</v>
      </c>
      <c r="O7" s="743" t="s">
        <v>42</v>
      </c>
      <c r="P7" s="738" t="s">
        <v>895</v>
      </c>
      <c r="Q7" s="738" t="s">
        <v>896</v>
      </c>
      <c r="R7" s="738" t="s">
        <v>897</v>
      </c>
      <c r="S7" s="738" t="s">
        <v>898</v>
      </c>
      <c r="T7" s="738" t="s">
        <v>438</v>
      </c>
      <c r="U7" s="738" t="s">
        <v>439</v>
      </c>
      <c r="V7" s="738" t="s">
        <v>440</v>
      </c>
      <c r="W7" s="738" t="s">
        <v>441</v>
      </c>
      <c r="X7" s="738" t="s">
        <v>442</v>
      </c>
      <c r="Y7" s="738" t="s">
        <v>443</v>
      </c>
      <c r="Z7" s="738" t="s">
        <v>444</v>
      </c>
      <c r="AA7" s="738" t="s">
        <v>445</v>
      </c>
      <c r="AB7" s="738" t="s">
        <v>446</v>
      </c>
      <c r="AC7" s="738" t="s">
        <v>447</v>
      </c>
      <c r="AD7" s="738" t="s">
        <v>448</v>
      </c>
      <c r="AE7" s="738" t="s">
        <v>449</v>
      </c>
      <c r="AF7" s="739" t="s">
        <v>450</v>
      </c>
      <c r="AG7" s="317" t="s">
        <v>451</v>
      </c>
      <c r="AH7" s="744" t="s">
        <v>42</v>
      </c>
    </row>
    <row r="8" spans="1:34" ht="9.75" customHeight="1" x14ac:dyDescent="0.25">
      <c r="A8" s="816"/>
      <c r="B8" s="817"/>
      <c r="C8" s="817"/>
      <c r="D8" s="746"/>
      <c r="E8" s="746"/>
      <c r="F8" s="746"/>
      <c r="G8" s="746"/>
      <c r="H8" s="746"/>
      <c r="I8" s="746"/>
      <c r="J8" s="746"/>
      <c r="K8" s="746"/>
      <c r="L8" s="740"/>
      <c r="M8" s="740"/>
      <c r="N8" s="740"/>
      <c r="O8" s="740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</row>
    <row r="9" spans="1:34" ht="18" customHeight="1" x14ac:dyDescent="0.25">
      <c r="A9" s="818">
        <v>1</v>
      </c>
      <c r="B9" s="747">
        <v>10000</v>
      </c>
      <c r="C9" s="748" t="s">
        <v>0</v>
      </c>
      <c r="D9" s="749"/>
      <c r="E9" s="749"/>
      <c r="F9" s="749"/>
      <c r="G9" s="749"/>
      <c r="H9" s="749"/>
      <c r="I9" s="749"/>
      <c r="J9" s="749"/>
      <c r="K9" s="749"/>
      <c r="L9" s="750"/>
      <c r="M9" s="750"/>
      <c r="N9" s="750"/>
      <c r="O9" s="751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</row>
    <row r="10" spans="1:34" ht="31.5" x14ac:dyDescent="0.25">
      <c r="A10" s="819"/>
      <c r="B10" s="752">
        <v>11000</v>
      </c>
      <c r="C10" s="753" t="str">
        <f>'1.1'!C9</f>
        <v>Community Institutions Development</v>
      </c>
      <c r="D10" s="754">
        <f>'1.1'!G72</f>
        <v>200490250</v>
      </c>
      <c r="E10" s="754">
        <f>'1.1'!H72</f>
        <v>67564450</v>
      </c>
      <c r="F10" s="754">
        <f>'1.1'!I72</f>
        <v>132925800</v>
      </c>
      <c r="G10" s="754">
        <f>'1.1'!J72</f>
        <v>0</v>
      </c>
      <c r="H10" s="754">
        <f>'1.1'!K72</f>
        <v>0</v>
      </c>
      <c r="I10" s="754">
        <f>'1.1'!L72</f>
        <v>0</v>
      </c>
      <c r="J10" s="754">
        <f>'1.1'!M72</f>
        <v>0</v>
      </c>
      <c r="K10" s="754">
        <f>'1.1'!N72</f>
        <v>0</v>
      </c>
      <c r="L10" s="754">
        <f>'1.1'!O72</f>
        <v>0</v>
      </c>
      <c r="M10" s="754">
        <f>'1.1'!P72</f>
        <v>0</v>
      </c>
      <c r="N10" s="754">
        <f>'1.1'!Q72</f>
        <v>0</v>
      </c>
      <c r="O10" s="755">
        <f>N10+M10+L10+K10+J10+I10+H10+G10+F10+E10</f>
        <v>200490250</v>
      </c>
      <c r="P10" s="756">
        <f>'1.1'!AA72</f>
        <v>7921500</v>
      </c>
      <c r="Q10" s="756">
        <f>'1.1'!AC72</f>
        <v>7106650</v>
      </c>
      <c r="R10" s="756">
        <f>'1.1'!AE72</f>
        <v>8307500</v>
      </c>
      <c r="S10" s="756">
        <f>'1.1'!AG72</f>
        <v>9316150</v>
      </c>
      <c r="T10" s="756">
        <f>'1.1'!AI72</f>
        <v>8504050</v>
      </c>
      <c r="U10" s="756">
        <f>'1.1'!AK72</f>
        <v>9404500</v>
      </c>
      <c r="V10" s="756">
        <f>'1.1'!AM72</f>
        <v>8225300</v>
      </c>
      <c r="W10" s="756">
        <f>'1.1'!AO72</f>
        <v>15715250</v>
      </c>
      <c r="X10" s="756">
        <f>'1.1'!AQ72</f>
        <v>6601900</v>
      </c>
      <c r="Y10" s="756">
        <f>'1.1'!AS72</f>
        <v>7409200</v>
      </c>
      <c r="Z10" s="756">
        <f>'1.1'!AU72</f>
        <v>8394500</v>
      </c>
      <c r="AA10" s="756">
        <f>'1.1'!AW72</f>
        <v>8463000</v>
      </c>
      <c r="AB10" s="756">
        <f>'1.1'!AY72</f>
        <v>8900500</v>
      </c>
      <c r="AC10" s="756">
        <f>'1.1'!BA72</f>
        <v>8863500</v>
      </c>
      <c r="AD10" s="756">
        <f>'1.1'!BC72</f>
        <v>12442250</v>
      </c>
      <c r="AE10" s="756">
        <f>'1.1'!BE72</f>
        <v>24026500</v>
      </c>
      <c r="AF10" s="756">
        <f>'1.1'!BG72</f>
        <v>9373500</v>
      </c>
      <c r="AG10" s="756">
        <f>'1.1'!BI72</f>
        <v>31514500</v>
      </c>
      <c r="AH10" s="756">
        <f>AG10+AF10+AE10+AD10+AC10+AB10+AA10+Z10+Y10+X10+W10+V10+U10+T10+S10+R10+Q10+P10</f>
        <v>200490250</v>
      </c>
    </row>
    <row r="11" spans="1:34" ht="29.25" customHeight="1" x14ac:dyDescent="0.25">
      <c r="A11" s="819"/>
      <c r="B11" s="752">
        <v>12000</v>
      </c>
      <c r="C11" s="753" t="str">
        <f>'1.2 '!C9</f>
        <v>Stregthening SHGs and Rural Finance</v>
      </c>
      <c r="D11" s="754">
        <f>'1.2 '!G74</f>
        <v>46923950</v>
      </c>
      <c r="E11" s="754">
        <f>'1.2 '!H74</f>
        <v>4701590</v>
      </c>
      <c r="F11" s="754">
        <f>'1.2 '!I74</f>
        <v>42222360</v>
      </c>
      <c r="G11" s="754">
        <f>'1.2 '!J74</f>
        <v>0</v>
      </c>
      <c r="H11" s="754">
        <f>'1.2 '!K74</f>
        <v>0</v>
      </c>
      <c r="I11" s="754">
        <f>'1.2 '!L74</f>
        <v>0</v>
      </c>
      <c r="J11" s="754">
        <f>'1.2 '!M74</f>
        <v>0</v>
      </c>
      <c r="K11" s="754">
        <f>'1.2 '!N74</f>
        <v>0</v>
      </c>
      <c r="L11" s="754">
        <f>'1.2 '!O74</f>
        <v>0</v>
      </c>
      <c r="M11" s="754">
        <f>'1.2 '!P74</f>
        <v>0</v>
      </c>
      <c r="N11" s="754">
        <f>'1.2 '!Q74</f>
        <v>0</v>
      </c>
      <c r="O11" s="757">
        <f>N11+M11+L11+K11+J11+I11+H11+G11+F11+E11</f>
        <v>46923950</v>
      </c>
      <c r="P11" s="756">
        <f>'1.2 '!AA74</f>
        <v>2634850</v>
      </c>
      <c r="Q11" s="756">
        <f>'1.2 '!AC74</f>
        <v>2131250</v>
      </c>
      <c r="R11" s="756">
        <f>'1.2 '!AE74</f>
        <v>2618550</v>
      </c>
      <c r="S11" s="756">
        <f>'1.2 '!AG74</f>
        <v>2676000</v>
      </c>
      <c r="T11" s="756">
        <f>'1.2 '!AI74</f>
        <v>2309050</v>
      </c>
      <c r="U11" s="756">
        <f>'1.2 '!AK74</f>
        <v>2163150</v>
      </c>
      <c r="V11" s="756">
        <f>'1.2 '!AM74</f>
        <v>2596350</v>
      </c>
      <c r="W11" s="756">
        <f>'1.2 '!AO74</f>
        <v>3536750</v>
      </c>
      <c r="X11" s="756">
        <f>'1.2 '!AQ74</f>
        <v>1780800</v>
      </c>
      <c r="Y11" s="756">
        <f>'1.2 '!AS74</f>
        <v>2345950</v>
      </c>
      <c r="Z11" s="756">
        <f>'1.2 '!AU74</f>
        <v>2506500</v>
      </c>
      <c r="AA11" s="756">
        <f>'1.2 '!AW74</f>
        <v>2510300</v>
      </c>
      <c r="AB11" s="756">
        <f>'1.2 '!AY74</f>
        <v>2791050</v>
      </c>
      <c r="AC11" s="756">
        <f>'1.2 '!BA74</f>
        <v>2593600</v>
      </c>
      <c r="AD11" s="756">
        <f>'1.2 '!BC74</f>
        <v>2708500</v>
      </c>
      <c r="AE11" s="756">
        <f>'1.2 '!BE74</f>
        <v>3057250</v>
      </c>
      <c r="AF11" s="756">
        <f>'1.2 '!BG74</f>
        <v>4230050</v>
      </c>
      <c r="AG11" s="756">
        <f>'1.2 '!BI74</f>
        <v>1734000</v>
      </c>
      <c r="AH11" s="756">
        <f>AG11+AF11+AE11+AD11+AC11+AB11+AA11+Z11+Y11+X11+W11+V11+U11+T11+S11+R11+Q11+P11</f>
        <v>46923950</v>
      </c>
    </row>
    <row r="12" spans="1:34" ht="14.25" customHeight="1" x14ac:dyDescent="0.25">
      <c r="A12" s="820"/>
      <c r="B12" s="758"/>
      <c r="C12" s="759" t="s">
        <v>3</v>
      </c>
      <c r="D12" s="760">
        <f>SUM(D10:D11)</f>
        <v>247414200</v>
      </c>
      <c r="E12" s="760">
        <f t="shared" ref="E12:N12" si="0">SUM(E10:E11)</f>
        <v>72266040</v>
      </c>
      <c r="F12" s="760">
        <f t="shared" si="0"/>
        <v>175148160</v>
      </c>
      <c r="G12" s="760">
        <f t="shared" si="0"/>
        <v>0</v>
      </c>
      <c r="H12" s="760">
        <f t="shared" si="0"/>
        <v>0</v>
      </c>
      <c r="I12" s="760">
        <f t="shared" si="0"/>
        <v>0</v>
      </c>
      <c r="J12" s="760">
        <f t="shared" si="0"/>
        <v>0</v>
      </c>
      <c r="K12" s="760">
        <f t="shared" si="0"/>
        <v>0</v>
      </c>
      <c r="L12" s="760">
        <f t="shared" si="0"/>
        <v>0</v>
      </c>
      <c r="M12" s="760">
        <f t="shared" si="0"/>
        <v>0</v>
      </c>
      <c r="N12" s="760">
        <f t="shared" si="0"/>
        <v>0</v>
      </c>
      <c r="O12" s="761">
        <f>SUM(E12:N12)</f>
        <v>247414200</v>
      </c>
      <c r="P12" s="762">
        <f>SUM(P10:P11)</f>
        <v>10556350</v>
      </c>
      <c r="Q12" s="762">
        <f t="shared" ref="Q12:AG12" si="1">SUM(Q10:Q11)</f>
        <v>9237900</v>
      </c>
      <c r="R12" s="762">
        <f t="shared" si="1"/>
        <v>10926050</v>
      </c>
      <c r="S12" s="762">
        <f t="shared" si="1"/>
        <v>11992150</v>
      </c>
      <c r="T12" s="762">
        <f t="shared" si="1"/>
        <v>10813100</v>
      </c>
      <c r="U12" s="762">
        <f t="shared" si="1"/>
        <v>11567650</v>
      </c>
      <c r="V12" s="762">
        <f t="shared" si="1"/>
        <v>10821650</v>
      </c>
      <c r="W12" s="762">
        <f t="shared" si="1"/>
        <v>19252000</v>
      </c>
      <c r="X12" s="762">
        <f t="shared" si="1"/>
        <v>8382700</v>
      </c>
      <c r="Y12" s="762">
        <f t="shared" si="1"/>
        <v>9755150</v>
      </c>
      <c r="Z12" s="762">
        <f t="shared" si="1"/>
        <v>10901000</v>
      </c>
      <c r="AA12" s="762">
        <f t="shared" si="1"/>
        <v>10973300</v>
      </c>
      <c r="AB12" s="762">
        <f t="shared" si="1"/>
        <v>11691550</v>
      </c>
      <c r="AC12" s="762">
        <f t="shared" si="1"/>
        <v>11457100</v>
      </c>
      <c r="AD12" s="762">
        <f t="shared" si="1"/>
        <v>15150750</v>
      </c>
      <c r="AE12" s="762">
        <f t="shared" si="1"/>
        <v>27083750</v>
      </c>
      <c r="AF12" s="762">
        <f t="shared" si="1"/>
        <v>13603550</v>
      </c>
      <c r="AG12" s="762">
        <f t="shared" si="1"/>
        <v>33248500</v>
      </c>
      <c r="AH12" s="762">
        <f>AG12+AF12+AE12+AD12+AC12+AB12+AA12+Z12+Y12+X12+W12+V12+U12+T12+S12+R12+Q12+P12</f>
        <v>247414200</v>
      </c>
    </row>
    <row r="13" spans="1:34" x14ac:dyDescent="0.25">
      <c r="A13" s="740"/>
      <c r="B13" s="763"/>
      <c r="C13" s="764"/>
      <c r="D13" s="765"/>
      <c r="E13" s="765"/>
      <c r="F13" s="765"/>
      <c r="G13" s="765"/>
      <c r="H13" s="765"/>
      <c r="I13" s="765"/>
      <c r="J13" s="765"/>
      <c r="K13" s="765"/>
      <c r="L13" s="766"/>
      <c r="M13" s="766"/>
      <c r="N13" s="766"/>
      <c r="O13" s="755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6"/>
      <c r="AH13" s="762"/>
    </row>
    <row r="14" spans="1:34" x14ac:dyDescent="0.25">
      <c r="A14" s="818">
        <v>2</v>
      </c>
      <c r="B14" s="747">
        <v>20000</v>
      </c>
      <c r="C14" s="767" t="s">
        <v>200</v>
      </c>
      <c r="D14" s="768"/>
      <c r="E14" s="768"/>
      <c r="F14" s="768"/>
      <c r="G14" s="768"/>
      <c r="H14" s="768"/>
      <c r="I14" s="768"/>
      <c r="J14" s="768"/>
      <c r="K14" s="768"/>
      <c r="L14" s="766"/>
      <c r="M14" s="766"/>
      <c r="N14" s="766"/>
      <c r="O14" s="755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762"/>
    </row>
    <row r="15" spans="1:34" x14ac:dyDescent="0.25">
      <c r="A15" s="819"/>
      <c r="B15" s="769">
        <f>'2.1'!C10</f>
        <v>21000</v>
      </c>
      <c r="C15" s="770" t="str">
        <f>'2.1'!D10</f>
        <v>Natural Resource Management</v>
      </c>
      <c r="D15" s="754">
        <f>'2.1'!H132</f>
        <v>650629700</v>
      </c>
      <c r="E15" s="754">
        <f>'2.1'!I132</f>
        <v>44715500</v>
      </c>
      <c r="F15" s="754">
        <f>'2.1'!J132</f>
        <v>227742000</v>
      </c>
      <c r="G15" s="754">
        <f>'2.1'!K132</f>
        <v>0</v>
      </c>
      <c r="H15" s="754">
        <f>'2.1'!L132</f>
        <v>0</v>
      </c>
      <c r="I15" s="754">
        <f>'2.1'!M132</f>
        <v>51000000</v>
      </c>
      <c r="J15" s="754">
        <f>'2.1'!N132</f>
        <v>170177500</v>
      </c>
      <c r="K15" s="754">
        <f>'2.1'!O132</f>
        <v>0</v>
      </c>
      <c r="L15" s="754">
        <f>'2.1'!P132</f>
        <v>0</v>
      </c>
      <c r="M15" s="754">
        <f>'2.1'!Q132</f>
        <v>20395000</v>
      </c>
      <c r="N15" s="754">
        <f>'2.1'!R132</f>
        <v>136599700</v>
      </c>
      <c r="O15" s="755">
        <f>N15+M15+L15+K15+J15+I15+H15+G15+F15+E15</f>
        <v>650629700</v>
      </c>
      <c r="P15" s="756">
        <f>'2.1'!AB132</f>
        <v>36396100</v>
      </c>
      <c r="Q15" s="771">
        <f>'2.1'!AD132</f>
        <v>20163600</v>
      </c>
      <c r="R15" s="771">
        <f>'2.1'!AF132</f>
        <v>32580650</v>
      </c>
      <c r="S15" s="771">
        <f>'2.1'!AH132</f>
        <v>58896100</v>
      </c>
      <c r="T15" s="771">
        <f>'2.1'!AJ132</f>
        <v>32243300</v>
      </c>
      <c r="U15" s="771">
        <f>'2.1'!AL132</f>
        <v>36276950</v>
      </c>
      <c r="V15" s="771">
        <f>'2.1'!AN132</f>
        <v>29872300</v>
      </c>
      <c r="W15" s="771">
        <f>'2.1'!AP132</f>
        <v>37489000</v>
      </c>
      <c r="X15" s="771">
        <f>'2.1'!AR132</f>
        <v>15737800</v>
      </c>
      <c r="Y15" s="771">
        <f>'2.1'!AT132</f>
        <v>38441600</v>
      </c>
      <c r="Z15" s="771">
        <f>'2.1'!AV132</f>
        <v>40895900</v>
      </c>
      <c r="AA15" s="771">
        <f>'2.1'!AX132</f>
        <v>39201750</v>
      </c>
      <c r="AB15" s="771">
        <f>'2.1'!AZ132</f>
        <v>37916850</v>
      </c>
      <c r="AC15" s="771">
        <f>'2.1'!BB132</f>
        <v>36357100</v>
      </c>
      <c r="AD15" s="771">
        <f>'2.1'!BD132</f>
        <v>52075100</v>
      </c>
      <c r="AE15" s="771">
        <f>'2.1'!BF132</f>
        <v>51682700</v>
      </c>
      <c r="AF15" s="771">
        <f>'2.1'!BH132</f>
        <v>50402900</v>
      </c>
      <c r="AG15" s="771">
        <f>'2.1'!BJ132</f>
        <v>4000000</v>
      </c>
      <c r="AH15" s="756">
        <f t="shared" ref="AH15:AH31" si="2">AG15+AF15+AE15+AD15+AC15+AB15+AA15+Z15+Y15+X15+W15+V15+U15+T15+S15+R15+Q15+P15</f>
        <v>650629700</v>
      </c>
    </row>
    <row r="16" spans="1:34" x14ac:dyDescent="0.25">
      <c r="A16" s="819"/>
      <c r="B16" s="769">
        <f>'2.2'!B9</f>
        <v>22000</v>
      </c>
      <c r="C16" s="770" t="str">
        <f>'2.2'!C9</f>
        <v xml:space="preserve"> Food and Nutrition Security</v>
      </c>
      <c r="D16" s="754">
        <f>'2.2'!G34</f>
        <v>40154000</v>
      </c>
      <c r="E16" s="754">
        <f>'2.2'!H34</f>
        <v>5510800</v>
      </c>
      <c r="F16" s="754">
        <f>'2.2'!I34</f>
        <v>32123200</v>
      </c>
      <c r="G16" s="754">
        <f>'2.2'!J34</f>
        <v>2520000</v>
      </c>
      <c r="H16" s="754">
        <f>'2.2'!K34</f>
        <v>0</v>
      </c>
      <c r="I16" s="754">
        <f>'2.2'!L34</f>
        <v>0</v>
      </c>
      <c r="J16" s="754">
        <f>'2.2'!M34</f>
        <v>0</v>
      </c>
      <c r="K16" s="754">
        <f>'2.2'!N34</f>
        <v>0</v>
      </c>
      <c r="L16" s="754">
        <f>'2.2'!O34</f>
        <v>0</v>
      </c>
      <c r="M16" s="754">
        <f>'2.2'!P34</f>
        <v>0</v>
      </c>
      <c r="N16" s="754">
        <f>'2.2'!Q34</f>
        <v>0</v>
      </c>
      <c r="O16" s="755">
        <f>N16+M16+L16+K16+J16+I16+H16+G16+F16+E16</f>
        <v>40154000</v>
      </c>
      <c r="P16" s="771">
        <f>'2.2'!AA34</f>
        <v>2300000</v>
      </c>
      <c r="Q16" s="771">
        <f>'2.2'!AC34</f>
        <v>1384000</v>
      </c>
      <c r="R16" s="771">
        <f>'2.2'!AE34</f>
        <v>2605000</v>
      </c>
      <c r="S16" s="771">
        <f>'2.2'!AG34</f>
        <v>3050000</v>
      </c>
      <c r="T16" s="771">
        <f>'2.2'!AI34</f>
        <v>1940000</v>
      </c>
      <c r="U16" s="771">
        <f>'2.2'!AK34</f>
        <v>2245000</v>
      </c>
      <c r="V16" s="771">
        <f>'2.2'!AM34</f>
        <v>2040000</v>
      </c>
      <c r="W16" s="771">
        <f>'2.2'!AO34</f>
        <v>3550000</v>
      </c>
      <c r="X16" s="771">
        <f>'2.2'!AQ34</f>
        <v>910000</v>
      </c>
      <c r="Y16" s="771">
        <f>'2.2'!AS34</f>
        <v>1805000</v>
      </c>
      <c r="Z16" s="771">
        <f>'2.2'!AU34</f>
        <v>2425000</v>
      </c>
      <c r="AA16" s="771">
        <f>'2.2'!AW34</f>
        <v>1975000</v>
      </c>
      <c r="AB16" s="771">
        <f>'2.2'!AY34</f>
        <v>1945000</v>
      </c>
      <c r="AC16" s="771">
        <f>'2.2'!BA34</f>
        <v>2730000</v>
      </c>
      <c r="AD16" s="771">
        <f>'2.2'!BC34</f>
        <v>3500000</v>
      </c>
      <c r="AE16" s="771">
        <f>'2.2'!BE34</f>
        <v>2950000</v>
      </c>
      <c r="AF16" s="771">
        <f>'2.2'!BG34</f>
        <v>2800000</v>
      </c>
      <c r="AG16" s="771">
        <f>'2.2'!BI34</f>
        <v>0</v>
      </c>
      <c r="AH16" s="756">
        <f t="shared" si="2"/>
        <v>40154000</v>
      </c>
    </row>
    <row r="17" spans="1:36" x14ac:dyDescent="0.25">
      <c r="A17" s="819"/>
      <c r="B17" s="769">
        <f>'2.3'!B10</f>
        <v>23100</v>
      </c>
      <c r="C17" s="770" t="str">
        <f>'2.3'!C9</f>
        <v>Livelihoods Improvement</v>
      </c>
      <c r="D17" s="754">
        <f>'2.3'!G56</f>
        <v>221000000</v>
      </c>
      <c r="E17" s="754">
        <f>'2.3'!H56</f>
        <v>13695400</v>
      </c>
      <c r="F17" s="754">
        <f>'2.3'!I56</f>
        <v>174469600</v>
      </c>
      <c r="G17" s="754">
        <f>'2.3'!J56</f>
        <v>1811000</v>
      </c>
      <c r="H17" s="754">
        <f>'2.3'!K56</f>
        <v>0</v>
      </c>
      <c r="I17" s="754">
        <f>'2.3'!L56</f>
        <v>9058200</v>
      </c>
      <c r="J17" s="754">
        <f>'2.3'!M56</f>
        <v>0</v>
      </c>
      <c r="K17" s="754">
        <f>'2.3'!N56</f>
        <v>0</v>
      </c>
      <c r="L17" s="754">
        <f>'2.3'!O56</f>
        <v>0</v>
      </c>
      <c r="M17" s="754">
        <f>'2.3'!P56</f>
        <v>11765800</v>
      </c>
      <c r="N17" s="754">
        <f>'2.3'!Q56</f>
        <v>10200000</v>
      </c>
      <c r="O17" s="755">
        <f>N17+M17+L17+K17+J17+I17+H17+G17+F17+E17</f>
        <v>221000000</v>
      </c>
      <c r="P17" s="646">
        <f>'2.3'!AA56</f>
        <v>9951000</v>
      </c>
      <c r="Q17" s="646">
        <f>'2.3'!AC56</f>
        <v>9369000</v>
      </c>
      <c r="R17" s="646">
        <f>'2.3'!AE56</f>
        <v>12270000</v>
      </c>
      <c r="S17" s="646">
        <f>'2.3'!AG56</f>
        <v>13780000</v>
      </c>
      <c r="T17" s="646">
        <f>'2.3'!AI56</f>
        <v>8018000</v>
      </c>
      <c r="U17" s="646">
        <f>'2.3'!AK56</f>
        <v>10186000</v>
      </c>
      <c r="V17" s="646">
        <f>'2.3'!AM56</f>
        <v>15215000</v>
      </c>
      <c r="W17" s="646">
        <f>'2.3'!AO56</f>
        <v>15598000</v>
      </c>
      <c r="X17" s="646">
        <f>'2.3'!AQ56</f>
        <v>6002000</v>
      </c>
      <c r="Y17" s="646">
        <f>'2.3'!AS56</f>
        <v>8893000</v>
      </c>
      <c r="Z17" s="646">
        <f>'2.3'!AU56</f>
        <v>13416000</v>
      </c>
      <c r="AA17" s="646">
        <f>'2.3'!AW56</f>
        <v>10960000</v>
      </c>
      <c r="AB17" s="646">
        <f>'2.3'!AY56</f>
        <v>11497000</v>
      </c>
      <c r="AC17" s="646">
        <f>'2.3'!BA56</f>
        <v>16569000</v>
      </c>
      <c r="AD17" s="646">
        <f>'2.3'!BC56</f>
        <v>11035000</v>
      </c>
      <c r="AE17" s="646">
        <f>'2.3'!BE56</f>
        <v>18322000</v>
      </c>
      <c r="AF17" s="646">
        <f>'2.3'!BG56</f>
        <v>13672000</v>
      </c>
      <c r="AG17" s="646">
        <f>'2.3'!BI56</f>
        <v>16247000</v>
      </c>
      <c r="AH17" s="756">
        <f t="shared" si="2"/>
        <v>221000000</v>
      </c>
    </row>
    <row r="18" spans="1:36" x14ac:dyDescent="0.25">
      <c r="A18" s="820"/>
      <c r="B18" s="758"/>
      <c r="C18" s="759" t="s">
        <v>3</v>
      </c>
      <c r="D18" s="760">
        <f t="shared" ref="D18:N18" si="3">SUM(D15:D17)</f>
        <v>911783700</v>
      </c>
      <c r="E18" s="760">
        <f t="shared" si="3"/>
        <v>63921700</v>
      </c>
      <c r="F18" s="760">
        <f t="shared" si="3"/>
        <v>434334800</v>
      </c>
      <c r="G18" s="760">
        <f t="shared" si="3"/>
        <v>4331000</v>
      </c>
      <c r="H18" s="760">
        <f t="shared" si="3"/>
        <v>0</v>
      </c>
      <c r="I18" s="760">
        <f t="shared" si="3"/>
        <v>60058200</v>
      </c>
      <c r="J18" s="760">
        <f t="shared" si="3"/>
        <v>170177500</v>
      </c>
      <c r="K18" s="760">
        <f t="shared" si="3"/>
        <v>0</v>
      </c>
      <c r="L18" s="760">
        <f t="shared" si="3"/>
        <v>0</v>
      </c>
      <c r="M18" s="760">
        <f t="shared" si="3"/>
        <v>32160800</v>
      </c>
      <c r="N18" s="760">
        <f t="shared" si="3"/>
        <v>146799700</v>
      </c>
      <c r="O18" s="761">
        <f>SUM(E18:N18)</f>
        <v>911783700</v>
      </c>
      <c r="P18" s="762">
        <f>SUM(P15:P17)</f>
        <v>48647100</v>
      </c>
      <c r="Q18" s="762">
        <f t="shared" ref="Q18:AG18" si="4">SUM(Q15:Q17)</f>
        <v>30916600</v>
      </c>
      <c r="R18" s="762">
        <f t="shared" si="4"/>
        <v>47455650</v>
      </c>
      <c r="S18" s="762">
        <f t="shared" si="4"/>
        <v>75726100</v>
      </c>
      <c r="T18" s="762">
        <f t="shared" si="4"/>
        <v>42201300</v>
      </c>
      <c r="U18" s="762">
        <f t="shared" si="4"/>
        <v>48707950</v>
      </c>
      <c r="V18" s="762">
        <f t="shared" si="4"/>
        <v>47127300</v>
      </c>
      <c r="W18" s="762">
        <f t="shared" si="4"/>
        <v>56637000</v>
      </c>
      <c r="X18" s="762">
        <f t="shared" si="4"/>
        <v>22649800</v>
      </c>
      <c r="Y18" s="762">
        <f t="shared" si="4"/>
        <v>49139600</v>
      </c>
      <c r="Z18" s="762">
        <f t="shared" si="4"/>
        <v>56736900</v>
      </c>
      <c r="AA18" s="762">
        <f t="shared" si="4"/>
        <v>52136750</v>
      </c>
      <c r="AB18" s="762">
        <f t="shared" si="4"/>
        <v>51358850</v>
      </c>
      <c r="AC18" s="762">
        <f t="shared" si="4"/>
        <v>55656100</v>
      </c>
      <c r="AD18" s="762">
        <f t="shared" si="4"/>
        <v>66610100</v>
      </c>
      <c r="AE18" s="762">
        <f t="shared" si="4"/>
        <v>72954700</v>
      </c>
      <c r="AF18" s="762">
        <f t="shared" si="4"/>
        <v>66874900</v>
      </c>
      <c r="AG18" s="762">
        <f t="shared" si="4"/>
        <v>20247000</v>
      </c>
      <c r="AH18" s="762">
        <f t="shared" si="2"/>
        <v>911783700</v>
      </c>
    </row>
    <row r="19" spans="1:36" ht="13.5" customHeight="1" x14ac:dyDescent="0.25">
      <c r="A19" s="740"/>
      <c r="B19" s="763"/>
      <c r="C19" s="764"/>
      <c r="D19" s="765"/>
      <c r="E19" s="765"/>
      <c r="F19" s="765"/>
      <c r="G19" s="765"/>
      <c r="H19" s="765"/>
      <c r="I19" s="765"/>
      <c r="J19" s="765"/>
      <c r="K19" s="765"/>
      <c r="L19" s="766"/>
      <c r="M19" s="766"/>
      <c r="N19" s="766"/>
      <c r="O19" s="755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762"/>
    </row>
    <row r="20" spans="1:36" ht="31.5" x14ac:dyDescent="0.25">
      <c r="A20" s="818">
        <v>3</v>
      </c>
      <c r="B20" s="747">
        <v>30000</v>
      </c>
      <c r="C20" s="748" t="s">
        <v>202</v>
      </c>
      <c r="D20" s="768"/>
      <c r="E20" s="768"/>
      <c r="F20" s="768"/>
      <c r="G20" s="768"/>
      <c r="H20" s="768"/>
      <c r="I20" s="768"/>
      <c r="J20" s="768"/>
      <c r="K20" s="768"/>
      <c r="L20" s="766"/>
      <c r="M20" s="766"/>
      <c r="N20" s="766"/>
      <c r="O20" s="755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762"/>
    </row>
    <row r="21" spans="1:36" x14ac:dyDescent="0.25">
      <c r="A21" s="819"/>
      <c r="B21" s="752">
        <f>'3.1 '!C9</f>
        <v>31000</v>
      </c>
      <c r="C21" s="770" t="str">
        <f>'3.1 '!D9</f>
        <v>Community Infrastructure</v>
      </c>
      <c r="D21" s="754">
        <f>'3.1 '!H53</f>
        <v>444184000</v>
      </c>
      <c r="E21" s="754">
        <f>'3.1 '!I53</f>
        <v>17357000</v>
      </c>
      <c r="F21" s="754">
        <f>'3.1 '!J53</f>
        <v>75600000</v>
      </c>
      <c r="G21" s="754">
        <f>'3.1 '!K53</f>
        <v>43095000</v>
      </c>
      <c r="H21" s="754">
        <f>'3.1 '!L53</f>
        <v>55000000</v>
      </c>
      <c r="I21" s="754">
        <f>'3.1 '!M53</f>
        <v>250957000</v>
      </c>
      <c r="J21" s="754">
        <f>'3.1 '!N53</f>
        <v>720000</v>
      </c>
      <c r="K21" s="754">
        <f>'3.1 '!O53</f>
        <v>0</v>
      </c>
      <c r="L21" s="754">
        <f>'3.1 '!P53</f>
        <v>0</v>
      </c>
      <c r="M21" s="754">
        <f>'3.1 '!Q53</f>
        <v>1455000</v>
      </c>
      <c r="N21" s="754">
        <f>'3.1 '!R53</f>
        <v>0</v>
      </c>
      <c r="O21" s="755">
        <f>N21+M21+L21+K21+J21+I21+H21+G21+F21+E21</f>
        <v>444184000</v>
      </c>
      <c r="P21" s="772">
        <f>'3.1 '!AB53</f>
        <v>33306000</v>
      </c>
      <c r="Q21" s="772">
        <f>'3.1 '!AD53</f>
        <v>17874000</v>
      </c>
      <c r="R21" s="772">
        <f>'3.1 '!AF53</f>
        <v>28378000</v>
      </c>
      <c r="S21" s="772">
        <f>'3.1 '!AH53</f>
        <v>40554000</v>
      </c>
      <c r="T21" s="772">
        <f>'3.1 '!AJ53</f>
        <v>19608000</v>
      </c>
      <c r="U21" s="772">
        <f>'3.1 '!AL53</f>
        <v>30664000</v>
      </c>
      <c r="V21" s="772">
        <f>'3.1 '!AN53</f>
        <v>20702000</v>
      </c>
      <c r="W21" s="772">
        <f>'3.1 '!AP53</f>
        <v>19004000</v>
      </c>
      <c r="X21" s="772">
        <f>'3.1 '!AR53</f>
        <v>18948000</v>
      </c>
      <c r="Y21" s="772">
        <f>'3.1 '!AT53</f>
        <v>30766000</v>
      </c>
      <c r="Z21" s="772">
        <f>'3.1 '!AV53</f>
        <v>28586000</v>
      </c>
      <c r="AA21" s="772">
        <f>'3.1 '!AX53</f>
        <v>24500000</v>
      </c>
      <c r="AB21" s="772">
        <f>'3.1 '!AZ53</f>
        <v>23770000</v>
      </c>
      <c r="AC21" s="772">
        <f>'3.1 '!BB53</f>
        <v>23436000</v>
      </c>
      <c r="AD21" s="772">
        <f>'3.1 '!BD53</f>
        <v>32534000</v>
      </c>
      <c r="AE21" s="772">
        <f>'3.1 '!BF53</f>
        <v>19178000</v>
      </c>
      <c r="AF21" s="772">
        <f>'3.1 '!BH53</f>
        <v>32376000</v>
      </c>
      <c r="AG21" s="772">
        <f>'3.1 '!BJ53</f>
        <v>0</v>
      </c>
      <c r="AH21" s="756">
        <f t="shared" si="2"/>
        <v>444184000</v>
      </c>
    </row>
    <row r="22" spans="1:36" x14ac:dyDescent="0.25">
      <c r="A22" s="819"/>
      <c r="B22" s="752">
        <f>'3.2 '!B10</f>
        <v>32000</v>
      </c>
      <c r="C22" s="770" t="str">
        <f>'3.2 '!C10</f>
        <v>Drudgery Reduction</v>
      </c>
      <c r="D22" s="754">
        <f>'3.2 '!G52</f>
        <v>231620000</v>
      </c>
      <c r="E22" s="754">
        <f>'3.2 '!H52</f>
        <v>14903000</v>
      </c>
      <c r="F22" s="754">
        <f>'3.2 '!I52</f>
        <v>143696000</v>
      </c>
      <c r="G22" s="754">
        <f>'3.2 '!J52</f>
        <v>0</v>
      </c>
      <c r="H22" s="754">
        <f>'3.2 '!K52</f>
        <v>0</v>
      </c>
      <c r="I22" s="754">
        <f>'3.2 '!L52</f>
        <v>58178000</v>
      </c>
      <c r="J22" s="754">
        <f>'3.2 '!M52</f>
        <v>0</v>
      </c>
      <c r="K22" s="754">
        <f>'3.2 '!N52</f>
        <v>0</v>
      </c>
      <c r="L22" s="754">
        <f>'3.2 '!O52</f>
        <v>0</v>
      </c>
      <c r="M22" s="754">
        <f>'3.2 '!P52</f>
        <v>14843000</v>
      </c>
      <c r="N22" s="754">
        <f>'3.2 '!Q52</f>
        <v>0</v>
      </c>
      <c r="O22" s="755">
        <f>N22+M22+L22+K22+J22+I22+H22+G22+F22+E22</f>
        <v>231620000</v>
      </c>
      <c r="P22" s="772">
        <f>'3.2 '!AA52</f>
        <v>16975000</v>
      </c>
      <c r="Q22" s="772">
        <f>'3.2 '!AC52</f>
        <v>6970000</v>
      </c>
      <c r="R22" s="772">
        <f>'3.2 '!AE52</f>
        <v>6000000</v>
      </c>
      <c r="S22" s="772">
        <f>'3.2 '!AG52</f>
        <v>20790000</v>
      </c>
      <c r="T22" s="772">
        <f>'3.2 '!AI52</f>
        <v>12215000</v>
      </c>
      <c r="U22" s="772">
        <f>'3.2 '!AK52</f>
        <v>21070000</v>
      </c>
      <c r="V22" s="772">
        <f>'3.2 '!AM52</f>
        <v>8500000</v>
      </c>
      <c r="W22" s="772">
        <f>'3.2 '!AO52</f>
        <v>12850000</v>
      </c>
      <c r="X22" s="772">
        <f>'3.2 '!AQ52</f>
        <v>6520000</v>
      </c>
      <c r="Y22" s="772">
        <f>'3.2 '!AS52</f>
        <v>22400000</v>
      </c>
      <c r="Z22" s="772">
        <f>'3.2 '!AU52</f>
        <v>6150000</v>
      </c>
      <c r="AA22" s="772">
        <f>'3.2 '!AW52</f>
        <v>11100000</v>
      </c>
      <c r="AB22" s="772">
        <f>'3.2 '!AY52</f>
        <v>6300000</v>
      </c>
      <c r="AC22" s="772">
        <f>'3.2 '!BA52</f>
        <v>28460000</v>
      </c>
      <c r="AD22" s="772">
        <f>'3.2 '!BC52</f>
        <v>12650000</v>
      </c>
      <c r="AE22" s="772">
        <f>'3.2 '!BE52</f>
        <v>24200000</v>
      </c>
      <c r="AF22" s="772">
        <f>'3.2 '!BG52</f>
        <v>8170000</v>
      </c>
      <c r="AG22" s="772">
        <f>'3.2 '!BI52</f>
        <v>300000</v>
      </c>
      <c r="AH22" s="756">
        <f t="shared" si="2"/>
        <v>231620000</v>
      </c>
    </row>
    <row r="23" spans="1:36" x14ac:dyDescent="0.25">
      <c r="A23" s="820"/>
      <c r="B23" s="758"/>
      <c r="C23" s="759" t="s">
        <v>3</v>
      </c>
      <c r="D23" s="760">
        <f>SUM(D21:D22)</f>
        <v>675804000</v>
      </c>
      <c r="E23" s="760">
        <f t="shared" ref="E23:N23" si="5">SUM(E21:E22)</f>
        <v>32260000</v>
      </c>
      <c r="F23" s="760">
        <f t="shared" si="5"/>
        <v>219296000</v>
      </c>
      <c r="G23" s="760">
        <f t="shared" si="5"/>
        <v>43095000</v>
      </c>
      <c r="H23" s="760">
        <f t="shared" si="5"/>
        <v>55000000</v>
      </c>
      <c r="I23" s="760">
        <f t="shared" si="5"/>
        <v>309135000</v>
      </c>
      <c r="J23" s="760">
        <f t="shared" si="5"/>
        <v>720000</v>
      </c>
      <c r="K23" s="760">
        <f t="shared" si="5"/>
        <v>0</v>
      </c>
      <c r="L23" s="760">
        <f t="shared" si="5"/>
        <v>0</v>
      </c>
      <c r="M23" s="760">
        <f t="shared" si="5"/>
        <v>16298000</v>
      </c>
      <c r="N23" s="760">
        <f t="shared" si="5"/>
        <v>0</v>
      </c>
      <c r="O23" s="761">
        <f>SUM(E23:N23)</f>
        <v>675804000</v>
      </c>
      <c r="P23" s="773">
        <f>SUM(P21:P22)</f>
        <v>50281000</v>
      </c>
      <c r="Q23" s="773">
        <f t="shared" ref="Q23:AG23" si="6">SUM(Q21:Q22)</f>
        <v>24844000</v>
      </c>
      <c r="R23" s="773">
        <f t="shared" si="6"/>
        <v>34378000</v>
      </c>
      <c r="S23" s="773">
        <f t="shared" si="6"/>
        <v>61344000</v>
      </c>
      <c r="T23" s="773">
        <f t="shared" si="6"/>
        <v>31823000</v>
      </c>
      <c r="U23" s="773">
        <f t="shared" si="6"/>
        <v>51734000</v>
      </c>
      <c r="V23" s="773">
        <f t="shared" si="6"/>
        <v>29202000</v>
      </c>
      <c r="W23" s="773">
        <f t="shared" si="6"/>
        <v>31854000</v>
      </c>
      <c r="X23" s="773">
        <f t="shared" si="6"/>
        <v>25468000</v>
      </c>
      <c r="Y23" s="773">
        <f t="shared" si="6"/>
        <v>53166000</v>
      </c>
      <c r="Z23" s="773">
        <f t="shared" si="6"/>
        <v>34736000</v>
      </c>
      <c r="AA23" s="773">
        <f t="shared" si="6"/>
        <v>35600000</v>
      </c>
      <c r="AB23" s="773">
        <f t="shared" si="6"/>
        <v>30070000</v>
      </c>
      <c r="AC23" s="773">
        <f t="shared" si="6"/>
        <v>51896000</v>
      </c>
      <c r="AD23" s="773">
        <f t="shared" si="6"/>
        <v>45184000</v>
      </c>
      <c r="AE23" s="773">
        <f t="shared" si="6"/>
        <v>43378000</v>
      </c>
      <c r="AF23" s="773">
        <f t="shared" si="6"/>
        <v>40546000</v>
      </c>
      <c r="AG23" s="773">
        <f t="shared" si="6"/>
        <v>300000</v>
      </c>
      <c r="AH23" s="762">
        <f t="shared" si="2"/>
        <v>675804000</v>
      </c>
    </row>
    <row r="24" spans="1:36" x14ac:dyDescent="0.25">
      <c r="A24" s="740"/>
      <c r="B24" s="763"/>
      <c r="C24" s="764"/>
      <c r="D24" s="765"/>
      <c r="E24" s="765"/>
      <c r="F24" s="765"/>
      <c r="G24" s="765"/>
      <c r="H24" s="765"/>
      <c r="I24" s="765"/>
      <c r="J24" s="765"/>
      <c r="K24" s="765"/>
      <c r="L24" s="766"/>
      <c r="M24" s="766"/>
      <c r="N24" s="766"/>
      <c r="O24" s="755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756"/>
    </row>
    <row r="25" spans="1:36" x14ac:dyDescent="0.25">
      <c r="A25" s="818">
        <v>4</v>
      </c>
      <c r="B25" s="747">
        <v>40000</v>
      </c>
      <c r="C25" s="748" t="str">
        <f>'4.1 '!C5:Q5</f>
        <v>Programme Management</v>
      </c>
      <c r="D25" s="768"/>
      <c r="E25" s="768"/>
      <c r="F25" s="768"/>
      <c r="G25" s="768"/>
      <c r="H25" s="768"/>
      <c r="I25" s="768"/>
      <c r="J25" s="768"/>
      <c r="K25" s="768"/>
      <c r="L25" s="774"/>
      <c r="M25" s="774"/>
      <c r="N25" s="774"/>
      <c r="O25" s="775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756"/>
    </row>
    <row r="26" spans="1:36" ht="15.75" customHeight="1" x14ac:dyDescent="0.25">
      <c r="A26" s="819"/>
      <c r="B26" s="752">
        <v>41000</v>
      </c>
      <c r="C26" s="753" t="str">
        <f>'4.1 '!C10</f>
        <v xml:space="preserve"> Project Management Unit</v>
      </c>
      <c r="D26" s="766">
        <f>'4.1 '!G117</f>
        <v>59242000</v>
      </c>
      <c r="E26" s="766">
        <f>'4.1 '!H117</f>
        <v>24038000</v>
      </c>
      <c r="F26" s="766">
        <f>'4.1 '!I117</f>
        <v>35204000</v>
      </c>
      <c r="G26" s="766">
        <f>'4.1 '!J117</f>
        <v>0</v>
      </c>
      <c r="H26" s="766">
        <f>'4.1 '!K117</f>
        <v>0</v>
      </c>
      <c r="I26" s="766">
        <f>'4.1 '!L117</f>
        <v>0</v>
      </c>
      <c r="J26" s="766">
        <f>'4.1 '!M117</f>
        <v>0</v>
      </c>
      <c r="K26" s="766">
        <f>'4.1 '!N117</f>
        <v>0</v>
      </c>
      <c r="L26" s="766">
        <f>'4.1 '!O117</f>
        <v>0</v>
      </c>
      <c r="M26" s="766">
        <f>'4.1 '!P117</f>
        <v>0</v>
      </c>
      <c r="N26" s="766">
        <f>'4.1 '!Q117</f>
        <v>0</v>
      </c>
      <c r="O26" s="757">
        <f>N26+M26+L26+K26+J26+I26+H26+G26+F26+E26</f>
        <v>59242000</v>
      </c>
      <c r="P26" s="756">
        <f>'4.1 '!AA117</f>
        <v>0</v>
      </c>
      <c r="Q26" s="756">
        <f>'4.1 '!AC117</f>
        <v>0</v>
      </c>
      <c r="R26" s="756">
        <f>'4.1 '!AE117</f>
        <v>0</v>
      </c>
      <c r="S26" s="756">
        <f>'4.1 '!AG117</f>
        <v>0</v>
      </c>
      <c r="T26" s="756">
        <f>'4.1 '!AI117</f>
        <v>0</v>
      </c>
      <c r="U26" s="756">
        <f>'4.1 '!AK117</f>
        <v>0</v>
      </c>
      <c r="V26" s="756">
        <f>'4.1 '!AM117</f>
        <v>0</v>
      </c>
      <c r="W26" s="756">
        <f>'4.1 '!AO117</f>
        <v>0</v>
      </c>
      <c r="X26" s="756">
        <f>'4.1 '!AQ117</f>
        <v>0</v>
      </c>
      <c r="Y26" s="756">
        <f>'4.1 '!AS117</f>
        <v>0</v>
      </c>
      <c r="Z26" s="756">
        <f>'4.1 '!AU117</f>
        <v>0</v>
      </c>
      <c r="AA26" s="756">
        <f>'4.1 '!AW117</f>
        <v>0</v>
      </c>
      <c r="AB26" s="756">
        <f>'4.1 '!AY117</f>
        <v>0</v>
      </c>
      <c r="AC26" s="756">
        <f>'4.1 '!BC117</f>
        <v>0</v>
      </c>
      <c r="AD26" s="756">
        <f>'4.1 '!BC117</f>
        <v>0</v>
      </c>
      <c r="AE26" s="756">
        <f>'4.1 '!BE117</f>
        <v>0</v>
      </c>
      <c r="AF26" s="756">
        <f>'4.1 '!BG117</f>
        <v>0</v>
      </c>
      <c r="AG26" s="756">
        <f>'4.1 '!BI117</f>
        <v>59242000</v>
      </c>
      <c r="AH26" s="756">
        <f t="shared" si="2"/>
        <v>59242000</v>
      </c>
    </row>
    <row r="27" spans="1:36" ht="15.75" customHeight="1" x14ac:dyDescent="0.25">
      <c r="A27" s="819"/>
      <c r="B27" s="752">
        <f>'4.2'!B10</f>
        <v>42000</v>
      </c>
      <c r="C27" s="776" t="str">
        <f>'4.2'!C10</f>
        <v>Micro-Project Agency  Unit</v>
      </c>
      <c r="D27" s="766">
        <f>'4.2'!G112</f>
        <v>94103900</v>
      </c>
      <c r="E27" s="766">
        <f>'4.2'!H112</f>
        <v>35748700</v>
      </c>
      <c r="F27" s="766">
        <f>'4.2'!I112</f>
        <v>58355200</v>
      </c>
      <c r="G27" s="766">
        <f>'4.2'!J112</f>
        <v>0</v>
      </c>
      <c r="H27" s="766">
        <f>'4.2'!K112</f>
        <v>0</v>
      </c>
      <c r="I27" s="766">
        <f>'4.2'!L112</f>
        <v>0</v>
      </c>
      <c r="J27" s="766">
        <f>'4.2'!M112</f>
        <v>0</v>
      </c>
      <c r="K27" s="766">
        <f>'4.2'!N112</f>
        <v>0</v>
      </c>
      <c r="L27" s="766">
        <f>'4.2'!O112</f>
        <v>0</v>
      </c>
      <c r="M27" s="766">
        <f>'4.2'!P112</f>
        <v>0</v>
      </c>
      <c r="N27" s="766">
        <f>'4.2'!Q112</f>
        <v>0</v>
      </c>
      <c r="O27" s="757">
        <f>N27+M27+L27+K27+J27+I27+H27+G27+F27+E27</f>
        <v>94103900</v>
      </c>
      <c r="P27" s="646">
        <f>'4.2'!AA112</f>
        <v>8085200</v>
      </c>
      <c r="Q27" s="646">
        <f>'4.2'!AC112</f>
        <v>5685200</v>
      </c>
      <c r="R27" s="646">
        <f>'4.2'!AE112</f>
        <v>5065200</v>
      </c>
      <c r="S27" s="646">
        <f>'4.2'!AG112</f>
        <v>3875200</v>
      </c>
      <c r="T27" s="646">
        <f>'4.2'!AI112</f>
        <v>4005200</v>
      </c>
      <c r="U27" s="646">
        <f>'4.2'!AK112</f>
        <v>6085200</v>
      </c>
      <c r="V27" s="646">
        <f>'4.2'!AM112</f>
        <v>5185200</v>
      </c>
      <c r="W27" s="646">
        <f>'4.2'!AO112</f>
        <v>6210200</v>
      </c>
      <c r="X27" s="646">
        <f>'4.2'!AQ112</f>
        <v>3675200</v>
      </c>
      <c r="Y27" s="646">
        <f>'4.2'!AS112</f>
        <v>4315200</v>
      </c>
      <c r="Z27" s="646">
        <f>'4.2'!AU112</f>
        <v>4515200</v>
      </c>
      <c r="AA27" s="646">
        <f>'4.2'!AW112</f>
        <v>5215200</v>
      </c>
      <c r="AB27" s="646">
        <f>'4.2'!AY112</f>
        <v>3875200</v>
      </c>
      <c r="AC27" s="646">
        <f>'4.2'!BA112</f>
        <v>4465200</v>
      </c>
      <c r="AD27" s="646">
        <f>'4.2'!BC112</f>
        <v>4097700</v>
      </c>
      <c r="AE27" s="646">
        <f>'4.2'!BE112</f>
        <v>6285200</v>
      </c>
      <c r="AF27" s="646">
        <f>'4.2'!BG112</f>
        <v>5885200</v>
      </c>
      <c r="AG27" s="646">
        <f>'4.2'!BI112</f>
        <v>7578000</v>
      </c>
      <c r="AH27" s="756">
        <f t="shared" si="2"/>
        <v>94103900</v>
      </c>
    </row>
    <row r="28" spans="1:36" ht="31.5" x14ac:dyDescent="0.25">
      <c r="A28" s="819"/>
      <c r="B28" s="752">
        <f>'4.3 '!B10</f>
        <v>43000</v>
      </c>
      <c r="C28" s="787" t="str">
        <f>'4.3 '!C10</f>
        <v>Monitoring and Evaluation and KM</v>
      </c>
      <c r="D28" s="766">
        <f>'4.3 '!G42</f>
        <v>7925000</v>
      </c>
      <c r="E28" s="766">
        <f>'4.3 '!H42</f>
        <v>1585000</v>
      </c>
      <c r="F28" s="766">
        <f>'4.3 '!I42</f>
        <v>6340000</v>
      </c>
      <c r="G28" s="766">
        <f>'4.3 '!J42</f>
        <v>0</v>
      </c>
      <c r="H28" s="766">
        <f>'4.3 '!K42</f>
        <v>0</v>
      </c>
      <c r="I28" s="766">
        <f>'4.3 '!L42</f>
        <v>0</v>
      </c>
      <c r="J28" s="766">
        <f>'4.3 '!M42</f>
        <v>0</v>
      </c>
      <c r="K28" s="766">
        <f>'4.3 '!N42</f>
        <v>0</v>
      </c>
      <c r="L28" s="766">
        <f>'4.3 '!O42</f>
        <v>0</v>
      </c>
      <c r="M28" s="766">
        <f>'4.3 '!P42</f>
        <v>0</v>
      </c>
      <c r="N28" s="766">
        <f>'4.3 '!Q42</f>
        <v>0</v>
      </c>
      <c r="O28" s="757">
        <f>N28+M28+L28+K28+J28+I28+H28+G28+F28+E28</f>
        <v>7925000</v>
      </c>
      <c r="P28" s="756">
        <f>'4.3 '!AA42</f>
        <v>90000</v>
      </c>
      <c r="Q28" s="756">
        <f>'4.3 '!AC42</f>
        <v>85000</v>
      </c>
      <c r="R28" s="756">
        <f>'4.3 '!AE42</f>
        <v>90000</v>
      </c>
      <c r="S28" s="756">
        <f>'4.3 '!AG42</f>
        <v>95000</v>
      </c>
      <c r="T28" s="756">
        <f>'4.3 '!AI42</f>
        <v>80000</v>
      </c>
      <c r="U28" s="756">
        <f>'4.3 '!AK42</f>
        <v>90000</v>
      </c>
      <c r="V28" s="756">
        <f>'4.3 '!AM42</f>
        <v>95000</v>
      </c>
      <c r="W28" s="756">
        <f>'4.3 '!AO42</f>
        <v>110000</v>
      </c>
      <c r="X28" s="756">
        <f>'4.3 '!AQ42</f>
        <v>80000</v>
      </c>
      <c r="Y28" s="756">
        <f>'4.3 '!AS42</f>
        <v>85000</v>
      </c>
      <c r="Z28" s="756">
        <f>'4.3 '!AU42</f>
        <v>100000</v>
      </c>
      <c r="AA28" s="756">
        <f>'4.3 '!AW42</f>
        <v>95000</v>
      </c>
      <c r="AB28" s="756">
        <f>'4.3 '!AY42</f>
        <v>115000</v>
      </c>
      <c r="AC28" s="756">
        <f>'4.3 '!BA42</f>
        <v>115000</v>
      </c>
      <c r="AD28" s="756">
        <f>'4.3 '!BC42</f>
        <v>85000</v>
      </c>
      <c r="AE28" s="756">
        <f>'4.3 '!BE42</f>
        <v>130000</v>
      </c>
      <c r="AF28" s="756">
        <f>'4.3 '!BG42</f>
        <v>100000</v>
      </c>
      <c r="AG28" s="756">
        <f>'4.3 '!BI42</f>
        <v>6285000</v>
      </c>
      <c r="AH28" s="756">
        <f t="shared" si="2"/>
        <v>7925000</v>
      </c>
    </row>
    <row r="29" spans="1:36" x14ac:dyDescent="0.25">
      <c r="A29" s="820"/>
      <c r="B29" s="758"/>
      <c r="C29" s="759" t="s">
        <v>3</v>
      </c>
      <c r="D29" s="774">
        <f>SUM(D26:D28)</f>
        <v>161270900</v>
      </c>
      <c r="E29" s="774">
        <f t="shared" ref="E29:N29" si="7">SUM(E26:E28)</f>
        <v>61371700</v>
      </c>
      <c r="F29" s="774">
        <f t="shared" si="7"/>
        <v>99899200</v>
      </c>
      <c r="G29" s="774">
        <f t="shared" si="7"/>
        <v>0</v>
      </c>
      <c r="H29" s="774">
        <f t="shared" si="7"/>
        <v>0</v>
      </c>
      <c r="I29" s="774">
        <f t="shared" si="7"/>
        <v>0</v>
      </c>
      <c r="J29" s="774">
        <f t="shared" si="7"/>
        <v>0</v>
      </c>
      <c r="K29" s="774">
        <f t="shared" si="7"/>
        <v>0</v>
      </c>
      <c r="L29" s="774">
        <f t="shared" si="7"/>
        <v>0</v>
      </c>
      <c r="M29" s="774">
        <f t="shared" si="7"/>
        <v>0</v>
      </c>
      <c r="N29" s="774">
        <f t="shared" si="7"/>
        <v>0</v>
      </c>
      <c r="O29" s="761">
        <f>SUM(E29:N29)</f>
        <v>161270900</v>
      </c>
      <c r="P29" s="762">
        <f>SUM(P26:P28)</f>
        <v>8175200</v>
      </c>
      <c r="Q29" s="762">
        <f t="shared" ref="Q29:AG29" si="8">SUM(Q26:Q28)</f>
        <v>5770200</v>
      </c>
      <c r="R29" s="762">
        <f t="shared" si="8"/>
        <v>5155200</v>
      </c>
      <c r="S29" s="762">
        <f t="shared" si="8"/>
        <v>3970200</v>
      </c>
      <c r="T29" s="762">
        <f t="shared" si="8"/>
        <v>4085200</v>
      </c>
      <c r="U29" s="762">
        <f t="shared" si="8"/>
        <v>6175200</v>
      </c>
      <c r="V29" s="762">
        <f t="shared" si="8"/>
        <v>5280200</v>
      </c>
      <c r="W29" s="762">
        <f t="shared" si="8"/>
        <v>6320200</v>
      </c>
      <c r="X29" s="762">
        <f t="shared" si="8"/>
        <v>3755200</v>
      </c>
      <c r="Y29" s="762">
        <f t="shared" si="8"/>
        <v>4400200</v>
      </c>
      <c r="Z29" s="762">
        <f t="shared" si="8"/>
        <v>4615200</v>
      </c>
      <c r="AA29" s="762">
        <f t="shared" si="8"/>
        <v>5310200</v>
      </c>
      <c r="AB29" s="762">
        <f t="shared" si="8"/>
        <v>3990200</v>
      </c>
      <c r="AC29" s="762">
        <f t="shared" si="8"/>
        <v>4580200</v>
      </c>
      <c r="AD29" s="762">
        <f t="shared" si="8"/>
        <v>4182700</v>
      </c>
      <c r="AE29" s="762">
        <f t="shared" si="8"/>
        <v>6415200</v>
      </c>
      <c r="AF29" s="762">
        <f t="shared" si="8"/>
        <v>5985200</v>
      </c>
      <c r="AG29" s="762">
        <f t="shared" si="8"/>
        <v>73105000</v>
      </c>
      <c r="AH29" s="762">
        <f t="shared" si="2"/>
        <v>161270900</v>
      </c>
    </row>
    <row r="30" spans="1:36" x14ac:dyDescent="0.25">
      <c r="A30" s="740"/>
      <c r="B30" s="740"/>
      <c r="C30" s="740"/>
      <c r="D30" s="766"/>
      <c r="E30" s="766"/>
      <c r="F30" s="766"/>
      <c r="G30" s="766"/>
      <c r="H30" s="766"/>
      <c r="I30" s="766"/>
      <c r="J30" s="766"/>
      <c r="K30" s="766"/>
      <c r="L30" s="777"/>
      <c r="M30" s="777"/>
      <c r="N30" s="777"/>
      <c r="O30" s="778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756"/>
    </row>
    <row r="31" spans="1:36" x14ac:dyDescent="0.25">
      <c r="A31" s="821" t="s">
        <v>4</v>
      </c>
      <c r="B31" s="822"/>
      <c r="C31" s="823"/>
      <c r="D31" s="774">
        <f>D29+D23+D18+D12</f>
        <v>1996272800</v>
      </c>
      <c r="E31" s="774">
        <f t="shared" ref="E31:N31" si="9">E29+E23+E18+E12</f>
        <v>229819440</v>
      </c>
      <c r="F31" s="774">
        <f t="shared" si="9"/>
        <v>928678160</v>
      </c>
      <c r="G31" s="774">
        <f t="shared" si="9"/>
        <v>47426000</v>
      </c>
      <c r="H31" s="774">
        <f t="shared" si="9"/>
        <v>55000000</v>
      </c>
      <c r="I31" s="774">
        <f t="shared" si="9"/>
        <v>369193200</v>
      </c>
      <c r="J31" s="774">
        <f t="shared" si="9"/>
        <v>170897500</v>
      </c>
      <c r="K31" s="774">
        <f t="shared" si="9"/>
        <v>0</v>
      </c>
      <c r="L31" s="774">
        <f t="shared" si="9"/>
        <v>0</v>
      </c>
      <c r="M31" s="774">
        <f t="shared" si="9"/>
        <v>48458800</v>
      </c>
      <c r="N31" s="774">
        <f t="shared" si="9"/>
        <v>146799700</v>
      </c>
      <c r="O31" s="761">
        <f>O29+O23+O18+O12</f>
        <v>1996272800</v>
      </c>
      <c r="P31" s="762">
        <f>P12+P18+P23+P29</f>
        <v>117659650</v>
      </c>
      <c r="Q31" s="762">
        <f t="shared" ref="Q31:AG31" si="10">Q12+Q18+Q23+Q29</f>
        <v>70768700</v>
      </c>
      <c r="R31" s="762">
        <f t="shared" si="10"/>
        <v>97914900</v>
      </c>
      <c r="S31" s="762">
        <f t="shared" si="10"/>
        <v>153032450</v>
      </c>
      <c r="T31" s="762">
        <f t="shared" si="10"/>
        <v>88922600</v>
      </c>
      <c r="U31" s="762">
        <f t="shared" si="10"/>
        <v>118184800</v>
      </c>
      <c r="V31" s="762">
        <f t="shared" si="10"/>
        <v>92431150</v>
      </c>
      <c r="W31" s="762">
        <f t="shared" si="10"/>
        <v>114063200</v>
      </c>
      <c r="X31" s="762">
        <f t="shared" si="10"/>
        <v>60255700</v>
      </c>
      <c r="Y31" s="762">
        <f t="shared" si="10"/>
        <v>116460950</v>
      </c>
      <c r="Z31" s="762">
        <f t="shared" si="10"/>
        <v>106989100</v>
      </c>
      <c r="AA31" s="762">
        <f t="shared" si="10"/>
        <v>104020250</v>
      </c>
      <c r="AB31" s="762">
        <f t="shared" si="10"/>
        <v>97110600</v>
      </c>
      <c r="AC31" s="762">
        <f t="shared" si="10"/>
        <v>123589400</v>
      </c>
      <c r="AD31" s="762">
        <f t="shared" si="10"/>
        <v>131127550</v>
      </c>
      <c r="AE31" s="762">
        <f t="shared" si="10"/>
        <v>149831650</v>
      </c>
      <c r="AF31" s="762">
        <f t="shared" si="10"/>
        <v>127009650</v>
      </c>
      <c r="AG31" s="762">
        <f t="shared" si="10"/>
        <v>126900500</v>
      </c>
      <c r="AH31" s="762">
        <f t="shared" si="2"/>
        <v>1996272800</v>
      </c>
      <c r="AJ31" s="708">
        <f>AH29+AH23+AH18+AH12</f>
        <v>1996272800</v>
      </c>
    </row>
    <row r="32" spans="1:36" x14ac:dyDescent="0.25">
      <c r="A32" s="740"/>
      <c r="B32" s="740"/>
      <c r="C32" s="740"/>
      <c r="D32" s="741"/>
      <c r="E32" s="741"/>
      <c r="F32" s="741"/>
      <c r="G32" s="741"/>
      <c r="H32" s="741"/>
      <c r="I32" s="741"/>
      <c r="J32" s="741"/>
      <c r="K32" s="741"/>
      <c r="L32" s="740"/>
      <c r="M32" s="740"/>
      <c r="N32" s="740"/>
      <c r="O32" s="740"/>
    </row>
    <row r="33" spans="1:15" hidden="1" x14ac:dyDescent="0.25">
      <c r="A33" s="779" t="s">
        <v>456</v>
      </c>
      <c r="B33" s="780"/>
      <c r="C33" s="780"/>
      <c r="D33" s="780"/>
      <c r="E33" s="780"/>
      <c r="F33" s="780"/>
      <c r="G33" s="780"/>
      <c r="H33" s="780"/>
      <c r="I33" s="780"/>
      <c r="J33" s="780"/>
      <c r="K33" s="780"/>
      <c r="L33" s="781"/>
      <c r="M33" s="782"/>
      <c r="N33" s="781"/>
      <c r="O33" s="781"/>
    </row>
    <row r="34" spans="1:15" x14ac:dyDescent="0.25">
      <c r="A34" s="783"/>
      <c r="B34" s="815"/>
      <c r="C34" s="815"/>
      <c r="D34" s="815"/>
      <c r="E34" s="784"/>
      <c r="F34" s="784"/>
      <c r="G34" s="784"/>
      <c r="H34" s="784"/>
      <c r="I34" s="784"/>
      <c r="J34" s="784"/>
      <c r="K34" s="784"/>
      <c r="L34" s="783"/>
      <c r="M34" s="783"/>
      <c r="N34" s="783"/>
      <c r="O34" s="783"/>
    </row>
    <row r="35" spans="1:15" x14ac:dyDescent="0.25">
      <c r="A35" s="783"/>
      <c r="B35" s="783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5"/>
      <c r="O35" s="783"/>
    </row>
    <row r="36" spans="1:15" x14ac:dyDescent="0.25">
      <c r="O36" s="786"/>
    </row>
    <row r="38" spans="1:15" x14ac:dyDescent="0.25">
      <c r="O38" s="708"/>
    </row>
  </sheetData>
  <mergeCells count="16">
    <mergeCell ref="B34:D34"/>
    <mergeCell ref="A8:C8"/>
    <mergeCell ref="A9:A12"/>
    <mergeCell ref="A14:A18"/>
    <mergeCell ref="A20:A23"/>
    <mergeCell ref="A25:A29"/>
    <mergeCell ref="A31:C31"/>
    <mergeCell ref="A1:O1"/>
    <mergeCell ref="A2:O2"/>
    <mergeCell ref="A3:O3"/>
    <mergeCell ref="A4:O4"/>
    <mergeCell ref="A6:A7"/>
    <mergeCell ref="B6:B7"/>
    <mergeCell ref="C6:C7"/>
    <mergeCell ref="D6:D7"/>
    <mergeCell ref="E6:O6"/>
  </mergeCells>
  <pageMargins left="0.25" right="0.25" top="0.75" bottom="0.75" header="0.3" footer="0.3"/>
  <pageSetup paperSize="9" scale="65" fitToHeight="0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view="pageLayout" topLeftCell="A10" workbookViewId="0">
      <selection activeCell="C3" sqref="C3"/>
    </sheetView>
  </sheetViews>
  <sheetFormatPr defaultRowHeight="15" x14ac:dyDescent="0.25"/>
  <cols>
    <col min="1" max="1" width="10.42578125" customWidth="1"/>
    <col min="2" max="2" width="29.28515625" customWidth="1"/>
    <col min="3" max="3" width="23.85546875" customWidth="1"/>
    <col min="4" max="4" width="16.85546875" customWidth="1"/>
    <col min="5" max="5" width="15.28515625" hidden="1" customWidth="1"/>
    <col min="6" max="6" width="20.85546875" hidden="1" customWidth="1"/>
    <col min="7" max="7" width="27.140625" hidden="1" customWidth="1"/>
    <col min="8" max="19" width="15.42578125" customWidth="1"/>
    <col min="20" max="35" width="6.5703125" customWidth="1"/>
  </cols>
  <sheetData>
    <row r="1" spans="1:7" s="32" customFormat="1" ht="15.75" x14ac:dyDescent="0.25">
      <c r="A1" s="824" t="s">
        <v>873</v>
      </c>
      <c r="B1" s="824"/>
      <c r="C1" s="824"/>
      <c r="D1" s="824"/>
      <c r="E1" s="824"/>
      <c r="F1" s="824"/>
      <c r="G1" s="824"/>
    </row>
    <row r="2" spans="1:7" s="32" customFormat="1" ht="15.75" x14ac:dyDescent="0.25">
      <c r="A2" s="714" t="s">
        <v>866</v>
      </c>
      <c r="B2" s="714" t="s">
        <v>867</v>
      </c>
      <c r="C2" s="714" t="s">
        <v>868</v>
      </c>
      <c r="D2" s="714" t="s">
        <v>869</v>
      </c>
      <c r="E2" s="33" t="s">
        <v>870</v>
      </c>
      <c r="F2" s="33" t="s">
        <v>871</v>
      </c>
      <c r="G2" s="33" t="s">
        <v>872</v>
      </c>
    </row>
    <row r="3" spans="1:7" s="32" customFormat="1" ht="15.75" x14ac:dyDescent="0.25">
      <c r="A3" s="136">
        <v>1</v>
      </c>
      <c r="B3" s="711" t="s">
        <v>434</v>
      </c>
      <c r="C3" s="134">
        <f>'Apr19 to Mar''20 Summry , MPA'!P31</f>
        <v>117659650</v>
      </c>
      <c r="D3" s="712">
        <v>8.34</v>
      </c>
      <c r="E3" s="645">
        <f>C28/1125*100</f>
        <v>4.2666666666666666</v>
      </c>
      <c r="F3" s="647">
        <f>C3/1995315144*100</f>
        <v>5.8967953184642399</v>
      </c>
      <c r="G3" s="647">
        <f>D3*0.24+E3*0.76</f>
        <v>5.2442666666666664</v>
      </c>
    </row>
    <row r="4" spans="1:7" s="32" customFormat="1" ht="15.75" x14ac:dyDescent="0.25">
      <c r="A4" s="136">
        <v>2</v>
      </c>
      <c r="B4" s="711" t="s">
        <v>435</v>
      </c>
      <c r="C4" s="134">
        <f>'Apr19 to Mar''20 Summry , MPA'!Q31</f>
        <v>70768700</v>
      </c>
      <c r="D4" s="712">
        <v>2.85</v>
      </c>
      <c r="E4" s="645">
        <f>E28/1125*100</f>
        <v>2.0444444444444447</v>
      </c>
      <c r="F4" s="647">
        <f t="shared" ref="F4:F21" si="0">C4/1995315144*100</f>
        <v>3.5467429900887879</v>
      </c>
      <c r="G4" s="647">
        <f t="shared" ref="G4:G21" si="1">D4*0.24+E4*0.76</f>
        <v>2.2377777777777776</v>
      </c>
    </row>
    <row r="5" spans="1:7" s="32" customFormat="1" ht="15.75" x14ac:dyDescent="0.25">
      <c r="A5" s="136">
        <v>3</v>
      </c>
      <c r="B5" s="711" t="s">
        <v>436</v>
      </c>
      <c r="C5" s="134">
        <f>'Apr19 to Mar''20 Summry , MPA'!R31</f>
        <v>97914900</v>
      </c>
      <c r="D5" s="712">
        <v>8.3800000000000008</v>
      </c>
      <c r="E5" s="645">
        <f>G28/1125*100</f>
        <v>7.1111111111111107</v>
      </c>
      <c r="F5" s="648">
        <f t="shared" si="0"/>
        <v>4.9072398560415076</v>
      </c>
      <c r="G5" s="647">
        <f t="shared" si="1"/>
        <v>7.4156444444444443</v>
      </c>
    </row>
    <row r="6" spans="1:7" s="32" customFormat="1" ht="15.75" x14ac:dyDescent="0.25">
      <c r="A6" s="136">
        <v>4</v>
      </c>
      <c r="B6" s="711" t="s">
        <v>437</v>
      </c>
      <c r="C6" s="134">
        <f>'Apr19 to Mar''20 Summry , MPA'!S31</f>
        <v>153032450</v>
      </c>
      <c r="D6" s="712">
        <v>7.49</v>
      </c>
      <c r="E6" s="645">
        <f>I28/1125*100</f>
        <v>9.3333333333333339</v>
      </c>
      <c r="F6" s="647">
        <f t="shared" si="0"/>
        <v>7.6695879575802985</v>
      </c>
      <c r="G6" s="647">
        <f t="shared" si="1"/>
        <v>8.8909333333333329</v>
      </c>
    </row>
    <row r="7" spans="1:7" s="32" customFormat="1" ht="15.75" x14ac:dyDescent="0.25">
      <c r="A7" s="136">
        <v>5</v>
      </c>
      <c r="B7" s="711" t="s">
        <v>438</v>
      </c>
      <c r="C7" s="134">
        <f>'Apr19 to Mar''20 Summry , MPA'!T31</f>
        <v>88922600</v>
      </c>
      <c r="D7" s="712">
        <v>3.33</v>
      </c>
      <c r="E7" s="645">
        <f>K28/1125*100</f>
        <v>3.822222222222222</v>
      </c>
      <c r="F7" s="647">
        <f t="shared" si="0"/>
        <v>4.4565691924603561</v>
      </c>
      <c r="G7" s="647">
        <f t="shared" si="1"/>
        <v>3.7040888888888888</v>
      </c>
    </row>
    <row r="8" spans="1:7" s="32" customFormat="1" ht="15.75" x14ac:dyDescent="0.25">
      <c r="A8" s="136">
        <v>6</v>
      </c>
      <c r="B8" s="711" t="s">
        <v>439</v>
      </c>
      <c r="C8" s="134">
        <f>'Apr19 to Mar''20 Summry , MPA'!U31</f>
        <v>118184800</v>
      </c>
      <c r="D8" s="712">
        <v>6.64</v>
      </c>
      <c r="E8" s="645">
        <f>M28/1125*100</f>
        <v>6.666666666666667</v>
      </c>
      <c r="F8" s="647">
        <f t="shared" si="0"/>
        <v>5.9231144691798114</v>
      </c>
      <c r="G8" s="647">
        <f t="shared" si="1"/>
        <v>6.6602666666666668</v>
      </c>
    </row>
    <row r="9" spans="1:7" s="32" customFormat="1" ht="15.75" x14ac:dyDescent="0.25">
      <c r="A9" s="136">
        <v>7</v>
      </c>
      <c r="B9" s="711" t="s">
        <v>440</v>
      </c>
      <c r="C9" s="134">
        <f>'Apr19 to Mar''20 Summry , MPA'!V31</f>
        <v>92431150</v>
      </c>
      <c r="D9" s="712">
        <v>3.67</v>
      </c>
      <c r="E9" s="645">
        <f>O28/1125*100</f>
        <v>3.6444444444444448</v>
      </c>
      <c r="F9" s="647">
        <f t="shared" si="0"/>
        <v>4.6324085835736026</v>
      </c>
      <c r="G9" s="647">
        <f t="shared" si="1"/>
        <v>3.6505777777777779</v>
      </c>
    </row>
    <row r="10" spans="1:7" s="32" customFormat="1" ht="15.75" x14ac:dyDescent="0.25">
      <c r="A10" s="136">
        <v>8</v>
      </c>
      <c r="B10" s="711" t="s">
        <v>441</v>
      </c>
      <c r="C10" s="134">
        <f>'Apr19 to Mar''20 Summry , MPA'!W31</f>
        <v>114063200</v>
      </c>
      <c r="D10" s="712">
        <v>5.0599999999999996</v>
      </c>
      <c r="E10" s="645">
        <f>Q28/1125*100</f>
        <v>8.9777777777777779</v>
      </c>
      <c r="F10" s="648">
        <f t="shared" si="0"/>
        <v>5.7165506082080837</v>
      </c>
      <c r="G10" s="647">
        <f t="shared" si="1"/>
        <v>8.0375111111111117</v>
      </c>
    </row>
    <row r="11" spans="1:7" s="32" customFormat="1" ht="15.75" x14ac:dyDescent="0.25">
      <c r="A11" s="136">
        <v>9</v>
      </c>
      <c r="B11" s="711" t="s">
        <v>442</v>
      </c>
      <c r="C11" s="134">
        <f>'Apr19 to Mar''20 Summry , MPA'!X31</f>
        <v>60255700</v>
      </c>
      <c r="D11" s="712">
        <v>5.94</v>
      </c>
      <c r="E11" s="645">
        <f>S28/1125*100</f>
        <v>0.71111111111111114</v>
      </c>
      <c r="F11" s="647">
        <f t="shared" si="0"/>
        <v>3.019858801813414</v>
      </c>
      <c r="G11" s="647">
        <f t="shared" si="1"/>
        <v>1.9660444444444445</v>
      </c>
    </row>
    <row r="12" spans="1:7" s="32" customFormat="1" ht="15.75" x14ac:dyDescent="0.25">
      <c r="A12" s="136">
        <v>10</v>
      </c>
      <c r="B12" s="711" t="s">
        <v>443</v>
      </c>
      <c r="C12" s="134">
        <f>'Apr19 to Mar''20 Summry , MPA'!Y31</f>
        <v>116460950</v>
      </c>
      <c r="D12" s="712">
        <v>6.85</v>
      </c>
      <c r="E12" s="645">
        <f>U28/1125*100</f>
        <v>2.9333333333333331</v>
      </c>
      <c r="F12" s="647">
        <f t="shared" si="0"/>
        <v>5.8367195954084332</v>
      </c>
      <c r="G12" s="647">
        <f t="shared" si="1"/>
        <v>3.8733333333333331</v>
      </c>
    </row>
    <row r="13" spans="1:7" s="32" customFormat="1" ht="15.75" x14ac:dyDescent="0.25">
      <c r="A13" s="136">
        <v>11</v>
      </c>
      <c r="B13" s="711" t="s">
        <v>444</v>
      </c>
      <c r="C13" s="134">
        <f>'Apr19 to Mar''20 Summry , MPA'!Z31</f>
        <v>106989100</v>
      </c>
      <c r="D13" s="712">
        <v>7.45</v>
      </c>
      <c r="E13" s="645">
        <f>W28/1125*100</f>
        <v>4.7111111111111112</v>
      </c>
      <c r="F13" s="647">
        <f t="shared" si="0"/>
        <v>5.362015134387212</v>
      </c>
      <c r="G13" s="647">
        <f t="shared" si="1"/>
        <v>5.368444444444445</v>
      </c>
    </row>
    <row r="14" spans="1:7" s="32" customFormat="1" ht="15.75" x14ac:dyDescent="0.25">
      <c r="A14" s="136">
        <v>12</v>
      </c>
      <c r="B14" s="711" t="s">
        <v>445</v>
      </c>
      <c r="C14" s="134">
        <f>'Apr19 to Mar''20 Summry , MPA'!AA31</f>
        <v>104020250</v>
      </c>
      <c r="D14" s="712">
        <v>5.13</v>
      </c>
      <c r="E14" s="645">
        <f>Y28/1125*100</f>
        <v>4.6222222222222218</v>
      </c>
      <c r="F14" s="647">
        <f t="shared" si="0"/>
        <v>5.2132241021070502</v>
      </c>
      <c r="G14" s="647">
        <f t="shared" si="1"/>
        <v>4.7440888888888884</v>
      </c>
    </row>
    <row r="15" spans="1:7" s="32" customFormat="1" ht="15.75" x14ac:dyDescent="0.25">
      <c r="A15" s="136">
        <v>13</v>
      </c>
      <c r="B15" s="711" t="s">
        <v>446</v>
      </c>
      <c r="C15" s="134">
        <f>'Apr19 to Mar''20 Summry , MPA'!AB31</f>
        <v>97110600</v>
      </c>
      <c r="D15" s="712">
        <v>4.8600000000000003</v>
      </c>
      <c r="E15" s="645">
        <f>AA28/1125*100</f>
        <v>6.7555555555555546</v>
      </c>
      <c r="F15" s="647">
        <f t="shared" si="0"/>
        <v>4.866930434122942</v>
      </c>
      <c r="G15" s="647">
        <f t="shared" si="1"/>
        <v>6.3006222222222217</v>
      </c>
    </row>
    <row r="16" spans="1:7" s="32" customFormat="1" ht="15.75" x14ac:dyDescent="0.25">
      <c r="A16" s="136">
        <v>14</v>
      </c>
      <c r="B16" s="711" t="s">
        <v>447</v>
      </c>
      <c r="C16" s="134">
        <f>'Apr19 to Mar''20 Summry , MPA'!AC31</f>
        <v>123589400</v>
      </c>
      <c r="D16" s="712">
        <v>5.79</v>
      </c>
      <c r="E16" s="645">
        <f>AC28/1125*100</f>
        <v>7.2888888888888896</v>
      </c>
      <c r="F16" s="647">
        <f t="shared" si="0"/>
        <v>6.1939789497232427</v>
      </c>
      <c r="G16" s="647">
        <f t="shared" si="1"/>
        <v>6.929155555555556</v>
      </c>
    </row>
    <row r="17" spans="1:35" s="32" customFormat="1" ht="15.75" x14ac:dyDescent="0.25">
      <c r="A17" s="136">
        <v>15</v>
      </c>
      <c r="B17" s="711" t="s">
        <v>448</v>
      </c>
      <c r="C17" s="134">
        <f>'Apr19 to Mar''20 Summry , MPA'!AD31</f>
        <v>131127550</v>
      </c>
      <c r="D17" s="712">
        <v>5.33</v>
      </c>
      <c r="E17" s="645">
        <f>AE28/1125*100</f>
        <v>9.2444444444444436</v>
      </c>
      <c r="F17" s="647">
        <f t="shared" si="0"/>
        <v>6.571771401340099</v>
      </c>
      <c r="G17" s="647">
        <f t="shared" si="1"/>
        <v>8.3049777777777773</v>
      </c>
    </row>
    <row r="18" spans="1:35" s="682" customFormat="1" ht="15.75" x14ac:dyDescent="0.25">
      <c r="A18" s="136">
        <v>16</v>
      </c>
      <c r="B18" s="711" t="s">
        <v>449</v>
      </c>
      <c r="C18" s="134">
        <f>'Apr19 to Mar''20 Summry , MPA'!AE31</f>
        <v>149831650</v>
      </c>
      <c r="D18" s="712">
        <v>3.47</v>
      </c>
      <c r="E18" s="681">
        <f>AG28/1125*100</f>
        <v>13.066666666666665</v>
      </c>
      <c r="F18" s="648">
        <f t="shared" si="0"/>
        <v>7.5091721952068742</v>
      </c>
      <c r="G18" s="648">
        <f t="shared" si="1"/>
        <v>10.763466666666666</v>
      </c>
    </row>
    <row r="19" spans="1:35" s="32" customFormat="1" ht="15.75" x14ac:dyDescent="0.25">
      <c r="A19" s="136">
        <v>17</v>
      </c>
      <c r="B19" s="711" t="s">
        <v>450</v>
      </c>
      <c r="C19" s="134">
        <f>'Apr19 to Mar''20 Summry , MPA'!AF31</f>
        <v>127009650</v>
      </c>
      <c r="D19" s="712">
        <v>9.42</v>
      </c>
      <c r="E19" s="645">
        <f>AI28/1125*100</f>
        <v>4.8</v>
      </c>
      <c r="F19" s="647">
        <f t="shared" si="0"/>
        <v>6.3653929747350224</v>
      </c>
      <c r="G19" s="647">
        <f t="shared" si="1"/>
        <v>5.9087999999999994</v>
      </c>
    </row>
    <row r="20" spans="1:35" s="32" customFormat="1" ht="15.75" x14ac:dyDescent="0.25">
      <c r="A20" s="136">
        <v>18</v>
      </c>
      <c r="B20" s="713" t="s">
        <v>451</v>
      </c>
      <c r="C20" s="134">
        <f>'Apr19 to Mar''20 Summry , MPA'!AG31</f>
        <v>126900500</v>
      </c>
      <c r="D20" s="136"/>
      <c r="E20" s="646"/>
      <c r="F20" s="647">
        <f t="shared" si="0"/>
        <v>6.3599226609187713</v>
      </c>
      <c r="G20" s="647">
        <f t="shared" si="1"/>
        <v>0</v>
      </c>
    </row>
    <row r="21" spans="1:35" s="104" customFormat="1" ht="15.75" x14ac:dyDescent="0.25">
      <c r="A21" s="714"/>
      <c r="B21" s="715" t="s">
        <v>42</v>
      </c>
      <c r="C21" s="598">
        <f>SUM(C3:C20)</f>
        <v>1996272800</v>
      </c>
      <c r="D21" s="714">
        <f>SUM(D3:D20)</f>
        <v>100</v>
      </c>
      <c r="E21" s="649">
        <f>SUM(E3:E20)</f>
        <v>99.999999999999986</v>
      </c>
      <c r="F21" s="649">
        <f t="shared" si="0"/>
        <v>100.04799522535974</v>
      </c>
      <c r="G21" s="649">
        <f t="shared" si="1"/>
        <v>99.999999999999986</v>
      </c>
    </row>
    <row r="27" spans="1:35" ht="0.75" customHeight="1" x14ac:dyDescent="0.25">
      <c r="D27" s="361"/>
      <c r="F27" s="361"/>
      <c r="H27" s="361"/>
      <c r="J27" s="361"/>
      <c r="L27" s="361"/>
      <c r="N27" s="361"/>
      <c r="P27" s="361"/>
      <c r="R27" s="361"/>
      <c r="T27" s="361"/>
      <c r="V27" s="361"/>
      <c r="X27" s="361"/>
      <c r="Z27" s="361"/>
      <c r="AB27" s="361"/>
      <c r="AD27" s="361"/>
      <c r="AF27" s="361"/>
      <c r="AH27" s="361"/>
    </row>
    <row r="28" spans="1:35" ht="15.75" hidden="1" x14ac:dyDescent="0.25">
      <c r="C28" s="361">
        <v>48</v>
      </c>
      <c r="D28" s="361"/>
      <c r="E28" s="361">
        <v>23</v>
      </c>
      <c r="F28" s="361"/>
      <c r="G28" s="361">
        <v>80</v>
      </c>
      <c r="H28" s="361"/>
      <c r="I28" s="361">
        <v>105</v>
      </c>
      <c r="J28" s="361"/>
      <c r="K28" s="361">
        <v>43</v>
      </c>
      <c r="L28" s="361"/>
      <c r="M28" s="361">
        <v>75</v>
      </c>
      <c r="N28" s="361"/>
      <c r="O28" s="361">
        <v>41</v>
      </c>
      <c r="P28" s="361"/>
      <c r="Q28" s="361">
        <v>101</v>
      </c>
      <c r="R28" s="361"/>
      <c r="S28" s="361">
        <v>8</v>
      </c>
      <c r="T28" s="361"/>
      <c r="U28" s="361">
        <v>33</v>
      </c>
      <c r="V28" s="361"/>
      <c r="W28" s="361">
        <v>53</v>
      </c>
      <c r="X28" s="361"/>
      <c r="Y28" s="361">
        <v>52</v>
      </c>
      <c r="Z28" s="361"/>
      <c r="AA28" s="361">
        <v>76</v>
      </c>
      <c r="AB28" s="361"/>
      <c r="AC28" s="361">
        <v>82</v>
      </c>
      <c r="AD28" s="361"/>
      <c r="AE28" s="361">
        <v>104</v>
      </c>
      <c r="AF28" s="361"/>
      <c r="AG28" s="361">
        <v>147</v>
      </c>
      <c r="AH28" s="361"/>
      <c r="AI28" s="361">
        <v>54</v>
      </c>
    </row>
    <row r="29" spans="1:35" ht="15.75" hidden="1" x14ac:dyDescent="0.25">
      <c r="D29" s="453">
        <f t="shared" ref="D29:AH29" si="2">D28/1125*100</f>
        <v>0</v>
      </c>
      <c r="F29" s="453">
        <f t="shared" si="2"/>
        <v>0</v>
      </c>
      <c r="H29" s="453">
        <f t="shared" si="2"/>
        <v>0</v>
      </c>
      <c r="J29" s="453">
        <f t="shared" si="2"/>
        <v>0</v>
      </c>
      <c r="L29" s="453">
        <f t="shared" si="2"/>
        <v>0</v>
      </c>
      <c r="N29" s="453">
        <f t="shared" si="2"/>
        <v>0</v>
      </c>
      <c r="P29" s="453">
        <f t="shared" si="2"/>
        <v>0</v>
      </c>
      <c r="R29" s="453">
        <f t="shared" si="2"/>
        <v>0</v>
      </c>
      <c r="T29" s="453">
        <f t="shared" si="2"/>
        <v>0</v>
      </c>
      <c r="V29" s="453">
        <f t="shared" si="2"/>
        <v>0</v>
      </c>
      <c r="X29" s="453">
        <f t="shared" si="2"/>
        <v>0</v>
      </c>
      <c r="Z29" s="453">
        <f t="shared" si="2"/>
        <v>0</v>
      </c>
      <c r="AB29" s="453">
        <f t="shared" si="2"/>
        <v>0</v>
      </c>
      <c r="AD29" s="453">
        <f t="shared" si="2"/>
        <v>0</v>
      </c>
      <c r="AF29" s="453">
        <f t="shared" si="2"/>
        <v>0</v>
      </c>
      <c r="AH29" s="453">
        <f t="shared" si="2"/>
        <v>0</v>
      </c>
    </row>
  </sheetData>
  <mergeCells count="1">
    <mergeCell ref="A1:G1"/>
  </mergeCells>
  <pageMargins left="0.7" right="0.7" top="0.75" bottom="0.75" header="0.3" footer="0.3"/>
  <pageSetup scale="85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Z98"/>
  <sheetViews>
    <sheetView tabSelected="1" zoomScale="90" zoomScaleNormal="90" workbookViewId="0">
      <pane xSplit="5" ySplit="8" topLeftCell="BJ60" activePane="bottomRight" state="frozen"/>
      <selection pane="topRight" activeCell="F1" sqref="F1"/>
      <selection pane="bottomLeft" activeCell="A9" sqref="A9"/>
      <selection pane="bottomRight" activeCell="BJ59" sqref="BJ59"/>
    </sheetView>
  </sheetViews>
  <sheetFormatPr defaultRowHeight="24" customHeight="1" x14ac:dyDescent="0.25"/>
  <cols>
    <col min="1" max="1" width="6" style="39" customWidth="1"/>
    <col min="2" max="2" width="10.85546875" style="361" customWidth="1"/>
    <col min="3" max="3" width="39" style="39" customWidth="1"/>
    <col min="4" max="4" width="12.140625" style="39" customWidth="1"/>
    <col min="5" max="5" width="17.42578125" style="361" customWidth="1"/>
    <col min="6" max="6" width="10.7109375" style="361" customWidth="1"/>
    <col min="7" max="7" width="17" style="82" customWidth="1"/>
    <col min="8" max="8" width="18" style="82" customWidth="1"/>
    <col min="9" max="9" width="17.5703125" style="82" customWidth="1"/>
    <col min="10" max="10" width="11.7109375" style="82" customWidth="1"/>
    <col min="11" max="11" width="15.140625" style="82" customWidth="1"/>
    <col min="12" max="12" width="12.5703125" style="82" customWidth="1"/>
    <col min="13" max="13" width="11.7109375" style="82" customWidth="1"/>
    <col min="14" max="14" width="5.7109375" style="82" customWidth="1"/>
    <col min="15" max="15" width="7.42578125" style="39" customWidth="1"/>
    <col min="16" max="16" width="12.28515625" style="39" customWidth="1"/>
    <col min="17" max="17" width="8.42578125" style="39" customWidth="1"/>
    <col min="18" max="21" width="9.85546875" style="39" customWidth="1"/>
    <col min="22" max="22" width="16.5703125" style="39" customWidth="1"/>
    <col min="23" max="23" width="16" style="39" customWidth="1"/>
    <col min="24" max="24" width="18.140625" style="39" customWidth="1"/>
    <col min="25" max="25" width="17.140625" style="39" customWidth="1"/>
    <col min="26" max="26" width="12.28515625" style="39" customWidth="1"/>
    <col min="27" max="27" width="16.7109375" style="82" customWidth="1"/>
    <col min="28" max="28" width="8.28515625" style="39" customWidth="1"/>
    <col min="29" max="29" width="14.28515625" style="39" customWidth="1"/>
    <col min="30" max="30" width="8.5703125" style="39" customWidth="1"/>
    <col min="31" max="31" width="15.5703125" style="39" customWidth="1"/>
    <col min="32" max="32" width="8.28515625" style="39" customWidth="1"/>
    <col min="33" max="33" width="14" style="39" customWidth="1"/>
    <col min="34" max="34" width="7.85546875" style="39" customWidth="1"/>
    <col min="35" max="35" width="15.5703125" style="39" customWidth="1"/>
    <col min="36" max="36" width="11.85546875" style="39" customWidth="1"/>
    <col min="37" max="37" width="15.28515625" style="39" customWidth="1"/>
    <col min="38" max="38" width="8.42578125" style="39" customWidth="1"/>
    <col min="39" max="39" width="15.5703125" style="39" customWidth="1"/>
    <col min="40" max="40" width="10.28515625" style="39" customWidth="1"/>
    <col min="41" max="41" width="14.7109375" style="39" customWidth="1"/>
    <col min="42" max="42" width="7.42578125" style="39" customWidth="1"/>
    <col min="43" max="43" width="14.28515625" style="39" customWidth="1"/>
    <col min="44" max="44" width="9" style="39" customWidth="1"/>
    <col min="45" max="45" width="13.85546875" style="39" customWidth="1"/>
    <col min="46" max="46" width="9.5703125" style="39" customWidth="1"/>
    <col min="47" max="47" width="14.7109375" style="39" customWidth="1"/>
    <col min="48" max="48" width="7.7109375" style="39" customWidth="1"/>
    <col min="49" max="49" width="17.28515625" style="39" customWidth="1"/>
    <col min="50" max="50" width="9.140625" style="39" customWidth="1"/>
    <col min="51" max="51" width="15.5703125" style="39" customWidth="1"/>
    <col min="52" max="52" width="9.28515625" style="39" customWidth="1"/>
    <col min="53" max="53" width="14.42578125" style="39" customWidth="1"/>
    <col min="54" max="54" width="9.5703125" style="39" customWidth="1"/>
    <col min="55" max="55" width="15.5703125" style="39" customWidth="1"/>
    <col min="56" max="56" width="9.7109375" style="39" customWidth="1"/>
    <col min="57" max="57" width="14.5703125" style="39" customWidth="1"/>
    <col min="58" max="58" width="10.42578125" style="39" customWidth="1"/>
    <col min="59" max="59" width="15.5703125" style="39" customWidth="1"/>
    <col min="60" max="60" width="11.42578125" style="39" customWidth="1"/>
    <col min="61" max="61" width="16.7109375" style="39" customWidth="1"/>
    <col min="62" max="62" width="15" style="39" customWidth="1"/>
    <col min="63" max="63" width="17.28515625" style="39" customWidth="1"/>
    <col min="64" max="64" width="8.42578125" style="39" hidden="1" customWidth="1"/>
    <col min="65" max="65" width="15" style="39" hidden="1" customWidth="1"/>
    <col min="66" max="66" width="17" style="39" hidden="1" customWidth="1"/>
    <col min="67" max="67" width="9.140625" style="39" hidden="1" customWidth="1"/>
    <col min="68" max="68" width="27.42578125" style="67" customWidth="1"/>
    <col min="69" max="69" width="9.140625" style="39" customWidth="1"/>
    <col min="70" max="70" width="16.7109375" style="39" customWidth="1"/>
    <col min="71" max="71" width="18.28515625" style="39" customWidth="1"/>
    <col min="72" max="72" width="18" style="39" customWidth="1"/>
    <col min="73" max="73" width="16.7109375" style="39" customWidth="1"/>
    <col min="74" max="74" width="19" style="39" customWidth="1"/>
    <col min="75" max="75" width="17" style="39" customWidth="1"/>
    <col min="76" max="77" width="19" style="39" customWidth="1"/>
    <col min="78" max="78" width="18.140625" style="39" customWidth="1"/>
    <col min="79" max="81" width="9.140625" style="39" customWidth="1"/>
    <col min="82" max="16384" width="9.140625" style="39"/>
  </cols>
  <sheetData>
    <row r="1" spans="1:78" ht="24.75" customHeight="1" x14ac:dyDescent="0.25">
      <c r="A1" s="826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</row>
    <row r="2" spans="1:78" ht="15.75" x14ac:dyDescent="0.25">
      <c r="A2" s="825" t="s">
        <v>409</v>
      </c>
      <c r="B2" s="825"/>
      <c r="C2" s="827" t="s">
        <v>403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67"/>
      <c r="S2" s="67"/>
      <c r="T2" s="67"/>
      <c r="U2" s="67"/>
      <c r="V2" s="67"/>
      <c r="W2" s="67"/>
      <c r="X2" s="67"/>
      <c r="Y2" s="67"/>
      <c r="Z2" s="361" t="s">
        <v>787</v>
      </c>
      <c r="AA2" s="361">
        <v>8.34</v>
      </c>
      <c r="AB2" s="361"/>
      <c r="AC2" s="361">
        <v>2.85</v>
      </c>
      <c r="AD2" s="361"/>
      <c r="AE2" s="361">
        <v>8.3800000000000008</v>
      </c>
      <c r="AF2" s="361"/>
      <c r="AG2" s="361">
        <v>7.49</v>
      </c>
      <c r="AH2" s="361"/>
      <c r="AI2" s="361">
        <v>3.33</v>
      </c>
      <c r="AJ2" s="361"/>
      <c r="AK2" s="361">
        <v>6.64</v>
      </c>
      <c r="AL2" s="361"/>
      <c r="AM2" s="361">
        <v>3.67</v>
      </c>
      <c r="AN2" s="361"/>
      <c r="AO2" s="361">
        <v>5.0599999999999996</v>
      </c>
      <c r="AP2" s="361"/>
      <c r="AQ2" s="361">
        <v>5.94</v>
      </c>
      <c r="AR2" s="361"/>
      <c r="AS2" s="361">
        <v>6.85</v>
      </c>
      <c r="AT2" s="361"/>
      <c r="AU2" s="361">
        <v>7.45</v>
      </c>
      <c r="AV2" s="361"/>
      <c r="AW2" s="361">
        <v>5.13</v>
      </c>
      <c r="AX2" s="361"/>
      <c r="AY2" s="361">
        <v>4.8600000000000003</v>
      </c>
      <c r="AZ2" s="361"/>
      <c r="BA2" s="361">
        <v>5.79</v>
      </c>
      <c r="BB2" s="361"/>
      <c r="BC2" s="361">
        <v>5.3</v>
      </c>
      <c r="BD2" s="361"/>
      <c r="BE2" s="361">
        <v>3.47</v>
      </c>
      <c r="BF2" s="361"/>
      <c r="BG2" s="361">
        <v>9.42</v>
      </c>
      <c r="BH2" s="361"/>
      <c r="BI2" s="361"/>
      <c r="BJ2" s="361"/>
      <c r="BK2" s="361"/>
    </row>
    <row r="3" spans="1:78" ht="15.75" x14ac:dyDescent="0.25">
      <c r="A3" s="825" t="s">
        <v>405</v>
      </c>
      <c r="B3" s="825"/>
      <c r="C3" s="827" t="s">
        <v>404</v>
      </c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67"/>
      <c r="S3" s="67"/>
      <c r="T3" s="67"/>
      <c r="U3" s="67"/>
      <c r="V3" s="67"/>
      <c r="W3" s="67"/>
      <c r="X3" s="67"/>
      <c r="Y3" s="67"/>
      <c r="Z3" s="361" t="s">
        <v>785</v>
      </c>
      <c r="AA3" s="361">
        <v>48</v>
      </c>
      <c r="AB3" s="361"/>
      <c r="AC3" s="361">
        <v>23</v>
      </c>
      <c r="AD3" s="361"/>
      <c r="AE3" s="361">
        <v>80</v>
      </c>
      <c r="AF3" s="361"/>
      <c r="AG3" s="361">
        <v>105</v>
      </c>
      <c r="AH3" s="361"/>
      <c r="AI3" s="361">
        <v>43</v>
      </c>
      <c r="AJ3" s="361"/>
      <c r="AK3" s="361">
        <v>75</v>
      </c>
      <c r="AL3" s="361"/>
      <c r="AM3" s="361">
        <v>41</v>
      </c>
      <c r="AN3" s="361"/>
      <c r="AO3" s="361">
        <v>101</v>
      </c>
      <c r="AP3" s="361"/>
      <c r="AQ3" s="361">
        <v>8</v>
      </c>
      <c r="AR3" s="361"/>
      <c r="AS3" s="361">
        <v>33</v>
      </c>
      <c r="AT3" s="361"/>
      <c r="AU3" s="361">
        <v>53</v>
      </c>
      <c r="AV3" s="361"/>
      <c r="AW3" s="361">
        <v>52</v>
      </c>
      <c r="AX3" s="361"/>
      <c r="AY3" s="361">
        <v>76</v>
      </c>
      <c r="AZ3" s="361"/>
      <c r="BA3" s="361">
        <v>82</v>
      </c>
      <c r="BB3" s="361"/>
      <c r="BC3" s="361">
        <v>104</v>
      </c>
      <c r="BD3" s="361"/>
      <c r="BE3" s="361">
        <v>147</v>
      </c>
      <c r="BF3" s="361"/>
      <c r="BG3" s="361">
        <v>54</v>
      </c>
      <c r="BH3" s="361"/>
      <c r="BI3" s="361"/>
      <c r="BJ3" s="361"/>
      <c r="BK3" s="361"/>
    </row>
    <row r="4" spans="1:78" ht="15.75" x14ac:dyDescent="0.25">
      <c r="A4" s="825" t="s">
        <v>406</v>
      </c>
      <c r="B4" s="825"/>
      <c r="C4" s="827" t="s">
        <v>752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67"/>
      <c r="S4" s="67"/>
      <c r="T4" s="67"/>
      <c r="U4" s="67"/>
      <c r="V4" s="67"/>
      <c r="W4" s="67"/>
      <c r="X4" s="67"/>
      <c r="Y4" s="67"/>
      <c r="Z4" s="361" t="s">
        <v>786</v>
      </c>
      <c r="AA4" s="453">
        <f>AA3/1125*100</f>
        <v>4.2666666666666666</v>
      </c>
      <c r="AB4" s="453">
        <f t="shared" ref="AB4:BG4" si="0">AB3/1125*100</f>
        <v>0</v>
      </c>
      <c r="AC4" s="453">
        <f t="shared" si="0"/>
        <v>2.0444444444444447</v>
      </c>
      <c r="AD4" s="453">
        <f t="shared" si="0"/>
        <v>0</v>
      </c>
      <c r="AE4" s="453">
        <f t="shared" si="0"/>
        <v>7.1111111111111107</v>
      </c>
      <c r="AF4" s="453">
        <f t="shared" si="0"/>
        <v>0</v>
      </c>
      <c r="AG4" s="453">
        <f t="shared" si="0"/>
        <v>9.3333333333333339</v>
      </c>
      <c r="AH4" s="453">
        <f t="shared" si="0"/>
        <v>0</v>
      </c>
      <c r="AI4" s="453">
        <f t="shared" si="0"/>
        <v>3.822222222222222</v>
      </c>
      <c r="AJ4" s="453">
        <f t="shared" si="0"/>
        <v>0</v>
      </c>
      <c r="AK4" s="453">
        <f t="shared" si="0"/>
        <v>6.666666666666667</v>
      </c>
      <c r="AL4" s="453">
        <f t="shared" si="0"/>
        <v>0</v>
      </c>
      <c r="AM4" s="453">
        <f t="shared" si="0"/>
        <v>3.6444444444444448</v>
      </c>
      <c r="AN4" s="453">
        <f t="shared" si="0"/>
        <v>0</v>
      </c>
      <c r="AO4" s="453">
        <f t="shared" si="0"/>
        <v>8.9777777777777779</v>
      </c>
      <c r="AP4" s="453">
        <f t="shared" si="0"/>
        <v>0</v>
      </c>
      <c r="AQ4" s="453">
        <f t="shared" si="0"/>
        <v>0.71111111111111114</v>
      </c>
      <c r="AR4" s="453">
        <f t="shared" si="0"/>
        <v>0</v>
      </c>
      <c r="AS4" s="453">
        <f t="shared" si="0"/>
        <v>2.9333333333333331</v>
      </c>
      <c r="AT4" s="453">
        <f t="shared" si="0"/>
        <v>0</v>
      </c>
      <c r="AU4" s="453">
        <f t="shared" si="0"/>
        <v>4.7111111111111112</v>
      </c>
      <c r="AV4" s="453">
        <f t="shared" si="0"/>
        <v>0</v>
      </c>
      <c r="AW4" s="453">
        <f t="shared" si="0"/>
        <v>4.6222222222222218</v>
      </c>
      <c r="AX4" s="453">
        <f t="shared" si="0"/>
        <v>0</v>
      </c>
      <c r="AY4" s="453">
        <f t="shared" si="0"/>
        <v>6.7555555555555546</v>
      </c>
      <c r="AZ4" s="453">
        <f t="shared" si="0"/>
        <v>0</v>
      </c>
      <c r="BA4" s="453">
        <f t="shared" si="0"/>
        <v>7.2888888888888896</v>
      </c>
      <c r="BB4" s="453">
        <f t="shared" si="0"/>
        <v>0</v>
      </c>
      <c r="BC4" s="453">
        <f t="shared" si="0"/>
        <v>9.2444444444444436</v>
      </c>
      <c r="BD4" s="453">
        <f t="shared" si="0"/>
        <v>0</v>
      </c>
      <c r="BE4" s="453">
        <f t="shared" si="0"/>
        <v>13.066666666666665</v>
      </c>
      <c r="BF4" s="453">
        <f t="shared" si="0"/>
        <v>0</v>
      </c>
      <c r="BG4" s="453">
        <f t="shared" si="0"/>
        <v>4.8</v>
      </c>
      <c r="BH4" s="361"/>
      <c r="BI4" s="361"/>
      <c r="BJ4" s="361"/>
      <c r="BK4" s="361"/>
    </row>
    <row r="5" spans="1:78" ht="15.75" x14ac:dyDescent="0.25">
      <c r="A5" s="825" t="s">
        <v>407</v>
      </c>
      <c r="B5" s="825"/>
      <c r="C5" s="827" t="s">
        <v>0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67"/>
      <c r="S5" s="67"/>
      <c r="T5" s="67"/>
      <c r="U5" s="67"/>
      <c r="V5" s="67"/>
      <c r="W5" s="67"/>
      <c r="X5" s="67"/>
      <c r="Y5" s="67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</row>
    <row r="6" spans="1:78" ht="15.75" x14ac:dyDescent="0.25">
      <c r="A6" s="825" t="s">
        <v>408</v>
      </c>
      <c r="B6" s="825"/>
      <c r="C6" s="827" t="s">
        <v>69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67"/>
      <c r="S6" s="67"/>
      <c r="T6" s="67"/>
      <c r="U6" s="67"/>
      <c r="V6" s="67"/>
      <c r="W6" s="67"/>
      <c r="X6" s="67"/>
      <c r="Y6" s="67"/>
    </row>
    <row r="7" spans="1:78" s="106" customFormat="1" ht="29.25" customHeight="1" x14ac:dyDescent="0.25">
      <c r="A7" s="832"/>
      <c r="B7" s="833"/>
      <c r="C7" s="833"/>
      <c r="D7" s="833"/>
      <c r="E7" s="834"/>
      <c r="F7" s="835" t="s">
        <v>11</v>
      </c>
      <c r="G7" s="836"/>
      <c r="H7" s="832" t="s">
        <v>402</v>
      </c>
      <c r="I7" s="833"/>
      <c r="J7" s="833"/>
      <c r="K7" s="833"/>
      <c r="L7" s="833"/>
      <c r="M7" s="833"/>
      <c r="N7" s="833"/>
      <c r="O7" s="833"/>
      <c r="P7" s="833"/>
      <c r="Q7" s="834"/>
      <c r="R7" s="832" t="s">
        <v>66</v>
      </c>
      <c r="S7" s="833"/>
      <c r="T7" s="833"/>
      <c r="U7" s="834"/>
      <c r="V7" s="832" t="s">
        <v>6</v>
      </c>
      <c r="W7" s="833"/>
      <c r="X7" s="833"/>
      <c r="Y7" s="834"/>
      <c r="Z7" s="837" t="s">
        <v>434</v>
      </c>
      <c r="AA7" s="838"/>
      <c r="AB7" s="837" t="s">
        <v>435</v>
      </c>
      <c r="AC7" s="838"/>
      <c r="AD7" s="837" t="s">
        <v>436</v>
      </c>
      <c r="AE7" s="838"/>
      <c r="AF7" s="837" t="s">
        <v>437</v>
      </c>
      <c r="AG7" s="838"/>
      <c r="AH7" s="837" t="s">
        <v>438</v>
      </c>
      <c r="AI7" s="838"/>
      <c r="AJ7" s="837" t="s">
        <v>439</v>
      </c>
      <c r="AK7" s="838"/>
      <c r="AL7" s="837" t="s">
        <v>440</v>
      </c>
      <c r="AM7" s="838"/>
      <c r="AN7" s="837" t="s">
        <v>441</v>
      </c>
      <c r="AO7" s="838"/>
      <c r="AP7" s="837" t="s">
        <v>442</v>
      </c>
      <c r="AQ7" s="838"/>
      <c r="AR7" s="837" t="s">
        <v>443</v>
      </c>
      <c r="AS7" s="838"/>
      <c r="AT7" s="837" t="s">
        <v>444</v>
      </c>
      <c r="AU7" s="838"/>
      <c r="AV7" s="837" t="s">
        <v>445</v>
      </c>
      <c r="AW7" s="838"/>
      <c r="AX7" s="837" t="s">
        <v>446</v>
      </c>
      <c r="AY7" s="838"/>
      <c r="AZ7" s="837" t="s">
        <v>447</v>
      </c>
      <c r="BA7" s="838"/>
      <c r="BB7" s="837" t="s">
        <v>448</v>
      </c>
      <c r="BC7" s="838"/>
      <c r="BD7" s="837" t="s">
        <v>449</v>
      </c>
      <c r="BE7" s="838"/>
      <c r="BF7" s="842" t="s">
        <v>450</v>
      </c>
      <c r="BG7" s="842"/>
      <c r="BH7" s="839" t="s">
        <v>451</v>
      </c>
      <c r="BI7" s="839"/>
      <c r="BJ7" s="839" t="s">
        <v>18</v>
      </c>
      <c r="BK7" s="839"/>
      <c r="BL7" s="413" t="s">
        <v>590</v>
      </c>
      <c r="BM7" s="413" t="s">
        <v>453</v>
      </c>
      <c r="BN7" s="413" t="s">
        <v>454</v>
      </c>
      <c r="BO7" s="413"/>
      <c r="BP7" s="299" t="s">
        <v>483</v>
      </c>
      <c r="BR7" s="840" t="s">
        <v>496</v>
      </c>
      <c r="BS7" s="840"/>
      <c r="BT7" s="840"/>
      <c r="BU7" s="840"/>
      <c r="BV7" s="840"/>
      <c r="BW7" s="840" t="s">
        <v>497</v>
      </c>
      <c r="BX7" s="840"/>
      <c r="BY7" s="840"/>
      <c r="BZ7" s="841" t="s">
        <v>18</v>
      </c>
    </row>
    <row r="8" spans="1:78" ht="52.5" customHeight="1" x14ac:dyDescent="0.25">
      <c r="A8" s="587" t="s">
        <v>46</v>
      </c>
      <c r="B8" s="588" t="s">
        <v>21</v>
      </c>
      <c r="C8" s="364" t="s">
        <v>12</v>
      </c>
      <c r="D8" s="364" t="s">
        <v>15</v>
      </c>
      <c r="E8" s="588" t="s">
        <v>19</v>
      </c>
      <c r="F8" s="588" t="s">
        <v>20</v>
      </c>
      <c r="G8" s="587" t="s">
        <v>16</v>
      </c>
      <c r="H8" s="145" t="s">
        <v>457</v>
      </c>
      <c r="I8" s="145" t="s">
        <v>458</v>
      </c>
      <c r="J8" s="145" t="s">
        <v>459</v>
      </c>
      <c r="K8" s="145" t="s">
        <v>460</v>
      </c>
      <c r="L8" s="145" t="s">
        <v>461</v>
      </c>
      <c r="M8" s="145" t="s">
        <v>462</v>
      </c>
      <c r="N8" s="145" t="s">
        <v>463</v>
      </c>
      <c r="O8" s="145" t="s">
        <v>464</v>
      </c>
      <c r="P8" s="145" t="s">
        <v>465</v>
      </c>
      <c r="Q8" s="145" t="s">
        <v>466</v>
      </c>
      <c r="R8" s="569" t="s">
        <v>7</v>
      </c>
      <c r="S8" s="569" t="s">
        <v>8</v>
      </c>
      <c r="T8" s="569" t="s">
        <v>9</v>
      </c>
      <c r="U8" s="569" t="s">
        <v>10</v>
      </c>
      <c r="V8" s="364" t="s">
        <v>7</v>
      </c>
      <c r="W8" s="364" t="s">
        <v>8</v>
      </c>
      <c r="X8" s="364" t="s">
        <v>9</v>
      </c>
      <c r="Y8" s="364" t="s">
        <v>10</v>
      </c>
      <c r="Z8" s="299" t="s">
        <v>15</v>
      </c>
      <c r="AA8" s="299" t="s">
        <v>16</v>
      </c>
      <c r="AB8" s="299" t="s">
        <v>15</v>
      </c>
      <c r="AC8" s="299" t="s">
        <v>16</v>
      </c>
      <c r="AD8" s="299" t="s">
        <v>15</v>
      </c>
      <c r="AE8" s="299" t="s">
        <v>16</v>
      </c>
      <c r="AF8" s="299" t="s">
        <v>15</v>
      </c>
      <c r="AG8" s="299" t="s">
        <v>16</v>
      </c>
      <c r="AH8" s="299" t="s">
        <v>15</v>
      </c>
      <c r="AI8" s="299" t="s">
        <v>16</v>
      </c>
      <c r="AJ8" s="299" t="s">
        <v>15</v>
      </c>
      <c r="AK8" s="299" t="s">
        <v>16</v>
      </c>
      <c r="AL8" s="299" t="s">
        <v>15</v>
      </c>
      <c r="AM8" s="299" t="s">
        <v>16</v>
      </c>
      <c r="AN8" s="299" t="s">
        <v>15</v>
      </c>
      <c r="AO8" s="299" t="s">
        <v>16</v>
      </c>
      <c r="AP8" s="299" t="s">
        <v>15</v>
      </c>
      <c r="AQ8" s="299" t="s">
        <v>16</v>
      </c>
      <c r="AR8" s="299" t="s">
        <v>15</v>
      </c>
      <c r="AS8" s="299" t="s">
        <v>16</v>
      </c>
      <c r="AT8" s="299" t="s">
        <v>15</v>
      </c>
      <c r="AU8" s="299" t="s">
        <v>16</v>
      </c>
      <c r="AV8" s="299" t="s">
        <v>15</v>
      </c>
      <c r="AW8" s="299" t="s">
        <v>16</v>
      </c>
      <c r="AX8" s="299" t="s">
        <v>15</v>
      </c>
      <c r="AY8" s="299" t="s">
        <v>16</v>
      </c>
      <c r="AZ8" s="299" t="s">
        <v>15</v>
      </c>
      <c r="BA8" s="299" t="s">
        <v>16</v>
      </c>
      <c r="BB8" s="299" t="s">
        <v>15</v>
      </c>
      <c r="BC8" s="299" t="s">
        <v>16</v>
      </c>
      <c r="BD8" s="299" t="s">
        <v>15</v>
      </c>
      <c r="BE8" s="299" t="s">
        <v>16</v>
      </c>
      <c r="BF8" s="299" t="s">
        <v>15</v>
      </c>
      <c r="BG8" s="299" t="s">
        <v>16</v>
      </c>
      <c r="BH8" s="299" t="s">
        <v>15</v>
      </c>
      <c r="BI8" s="299" t="s">
        <v>16</v>
      </c>
      <c r="BJ8" s="299" t="s">
        <v>15</v>
      </c>
      <c r="BK8" s="299" t="s">
        <v>16</v>
      </c>
      <c r="BL8" s="82"/>
      <c r="BM8" s="82"/>
      <c r="BN8" s="82"/>
      <c r="BO8" s="82"/>
      <c r="BP8" s="85"/>
      <c r="BR8" s="118" t="s">
        <v>487</v>
      </c>
      <c r="BS8" s="367" t="s">
        <v>488</v>
      </c>
      <c r="BT8" s="367" t="s">
        <v>489</v>
      </c>
      <c r="BU8" s="368" t="s">
        <v>490</v>
      </c>
      <c r="BV8" s="369" t="s">
        <v>491</v>
      </c>
      <c r="BW8" s="367" t="s">
        <v>492</v>
      </c>
      <c r="BX8" s="367" t="s">
        <v>493</v>
      </c>
      <c r="BY8" s="369" t="s">
        <v>494</v>
      </c>
      <c r="BZ8" s="841"/>
    </row>
    <row r="9" spans="1:78" ht="30.75" customHeight="1" x14ac:dyDescent="0.25">
      <c r="A9" s="829" t="s">
        <v>65</v>
      </c>
      <c r="B9" s="374">
        <v>11000</v>
      </c>
      <c r="C9" s="470" t="s">
        <v>69</v>
      </c>
      <c r="D9" s="145"/>
      <c r="E9" s="299"/>
      <c r="F9" s="299"/>
      <c r="G9" s="158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299"/>
      <c r="S9" s="299"/>
      <c r="T9" s="299"/>
      <c r="U9" s="299"/>
      <c r="V9" s="299"/>
      <c r="W9" s="299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85"/>
      <c r="BM9" s="85"/>
      <c r="BN9" s="85"/>
      <c r="BO9" s="117"/>
      <c r="BP9" s="85"/>
      <c r="BR9" s="113"/>
      <c r="BS9" s="113"/>
      <c r="BT9" s="113"/>
      <c r="BU9" s="113"/>
      <c r="BV9" s="113"/>
      <c r="BW9" s="113"/>
      <c r="BX9" s="113"/>
      <c r="BY9" s="113"/>
      <c r="BZ9" s="223">
        <f>BV9+BY9</f>
        <v>0</v>
      </c>
    </row>
    <row r="10" spans="1:78" s="106" customFormat="1" ht="32.25" customHeight="1" x14ac:dyDescent="0.25">
      <c r="A10" s="830"/>
      <c r="B10" s="221">
        <v>11100</v>
      </c>
      <c r="C10" s="169" t="s">
        <v>70</v>
      </c>
      <c r="D10" s="169" t="s">
        <v>72</v>
      </c>
      <c r="E10" s="169">
        <f>62.64*100000</f>
        <v>6264000</v>
      </c>
      <c r="F10" s="220">
        <f>BJ10</f>
        <v>17</v>
      </c>
      <c r="G10" s="158">
        <f>E10*F10</f>
        <v>106488000</v>
      </c>
      <c r="H10" s="158">
        <f>G10*0.5</f>
        <v>53244000</v>
      </c>
      <c r="I10" s="158">
        <f>G10*0.5</f>
        <v>53244000</v>
      </c>
      <c r="J10" s="158">
        <f>G10*0</f>
        <v>0</v>
      </c>
      <c r="K10" s="158">
        <f>G10*0</f>
        <v>0</v>
      </c>
      <c r="L10" s="158">
        <f>G10*0</f>
        <v>0</v>
      </c>
      <c r="M10" s="158">
        <f>G10*0</f>
        <v>0</v>
      </c>
      <c r="N10" s="158">
        <f>G10*0</f>
        <v>0</v>
      </c>
      <c r="O10" s="158">
        <f>G10*0</f>
        <v>0</v>
      </c>
      <c r="P10" s="158">
        <f>G10*0</f>
        <v>0</v>
      </c>
      <c r="Q10" s="158">
        <f>G10*0</f>
        <v>0</v>
      </c>
      <c r="R10" s="158">
        <v>4.25</v>
      </c>
      <c r="S10" s="158">
        <v>4.25</v>
      </c>
      <c r="T10" s="158">
        <v>4.25</v>
      </c>
      <c r="U10" s="158">
        <v>4.25</v>
      </c>
      <c r="V10" s="158">
        <f>R10*6264000</f>
        <v>26622000</v>
      </c>
      <c r="W10" s="158">
        <f>S10*6264000</f>
        <v>26622000</v>
      </c>
      <c r="X10" s="158">
        <f>T10*6264000</f>
        <v>26622000</v>
      </c>
      <c r="Y10" s="158">
        <f>U10*6264000</f>
        <v>26622000</v>
      </c>
      <c r="Z10" s="158">
        <v>1</v>
      </c>
      <c r="AA10" s="158">
        <f>Z10*6264000</f>
        <v>6264000</v>
      </c>
      <c r="AB10" s="158">
        <v>1</v>
      </c>
      <c r="AC10" s="158">
        <f>AB10*6264000</f>
        <v>6264000</v>
      </c>
      <c r="AD10" s="158">
        <v>1</v>
      </c>
      <c r="AE10" s="158">
        <f>AD10*6264000</f>
        <v>6264000</v>
      </c>
      <c r="AF10" s="158">
        <v>1</v>
      </c>
      <c r="AG10" s="158">
        <f>AF10*6264000</f>
        <v>6264000</v>
      </c>
      <c r="AH10" s="158">
        <v>1</v>
      </c>
      <c r="AI10" s="158">
        <f>AH10*6264000</f>
        <v>6264000</v>
      </c>
      <c r="AJ10" s="158">
        <v>1</v>
      </c>
      <c r="AK10" s="158">
        <f>AJ10*6264000</f>
        <v>6264000</v>
      </c>
      <c r="AL10" s="158">
        <v>1</v>
      </c>
      <c r="AM10" s="158">
        <f>AL10*6264000</f>
        <v>6264000</v>
      </c>
      <c r="AN10" s="158">
        <v>1</v>
      </c>
      <c r="AO10" s="158">
        <f>AN10*6264000</f>
        <v>6264000</v>
      </c>
      <c r="AP10" s="158">
        <v>1</v>
      </c>
      <c r="AQ10" s="158">
        <f>AP10*6264000</f>
        <v>6264000</v>
      </c>
      <c r="AR10" s="158">
        <v>1</v>
      </c>
      <c r="AS10" s="158">
        <f>AR10*6264000</f>
        <v>6264000</v>
      </c>
      <c r="AT10" s="158">
        <v>1</v>
      </c>
      <c r="AU10" s="158">
        <f>AT10*6264000</f>
        <v>6264000</v>
      </c>
      <c r="AV10" s="158">
        <v>1</v>
      </c>
      <c r="AW10" s="158">
        <f>AV10*6264000</f>
        <v>6264000</v>
      </c>
      <c r="AX10" s="158">
        <v>1</v>
      </c>
      <c r="AY10" s="158">
        <f>AX10*6264000</f>
        <v>6264000</v>
      </c>
      <c r="AZ10" s="158">
        <v>1</v>
      </c>
      <c r="BA10" s="158">
        <f>AZ10*6264000</f>
        <v>6264000</v>
      </c>
      <c r="BB10" s="158">
        <v>1</v>
      </c>
      <c r="BC10" s="158">
        <f>BB10*6264000</f>
        <v>6264000</v>
      </c>
      <c r="BD10" s="158">
        <v>1</v>
      </c>
      <c r="BE10" s="158">
        <f>BD10*6264000</f>
        <v>6264000</v>
      </c>
      <c r="BF10" s="158">
        <v>1</v>
      </c>
      <c r="BG10" s="158">
        <f>BF10*6264000</f>
        <v>6264000</v>
      </c>
      <c r="BH10" s="222">
        <v>0</v>
      </c>
      <c r="BI10" s="158">
        <f>BH10*6264000</f>
        <v>0</v>
      </c>
      <c r="BJ10" s="222">
        <f>Z10+AB10+AD10+AF10+AH10+AJ10+AL10+AN10+AP10+AR10+AT10+AV10+AX10+AZ10+BB10+BD10+BF10+BH10</f>
        <v>17</v>
      </c>
      <c r="BK10" s="158">
        <f>AA10+AC10+AE10+AG10+AI10+AK10+AM10+AO10+AQ10+AS10+AU10+AW10+AY10+BA10+BC10+BE10+BG10+BI10</f>
        <v>106488000</v>
      </c>
      <c r="BL10" s="158"/>
      <c r="BM10" s="158"/>
      <c r="BN10" s="158" t="s">
        <v>455</v>
      </c>
      <c r="BO10" s="384"/>
      <c r="BP10" s="351" t="s">
        <v>472</v>
      </c>
      <c r="BR10" s="385"/>
      <c r="BS10" s="385"/>
      <c r="BT10" s="385">
        <f>G10</f>
        <v>106488000</v>
      </c>
      <c r="BU10" s="385"/>
      <c r="BV10" s="385">
        <f>BR10+BS10+BT10+BU10</f>
        <v>106488000</v>
      </c>
      <c r="BW10" s="385"/>
      <c r="BX10" s="385"/>
      <c r="BY10" s="385">
        <f>BW10+BX10</f>
        <v>0</v>
      </c>
      <c r="BZ10" s="589">
        <f t="shared" ref="BZ10:BZ72" si="1">BV10+BY10</f>
        <v>106488000</v>
      </c>
    </row>
    <row r="11" spans="1:78" ht="32.25" customHeight="1" x14ac:dyDescent="0.25">
      <c r="A11" s="830"/>
      <c r="B11" s="60">
        <v>11110</v>
      </c>
      <c r="C11" s="590" t="s">
        <v>71</v>
      </c>
      <c r="D11" s="169" t="s">
        <v>73</v>
      </c>
      <c r="E11" s="169">
        <f>0.05*100000</f>
        <v>5000</v>
      </c>
      <c r="F11" s="220">
        <f>BJ11</f>
        <v>0</v>
      </c>
      <c r="G11" s="158">
        <f>E11*F11</f>
        <v>0</v>
      </c>
      <c r="H11" s="158">
        <f>G11*0.203</f>
        <v>0</v>
      </c>
      <c r="I11" s="158">
        <f>G11*0.6</f>
        <v>0</v>
      </c>
      <c r="J11" s="158">
        <f>G11*0</f>
        <v>0</v>
      </c>
      <c r="K11" s="158">
        <f>G11*0.196</f>
        <v>0</v>
      </c>
      <c r="L11" s="158">
        <f>G11*0.001</f>
        <v>0</v>
      </c>
      <c r="M11" s="158">
        <f>G11*0</f>
        <v>0</v>
      </c>
      <c r="N11" s="158">
        <f>G11*0</f>
        <v>0</v>
      </c>
      <c r="O11" s="158">
        <f>G11*0</f>
        <v>0</v>
      </c>
      <c r="P11" s="158">
        <f>G11*0</f>
        <v>0</v>
      </c>
      <c r="Q11" s="158">
        <f>G11*0</f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f>R11*5000</f>
        <v>0</v>
      </c>
      <c r="W11" s="158">
        <f>S11*5000</f>
        <v>0</v>
      </c>
      <c r="X11" s="158">
        <f>T11*5000</f>
        <v>0</v>
      </c>
      <c r="Y11" s="158">
        <f>U11*5000</f>
        <v>0</v>
      </c>
      <c r="Z11" s="158">
        <v>0</v>
      </c>
      <c r="AA11" s="158">
        <f>Z11*5000</f>
        <v>0</v>
      </c>
      <c r="AB11" s="158">
        <v>0</v>
      </c>
      <c r="AC11" s="158">
        <f>AB11*5000</f>
        <v>0</v>
      </c>
      <c r="AD11" s="158">
        <v>0</v>
      </c>
      <c r="AE11" s="158">
        <f>AD11*5000</f>
        <v>0</v>
      </c>
      <c r="AF11" s="158">
        <v>0</v>
      </c>
      <c r="AG11" s="158">
        <f>AF11*5000</f>
        <v>0</v>
      </c>
      <c r="AH11" s="158">
        <v>0</v>
      </c>
      <c r="AI11" s="158">
        <f>AH11*5000</f>
        <v>0</v>
      </c>
      <c r="AJ11" s="158">
        <v>0</v>
      </c>
      <c r="AK11" s="158">
        <f>AJ11*5000</f>
        <v>0</v>
      </c>
      <c r="AL11" s="158">
        <v>0</v>
      </c>
      <c r="AM11" s="158">
        <f>AL11*5000</f>
        <v>0</v>
      </c>
      <c r="AN11" s="158">
        <v>0</v>
      </c>
      <c r="AO11" s="158">
        <f>AN11*5000</f>
        <v>0</v>
      </c>
      <c r="AP11" s="158">
        <v>0</v>
      </c>
      <c r="AQ11" s="158">
        <f>AP11*5000</f>
        <v>0</v>
      </c>
      <c r="AR11" s="158">
        <v>0</v>
      </c>
      <c r="AS11" s="158">
        <f>AR11*5000</f>
        <v>0</v>
      </c>
      <c r="AT11" s="158">
        <v>0</v>
      </c>
      <c r="AU11" s="158">
        <f>AT11*5000</f>
        <v>0</v>
      </c>
      <c r="AV11" s="158">
        <v>0</v>
      </c>
      <c r="AW11" s="158">
        <f>AV11*5000</f>
        <v>0</v>
      </c>
      <c r="AX11" s="158">
        <v>0</v>
      </c>
      <c r="AY11" s="158">
        <f>AX11*5000</f>
        <v>0</v>
      </c>
      <c r="AZ11" s="158">
        <v>0</v>
      </c>
      <c r="BA11" s="158">
        <f>AZ11*5000</f>
        <v>0</v>
      </c>
      <c r="BB11" s="158">
        <v>0</v>
      </c>
      <c r="BC11" s="158">
        <f>BB11*5000</f>
        <v>0</v>
      </c>
      <c r="BD11" s="158">
        <v>0</v>
      </c>
      <c r="BE11" s="158">
        <f>BD11*5000</f>
        <v>0</v>
      </c>
      <c r="BF11" s="158">
        <v>0</v>
      </c>
      <c r="BG11" s="158">
        <f>BF11*5000</f>
        <v>0</v>
      </c>
      <c r="BH11" s="222">
        <v>0</v>
      </c>
      <c r="BI11" s="158">
        <f>BH11*5000</f>
        <v>0</v>
      </c>
      <c r="BJ11" s="222">
        <f>Z11+AB11+AD11+AF11+AH11+AJ11+AL11+AN11+AP11+AR11+AT11+AV11+AX11+AZ11+BB11+BD11+BF11+BH11</f>
        <v>0</v>
      </c>
      <c r="BK11" s="158">
        <f>AA11+AC11+AE11+AG11+AI11+AK11+AM11+AO11+AQ11+AS11+AU11+AW11+AY11+BA11+BC11+BE11+BG11+BI11</f>
        <v>0</v>
      </c>
      <c r="BL11" s="85"/>
      <c r="BM11" s="85"/>
      <c r="BN11" s="85"/>
      <c r="BO11" s="117"/>
      <c r="BP11" s="330" t="s">
        <v>472</v>
      </c>
      <c r="BR11" s="113"/>
      <c r="BS11" s="113"/>
      <c r="BT11" s="113"/>
      <c r="BU11" s="113"/>
      <c r="BV11" s="113"/>
      <c r="BW11" s="113"/>
      <c r="BX11" s="113"/>
      <c r="BY11" s="113">
        <f>BW11+BX11</f>
        <v>0</v>
      </c>
      <c r="BZ11" s="223">
        <f t="shared" si="1"/>
        <v>0</v>
      </c>
    </row>
    <row r="12" spans="1:78" s="595" customFormat="1" ht="32.25" customHeight="1" x14ac:dyDescent="0.25">
      <c r="A12" s="830"/>
      <c r="B12" s="62"/>
      <c r="C12" s="580" t="s">
        <v>36</v>
      </c>
      <c r="D12" s="140"/>
      <c r="E12" s="172"/>
      <c r="F12" s="591">
        <f>SUM(F10:F11)</f>
        <v>17</v>
      </c>
      <c r="G12" s="172">
        <f>SUM(G10:G11)</f>
        <v>106488000</v>
      </c>
      <c r="H12" s="172">
        <f t="shared" ref="H12:Q12" si="2">SUM(H10:H11)</f>
        <v>53244000</v>
      </c>
      <c r="I12" s="172">
        <f>SUM(I10:I11)</f>
        <v>53244000</v>
      </c>
      <c r="J12" s="172">
        <f>SUM(J10:J11)</f>
        <v>0</v>
      </c>
      <c r="K12" s="172">
        <f t="shared" si="2"/>
        <v>0</v>
      </c>
      <c r="L12" s="172">
        <f t="shared" si="2"/>
        <v>0</v>
      </c>
      <c r="M12" s="172">
        <f t="shared" si="2"/>
        <v>0</v>
      </c>
      <c r="N12" s="172">
        <f t="shared" si="2"/>
        <v>0</v>
      </c>
      <c r="O12" s="172">
        <f t="shared" si="2"/>
        <v>0</v>
      </c>
      <c r="P12" s="172">
        <f t="shared" si="2"/>
        <v>0</v>
      </c>
      <c r="Q12" s="172">
        <f t="shared" si="2"/>
        <v>0</v>
      </c>
      <c r="R12" s="172">
        <f t="shared" ref="R12:Y12" si="3">SUM(R10:R11)</f>
        <v>4.25</v>
      </c>
      <c r="S12" s="172">
        <f t="shared" si="3"/>
        <v>4.25</v>
      </c>
      <c r="T12" s="172">
        <f t="shared" si="3"/>
        <v>4.25</v>
      </c>
      <c r="U12" s="172">
        <f t="shared" si="3"/>
        <v>4.25</v>
      </c>
      <c r="V12" s="172">
        <f t="shared" si="3"/>
        <v>26622000</v>
      </c>
      <c r="W12" s="172">
        <f t="shared" si="3"/>
        <v>26622000</v>
      </c>
      <c r="X12" s="172">
        <f t="shared" si="3"/>
        <v>26622000</v>
      </c>
      <c r="Y12" s="172">
        <f t="shared" si="3"/>
        <v>26622000</v>
      </c>
      <c r="Z12" s="172">
        <f t="shared" ref="Z12:BK12" si="4">SUM(Z10:Z11)</f>
        <v>1</v>
      </c>
      <c r="AA12" s="172">
        <f t="shared" si="4"/>
        <v>6264000</v>
      </c>
      <c r="AB12" s="172">
        <f t="shared" si="4"/>
        <v>1</v>
      </c>
      <c r="AC12" s="172">
        <f t="shared" si="4"/>
        <v>6264000</v>
      </c>
      <c r="AD12" s="172">
        <f t="shared" si="4"/>
        <v>1</v>
      </c>
      <c r="AE12" s="172">
        <f t="shared" si="4"/>
        <v>6264000</v>
      </c>
      <c r="AF12" s="172">
        <f t="shared" si="4"/>
        <v>1</v>
      </c>
      <c r="AG12" s="172">
        <f t="shared" si="4"/>
        <v>6264000</v>
      </c>
      <c r="AH12" s="172">
        <f t="shared" si="4"/>
        <v>1</v>
      </c>
      <c r="AI12" s="172">
        <f t="shared" si="4"/>
        <v>6264000</v>
      </c>
      <c r="AJ12" s="172">
        <f t="shared" si="4"/>
        <v>1</v>
      </c>
      <c r="AK12" s="172">
        <f t="shared" si="4"/>
        <v>6264000</v>
      </c>
      <c r="AL12" s="172">
        <f t="shared" si="4"/>
        <v>1</v>
      </c>
      <c r="AM12" s="172">
        <f t="shared" si="4"/>
        <v>6264000</v>
      </c>
      <c r="AN12" s="172">
        <f t="shared" si="4"/>
        <v>1</v>
      </c>
      <c r="AO12" s="172">
        <f t="shared" si="4"/>
        <v>6264000</v>
      </c>
      <c r="AP12" s="172">
        <f t="shared" si="4"/>
        <v>1</v>
      </c>
      <c r="AQ12" s="172">
        <f t="shared" si="4"/>
        <v>6264000</v>
      </c>
      <c r="AR12" s="172">
        <f t="shared" si="4"/>
        <v>1</v>
      </c>
      <c r="AS12" s="172">
        <f t="shared" si="4"/>
        <v>6264000</v>
      </c>
      <c r="AT12" s="172">
        <f t="shared" si="4"/>
        <v>1</v>
      </c>
      <c r="AU12" s="172">
        <f t="shared" si="4"/>
        <v>6264000</v>
      </c>
      <c r="AV12" s="172">
        <f t="shared" si="4"/>
        <v>1</v>
      </c>
      <c r="AW12" s="172">
        <f t="shared" si="4"/>
        <v>6264000</v>
      </c>
      <c r="AX12" s="172">
        <f t="shared" si="4"/>
        <v>1</v>
      </c>
      <c r="AY12" s="172">
        <f t="shared" si="4"/>
        <v>6264000</v>
      </c>
      <c r="AZ12" s="172">
        <f t="shared" si="4"/>
        <v>1</v>
      </c>
      <c r="BA12" s="172">
        <f t="shared" si="4"/>
        <v>6264000</v>
      </c>
      <c r="BB12" s="172">
        <f t="shared" si="4"/>
        <v>1</v>
      </c>
      <c r="BC12" s="172">
        <f t="shared" si="4"/>
        <v>6264000</v>
      </c>
      <c r="BD12" s="172">
        <f t="shared" si="4"/>
        <v>1</v>
      </c>
      <c r="BE12" s="172">
        <f t="shared" si="4"/>
        <v>6264000</v>
      </c>
      <c r="BF12" s="172">
        <f t="shared" si="4"/>
        <v>1</v>
      </c>
      <c r="BG12" s="172">
        <f t="shared" si="4"/>
        <v>6264000</v>
      </c>
      <c r="BH12" s="172">
        <f t="shared" si="4"/>
        <v>0</v>
      </c>
      <c r="BI12" s="172">
        <f t="shared" si="4"/>
        <v>0</v>
      </c>
      <c r="BJ12" s="172">
        <f t="shared" si="4"/>
        <v>17</v>
      </c>
      <c r="BK12" s="172">
        <f t="shared" si="4"/>
        <v>106488000</v>
      </c>
      <c r="BL12" s="140"/>
      <c r="BM12" s="592"/>
      <c r="BN12" s="140"/>
      <c r="BO12" s="593"/>
      <c r="BP12" s="592"/>
      <c r="BQ12" s="67"/>
      <c r="BR12" s="594">
        <f t="shared" ref="BR12:BY12" si="5">SUM(BR10:BR11)</f>
        <v>0</v>
      </c>
      <c r="BS12" s="594">
        <f t="shared" si="5"/>
        <v>0</v>
      </c>
      <c r="BT12" s="594">
        <f t="shared" si="5"/>
        <v>106488000</v>
      </c>
      <c r="BU12" s="594">
        <f t="shared" si="5"/>
        <v>0</v>
      </c>
      <c r="BV12" s="594">
        <f t="shared" si="5"/>
        <v>106488000</v>
      </c>
      <c r="BW12" s="594">
        <f t="shared" si="5"/>
        <v>0</v>
      </c>
      <c r="BX12" s="594">
        <f t="shared" si="5"/>
        <v>0</v>
      </c>
      <c r="BY12" s="594">
        <f t="shared" si="5"/>
        <v>0</v>
      </c>
      <c r="BZ12" s="594">
        <f t="shared" si="1"/>
        <v>106488000</v>
      </c>
    </row>
    <row r="13" spans="1:78" ht="32.25" customHeight="1" x14ac:dyDescent="0.25">
      <c r="A13" s="830"/>
      <c r="B13" s="575">
        <v>11200</v>
      </c>
      <c r="C13" s="470" t="s">
        <v>74</v>
      </c>
      <c r="D13" s="145"/>
      <c r="E13" s="299"/>
      <c r="F13" s="158"/>
      <c r="G13" s="158"/>
      <c r="H13" s="158"/>
      <c r="I13" s="158"/>
      <c r="J13" s="158"/>
      <c r="K13" s="158"/>
      <c r="L13" s="158"/>
      <c r="M13" s="158"/>
      <c r="N13" s="158"/>
      <c r="O13" s="299"/>
      <c r="P13" s="299"/>
      <c r="Q13" s="299"/>
      <c r="R13" s="158"/>
      <c r="S13" s="158"/>
      <c r="T13" s="158"/>
      <c r="U13" s="158"/>
      <c r="V13" s="158"/>
      <c r="W13" s="158"/>
      <c r="X13" s="169"/>
      <c r="Y13" s="169"/>
      <c r="Z13" s="158"/>
      <c r="AA13" s="169"/>
      <c r="AB13" s="158"/>
      <c r="AC13" s="169"/>
      <c r="AD13" s="158"/>
      <c r="AE13" s="169"/>
      <c r="AF13" s="158"/>
      <c r="AG13" s="169"/>
      <c r="AH13" s="158"/>
      <c r="AI13" s="169"/>
      <c r="AJ13" s="158"/>
      <c r="AK13" s="169"/>
      <c r="AL13" s="158"/>
      <c r="AM13" s="169"/>
      <c r="AN13" s="158"/>
      <c r="AO13" s="169"/>
      <c r="AP13" s="158"/>
      <c r="AQ13" s="169"/>
      <c r="AR13" s="158"/>
      <c r="AS13" s="169"/>
      <c r="AT13" s="158"/>
      <c r="AU13" s="169"/>
      <c r="AV13" s="158"/>
      <c r="AW13" s="169"/>
      <c r="AX13" s="158"/>
      <c r="AY13" s="169"/>
      <c r="AZ13" s="158"/>
      <c r="BA13" s="169"/>
      <c r="BB13" s="158"/>
      <c r="BC13" s="169"/>
      <c r="BD13" s="158"/>
      <c r="BE13" s="169"/>
      <c r="BF13" s="158"/>
      <c r="BG13" s="169"/>
      <c r="BH13" s="158"/>
      <c r="BI13" s="169"/>
      <c r="BJ13" s="158"/>
      <c r="BK13" s="158"/>
      <c r="BL13" s="85"/>
      <c r="BM13" s="85" t="s">
        <v>451</v>
      </c>
      <c r="BN13" s="85" t="s">
        <v>451</v>
      </c>
      <c r="BO13" s="117"/>
      <c r="BP13" s="85"/>
      <c r="BR13" s="113"/>
      <c r="BS13" s="113"/>
      <c r="BT13" s="113"/>
      <c r="BU13" s="113"/>
      <c r="BV13" s="113"/>
      <c r="BW13" s="113"/>
      <c r="BX13" s="113"/>
      <c r="BY13" s="113"/>
      <c r="BZ13" s="223">
        <f t="shared" si="1"/>
        <v>0</v>
      </c>
    </row>
    <row r="14" spans="1:78" ht="32.25" customHeight="1" x14ac:dyDescent="0.25">
      <c r="A14" s="830"/>
      <c r="B14" s="221">
        <v>11210</v>
      </c>
      <c r="C14" s="169" t="s">
        <v>75</v>
      </c>
      <c r="D14" s="169" t="s">
        <v>79</v>
      </c>
      <c r="E14" s="169">
        <f>0.075*100000</f>
        <v>7500</v>
      </c>
      <c r="F14" s="220">
        <f>BJ14</f>
        <v>420</v>
      </c>
      <c r="G14" s="176">
        <f t="shared" ref="G14:G28" si="6">E14*F14</f>
        <v>3150000</v>
      </c>
      <c r="H14" s="158">
        <f>G14*0.2</f>
        <v>630000</v>
      </c>
      <c r="I14" s="158">
        <f>G14*0.8</f>
        <v>2520000</v>
      </c>
      <c r="J14" s="158">
        <f t="shared" ref="J14:J28" si="7">G14*0</f>
        <v>0</v>
      </c>
      <c r="K14" s="158">
        <f t="shared" ref="K14:K28" si="8">G14*0</f>
        <v>0</v>
      </c>
      <c r="L14" s="158">
        <f>G14*0</f>
        <v>0</v>
      </c>
      <c r="M14" s="158">
        <f t="shared" ref="M14:M28" si="9">G14*0</f>
        <v>0</v>
      </c>
      <c r="N14" s="158">
        <f t="shared" ref="N14:N28" si="10">G14*0</f>
        <v>0</v>
      </c>
      <c r="O14" s="158">
        <f t="shared" ref="O14:O28" si="11">G14*0</f>
        <v>0</v>
      </c>
      <c r="P14" s="158">
        <f t="shared" ref="P14:P28" si="12">G14*0</f>
        <v>0</v>
      </c>
      <c r="Q14" s="158">
        <f t="shared" ref="Q14:Q28" si="13">G14*0</f>
        <v>0</v>
      </c>
      <c r="R14" s="158">
        <v>105</v>
      </c>
      <c r="S14" s="222">
        <v>105</v>
      </c>
      <c r="T14" s="222">
        <v>105</v>
      </c>
      <c r="U14" s="222">
        <v>105</v>
      </c>
      <c r="V14" s="158">
        <f>R14*7500</f>
        <v>787500</v>
      </c>
      <c r="W14" s="158">
        <f>S14*7500</f>
        <v>787500</v>
      </c>
      <c r="X14" s="158">
        <f>T14*7500</f>
        <v>787500</v>
      </c>
      <c r="Y14" s="158">
        <f>U14*7500</f>
        <v>787500</v>
      </c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220">
        <v>420</v>
      </c>
      <c r="BI14" s="158">
        <f>BH14*7500</f>
        <v>3150000</v>
      </c>
      <c r="BJ14" s="222">
        <f>Z14+AB14+AD14+AF14+AH14+AJ14+AL14+AN14+AP14+AR14+AT14+AV14+AX14+AZ14+BB14+BD14+BF14+BH14</f>
        <v>420</v>
      </c>
      <c r="BK14" s="176">
        <f t="shared" ref="BJ14:BK28" si="14">AA14+AC14+AE14+AG14+AI14+AK14+AM14+AO14+AQ14+AS14+AU14+AW14+AY14+BA14+BC14+BE14+BG14+BI14</f>
        <v>3150000</v>
      </c>
      <c r="BL14" s="85"/>
      <c r="BM14" s="85"/>
      <c r="BN14" s="85"/>
      <c r="BO14" s="117"/>
      <c r="BP14" s="330" t="s">
        <v>832</v>
      </c>
      <c r="BR14" s="113"/>
      <c r="BS14" s="113">
        <f>G14</f>
        <v>3150000</v>
      </c>
      <c r="BT14" s="113"/>
      <c r="BU14" s="113"/>
      <c r="BV14" s="113">
        <f>BR14+BS14+BT14+BU14</f>
        <v>3150000</v>
      </c>
      <c r="BW14" s="113"/>
      <c r="BX14" s="113"/>
      <c r="BY14" s="113">
        <f>BW14+BX14</f>
        <v>0</v>
      </c>
      <c r="BZ14" s="223">
        <f t="shared" si="1"/>
        <v>3150000</v>
      </c>
    </row>
    <row r="15" spans="1:78" ht="32.25" customHeight="1" x14ac:dyDescent="0.25">
      <c r="A15" s="830"/>
      <c r="B15" s="221">
        <v>11220</v>
      </c>
      <c r="C15" s="169" t="s">
        <v>76</v>
      </c>
      <c r="D15" s="169" t="s">
        <v>79</v>
      </c>
      <c r="E15" s="169">
        <f>0.015*100000</f>
        <v>1500</v>
      </c>
      <c r="F15" s="220">
        <f t="shared" ref="F15:F28" si="15">BJ15</f>
        <v>72</v>
      </c>
      <c r="G15" s="158">
        <f t="shared" si="6"/>
        <v>108000</v>
      </c>
      <c r="H15" s="158">
        <f t="shared" ref="H15:H28" si="16">G15*0.2</f>
        <v>21600</v>
      </c>
      <c r="I15" s="158">
        <f t="shared" ref="I15:I28" si="17">G15*0.8</f>
        <v>86400</v>
      </c>
      <c r="J15" s="158">
        <f t="shared" si="7"/>
        <v>0</v>
      </c>
      <c r="K15" s="158">
        <f t="shared" si="8"/>
        <v>0</v>
      </c>
      <c r="L15" s="158">
        <f t="shared" ref="L15:L28" si="18">G15*0</f>
        <v>0</v>
      </c>
      <c r="M15" s="158">
        <f t="shared" si="9"/>
        <v>0</v>
      </c>
      <c r="N15" s="158">
        <f t="shared" si="10"/>
        <v>0</v>
      </c>
      <c r="O15" s="158">
        <f t="shared" si="11"/>
        <v>0</v>
      </c>
      <c r="P15" s="158">
        <f t="shared" si="12"/>
        <v>0</v>
      </c>
      <c r="Q15" s="158">
        <f t="shared" si="13"/>
        <v>0</v>
      </c>
      <c r="R15" s="158"/>
      <c r="S15" s="222"/>
      <c r="T15" s="222">
        <f>F15*0.5</f>
        <v>36</v>
      </c>
      <c r="U15" s="222">
        <f>F15*0.5</f>
        <v>36</v>
      </c>
      <c r="V15" s="158">
        <f>R15*1500</f>
        <v>0</v>
      </c>
      <c r="W15" s="158">
        <f>S15*1500</f>
        <v>0</v>
      </c>
      <c r="X15" s="158">
        <f>T15*1500</f>
        <v>54000</v>
      </c>
      <c r="Y15" s="158">
        <f>U15*1500</f>
        <v>54000</v>
      </c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220">
        <v>72</v>
      </c>
      <c r="BI15" s="158">
        <f>BH15*1500</f>
        <v>108000</v>
      </c>
      <c r="BJ15" s="222">
        <f t="shared" si="14"/>
        <v>72</v>
      </c>
      <c r="BK15" s="158">
        <f t="shared" si="14"/>
        <v>108000</v>
      </c>
      <c r="BL15" s="85"/>
      <c r="BM15" s="85"/>
      <c r="BN15" s="85"/>
      <c r="BO15" s="117"/>
      <c r="BP15" s="330" t="s">
        <v>832</v>
      </c>
      <c r="BR15" s="113"/>
      <c r="BS15" s="113">
        <f t="shared" ref="BS15:BS28" si="19">G15</f>
        <v>108000</v>
      </c>
      <c r="BT15" s="113"/>
      <c r="BU15" s="113"/>
      <c r="BV15" s="113">
        <f t="shared" ref="BV15:BV28" si="20">BR15+BS15+BT15+BU15</f>
        <v>108000</v>
      </c>
      <c r="BW15" s="113"/>
      <c r="BX15" s="113"/>
      <c r="BY15" s="113">
        <f>BW15+BX15</f>
        <v>0</v>
      </c>
      <c r="BZ15" s="223">
        <f t="shared" si="1"/>
        <v>108000</v>
      </c>
    </row>
    <row r="16" spans="1:78" ht="32.25" customHeight="1" x14ac:dyDescent="0.25">
      <c r="A16" s="830"/>
      <c r="B16" s="221">
        <v>11230</v>
      </c>
      <c r="C16" s="169" t="s">
        <v>77</v>
      </c>
      <c r="D16" s="169" t="s">
        <v>79</v>
      </c>
      <c r="E16" s="169">
        <f>0.015*100000</f>
        <v>1500</v>
      </c>
      <c r="F16" s="220">
        <f t="shared" si="15"/>
        <v>72</v>
      </c>
      <c r="G16" s="158">
        <f t="shared" si="6"/>
        <v>108000</v>
      </c>
      <c r="H16" s="158">
        <f t="shared" si="16"/>
        <v>21600</v>
      </c>
      <c r="I16" s="158">
        <f t="shared" si="17"/>
        <v>86400</v>
      </c>
      <c r="J16" s="158">
        <f t="shared" si="7"/>
        <v>0</v>
      </c>
      <c r="K16" s="158">
        <f t="shared" si="8"/>
        <v>0</v>
      </c>
      <c r="L16" s="158">
        <f t="shared" si="18"/>
        <v>0</v>
      </c>
      <c r="M16" s="158">
        <f t="shared" si="9"/>
        <v>0</v>
      </c>
      <c r="N16" s="158">
        <f t="shared" si="10"/>
        <v>0</v>
      </c>
      <c r="O16" s="158">
        <f t="shared" si="11"/>
        <v>0</v>
      </c>
      <c r="P16" s="158">
        <f t="shared" si="12"/>
        <v>0</v>
      </c>
      <c r="Q16" s="158">
        <f t="shared" si="13"/>
        <v>0</v>
      </c>
      <c r="R16" s="158">
        <v>36</v>
      </c>
      <c r="S16" s="222">
        <v>36</v>
      </c>
      <c r="T16" s="222"/>
      <c r="U16" s="222"/>
      <c r="V16" s="158">
        <f>R16*1500</f>
        <v>54000</v>
      </c>
      <c r="W16" s="158">
        <f>S16*1500</f>
        <v>54000</v>
      </c>
      <c r="X16" s="158">
        <f t="shared" ref="X16:X28" si="21">T16*1500</f>
        <v>0</v>
      </c>
      <c r="Y16" s="158">
        <f t="shared" ref="Y16:Y28" si="22">U16*1500</f>
        <v>0</v>
      </c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220">
        <v>72</v>
      </c>
      <c r="BI16" s="158">
        <f>BH16*1500</f>
        <v>108000</v>
      </c>
      <c r="BJ16" s="222">
        <f t="shared" si="14"/>
        <v>72</v>
      </c>
      <c r="BK16" s="158">
        <f t="shared" si="14"/>
        <v>108000</v>
      </c>
      <c r="BL16" s="85"/>
      <c r="BM16" s="85"/>
      <c r="BN16" s="85"/>
      <c r="BO16" s="117"/>
      <c r="BP16" s="330" t="s">
        <v>832</v>
      </c>
      <c r="BR16" s="113"/>
      <c r="BS16" s="113">
        <f t="shared" si="19"/>
        <v>108000</v>
      </c>
      <c r="BT16" s="113"/>
      <c r="BU16" s="113"/>
      <c r="BV16" s="113">
        <f t="shared" si="20"/>
        <v>108000</v>
      </c>
      <c r="BW16" s="113"/>
      <c r="BX16" s="113"/>
      <c r="BY16" s="113">
        <f>BW16+BX16</f>
        <v>0</v>
      </c>
      <c r="BZ16" s="223">
        <f t="shared" si="1"/>
        <v>108000</v>
      </c>
    </row>
    <row r="17" spans="1:78" ht="32.25" customHeight="1" x14ac:dyDescent="0.25">
      <c r="A17" s="830"/>
      <c r="B17" s="221">
        <v>11240</v>
      </c>
      <c r="C17" s="169" t="s">
        <v>78</v>
      </c>
      <c r="D17" s="169" t="s">
        <v>79</v>
      </c>
      <c r="E17" s="169">
        <f>0.015*100000</f>
        <v>1500</v>
      </c>
      <c r="F17" s="220">
        <f t="shared" si="15"/>
        <v>72</v>
      </c>
      <c r="G17" s="158">
        <f t="shared" si="6"/>
        <v>108000</v>
      </c>
      <c r="H17" s="158">
        <f t="shared" si="16"/>
        <v>21600</v>
      </c>
      <c r="I17" s="158">
        <f t="shared" si="17"/>
        <v>86400</v>
      </c>
      <c r="J17" s="158">
        <f t="shared" si="7"/>
        <v>0</v>
      </c>
      <c r="K17" s="158">
        <f t="shared" si="8"/>
        <v>0</v>
      </c>
      <c r="L17" s="158">
        <f t="shared" si="18"/>
        <v>0</v>
      </c>
      <c r="M17" s="158">
        <f t="shared" si="9"/>
        <v>0</v>
      </c>
      <c r="N17" s="158">
        <f t="shared" si="10"/>
        <v>0</v>
      </c>
      <c r="O17" s="158">
        <f t="shared" si="11"/>
        <v>0</v>
      </c>
      <c r="P17" s="158">
        <f t="shared" si="12"/>
        <v>0</v>
      </c>
      <c r="Q17" s="158">
        <f t="shared" si="13"/>
        <v>0</v>
      </c>
      <c r="R17" s="158">
        <v>36</v>
      </c>
      <c r="S17" s="222">
        <v>36</v>
      </c>
      <c r="T17" s="222"/>
      <c r="U17" s="222"/>
      <c r="V17" s="158">
        <f>R17*1500</f>
        <v>54000</v>
      </c>
      <c r="W17" s="158">
        <f t="shared" ref="W17:W28" si="23">S17*1500</f>
        <v>54000</v>
      </c>
      <c r="X17" s="158">
        <f t="shared" si="21"/>
        <v>0</v>
      </c>
      <c r="Y17" s="158">
        <f t="shared" si="22"/>
        <v>0</v>
      </c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220">
        <v>72</v>
      </c>
      <c r="BI17" s="158">
        <f>BH17*1500</f>
        <v>108000</v>
      </c>
      <c r="BJ17" s="222">
        <f t="shared" si="14"/>
        <v>72</v>
      </c>
      <c r="BK17" s="158">
        <f t="shared" si="14"/>
        <v>108000</v>
      </c>
      <c r="BL17" s="85"/>
      <c r="BM17" s="85"/>
      <c r="BN17" s="85"/>
      <c r="BO17" s="117"/>
      <c r="BP17" s="330" t="s">
        <v>832</v>
      </c>
      <c r="BR17" s="113"/>
      <c r="BS17" s="113">
        <f t="shared" si="19"/>
        <v>108000</v>
      </c>
      <c r="BT17" s="113"/>
      <c r="BU17" s="113"/>
      <c r="BV17" s="113">
        <f t="shared" si="20"/>
        <v>108000</v>
      </c>
      <c r="BW17" s="113"/>
      <c r="BX17" s="113"/>
      <c r="BY17" s="113">
        <f>BW17+BX17</f>
        <v>0</v>
      </c>
      <c r="BZ17" s="223">
        <f t="shared" si="1"/>
        <v>108000</v>
      </c>
    </row>
    <row r="18" spans="1:78" ht="32.25" customHeight="1" x14ac:dyDescent="0.25">
      <c r="A18" s="830"/>
      <c r="B18" s="221"/>
      <c r="C18" s="325" t="s">
        <v>500</v>
      </c>
      <c r="D18" s="169" t="s">
        <v>79</v>
      </c>
      <c r="E18" s="169">
        <f t="shared" ref="E18:E29" si="24">0.015*100000</f>
        <v>1500</v>
      </c>
      <c r="F18" s="220">
        <f t="shared" si="15"/>
        <v>140</v>
      </c>
      <c r="G18" s="158">
        <f t="shared" si="6"/>
        <v>210000</v>
      </c>
      <c r="H18" s="158">
        <f>G18*0.2</f>
        <v>42000</v>
      </c>
      <c r="I18" s="158">
        <f t="shared" si="17"/>
        <v>168000</v>
      </c>
      <c r="J18" s="158">
        <f t="shared" si="7"/>
        <v>0</v>
      </c>
      <c r="K18" s="158">
        <f t="shared" si="8"/>
        <v>0</v>
      </c>
      <c r="L18" s="158">
        <f t="shared" si="18"/>
        <v>0</v>
      </c>
      <c r="M18" s="158">
        <f t="shared" si="9"/>
        <v>0</v>
      </c>
      <c r="N18" s="158">
        <f t="shared" si="10"/>
        <v>0</v>
      </c>
      <c r="O18" s="158">
        <f t="shared" si="11"/>
        <v>0</v>
      </c>
      <c r="P18" s="158">
        <f t="shared" si="12"/>
        <v>0</v>
      </c>
      <c r="Q18" s="158">
        <f t="shared" si="13"/>
        <v>0</v>
      </c>
      <c r="R18" s="158">
        <v>35</v>
      </c>
      <c r="S18" s="222">
        <v>35</v>
      </c>
      <c r="T18" s="222">
        <v>35</v>
      </c>
      <c r="U18" s="222">
        <v>35</v>
      </c>
      <c r="V18" s="158">
        <f t="shared" ref="V18:V28" si="25">R18*1500</f>
        <v>52500</v>
      </c>
      <c r="W18" s="158">
        <f t="shared" si="23"/>
        <v>52500</v>
      </c>
      <c r="X18" s="158">
        <f t="shared" si="21"/>
        <v>52500</v>
      </c>
      <c r="Y18" s="158">
        <f t="shared" si="22"/>
        <v>52500</v>
      </c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220">
        <v>140</v>
      </c>
      <c r="BI18" s="158">
        <v>210000</v>
      </c>
      <c r="BJ18" s="222">
        <f t="shared" si="14"/>
        <v>140</v>
      </c>
      <c r="BK18" s="158">
        <f t="shared" si="14"/>
        <v>210000</v>
      </c>
      <c r="BL18" s="85"/>
      <c r="BM18" s="85"/>
      <c r="BN18" s="85"/>
      <c r="BO18" s="117"/>
      <c r="BP18" s="330" t="s">
        <v>832</v>
      </c>
      <c r="BR18" s="113"/>
      <c r="BS18" s="113">
        <f t="shared" si="19"/>
        <v>210000</v>
      </c>
      <c r="BT18" s="113"/>
      <c r="BU18" s="113"/>
      <c r="BV18" s="113">
        <f t="shared" si="20"/>
        <v>210000</v>
      </c>
      <c r="BW18" s="113"/>
      <c r="BX18" s="113"/>
      <c r="BY18" s="113"/>
      <c r="BZ18" s="223"/>
    </row>
    <row r="19" spans="1:78" ht="32.25" customHeight="1" x14ac:dyDescent="0.25">
      <c r="A19" s="830"/>
      <c r="B19" s="221"/>
      <c r="C19" s="325" t="s">
        <v>501</v>
      </c>
      <c r="D19" s="169" t="s">
        <v>79</v>
      </c>
      <c r="E19" s="169">
        <f t="shared" si="24"/>
        <v>1500</v>
      </c>
      <c r="F19" s="220">
        <f t="shared" si="15"/>
        <v>140</v>
      </c>
      <c r="G19" s="158">
        <f t="shared" si="6"/>
        <v>210000</v>
      </c>
      <c r="H19" s="158">
        <f t="shared" si="16"/>
        <v>42000</v>
      </c>
      <c r="I19" s="158">
        <f t="shared" si="17"/>
        <v>168000</v>
      </c>
      <c r="J19" s="158">
        <f t="shared" si="7"/>
        <v>0</v>
      </c>
      <c r="K19" s="158">
        <f t="shared" si="8"/>
        <v>0</v>
      </c>
      <c r="L19" s="158">
        <f t="shared" si="18"/>
        <v>0</v>
      </c>
      <c r="M19" s="158">
        <f t="shared" si="9"/>
        <v>0</v>
      </c>
      <c r="N19" s="158">
        <f t="shared" si="10"/>
        <v>0</v>
      </c>
      <c r="O19" s="158">
        <f t="shared" si="11"/>
        <v>0</v>
      </c>
      <c r="P19" s="158">
        <f t="shared" si="12"/>
        <v>0</v>
      </c>
      <c r="Q19" s="158">
        <f t="shared" si="13"/>
        <v>0</v>
      </c>
      <c r="R19" s="158">
        <v>35</v>
      </c>
      <c r="S19" s="222">
        <v>35</v>
      </c>
      <c r="T19" s="222">
        <v>35</v>
      </c>
      <c r="U19" s="222">
        <v>35</v>
      </c>
      <c r="V19" s="158">
        <f t="shared" si="25"/>
        <v>52500</v>
      </c>
      <c r="W19" s="158">
        <f t="shared" si="23"/>
        <v>52500</v>
      </c>
      <c r="X19" s="158">
        <f t="shared" si="21"/>
        <v>52500</v>
      </c>
      <c r="Y19" s="158">
        <f t="shared" si="22"/>
        <v>52500</v>
      </c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220">
        <v>140</v>
      </c>
      <c r="BI19" s="158">
        <v>210000</v>
      </c>
      <c r="BJ19" s="222">
        <f t="shared" si="14"/>
        <v>140</v>
      </c>
      <c r="BK19" s="158">
        <f t="shared" si="14"/>
        <v>210000</v>
      </c>
      <c r="BL19" s="85"/>
      <c r="BM19" s="85"/>
      <c r="BN19" s="85"/>
      <c r="BO19" s="117"/>
      <c r="BP19" s="330" t="s">
        <v>832</v>
      </c>
      <c r="BR19" s="113"/>
      <c r="BS19" s="113">
        <f t="shared" si="19"/>
        <v>210000</v>
      </c>
      <c r="BT19" s="113"/>
      <c r="BU19" s="113"/>
      <c r="BV19" s="113">
        <f t="shared" si="20"/>
        <v>210000</v>
      </c>
      <c r="BW19" s="113"/>
      <c r="BX19" s="113"/>
      <c r="BY19" s="113"/>
      <c r="BZ19" s="223"/>
    </row>
    <row r="20" spans="1:78" ht="32.25" customHeight="1" x14ac:dyDescent="0.25">
      <c r="A20" s="830"/>
      <c r="B20" s="221"/>
      <c r="C20" s="325" t="s">
        <v>502</v>
      </c>
      <c r="D20" s="169" t="s">
        <v>79</v>
      </c>
      <c r="E20" s="169">
        <f t="shared" si="24"/>
        <v>1500</v>
      </c>
      <c r="F20" s="220">
        <f t="shared" si="15"/>
        <v>140</v>
      </c>
      <c r="G20" s="158">
        <f t="shared" si="6"/>
        <v>210000</v>
      </c>
      <c r="H20" s="158">
        <f t="shared" si="16"/>
        <v>42000</v>
      </c>
      <c r="I20" s="158">
        <f t="shared" si="17"/>
        <v>168000</v>
      </c>
      <c r="J20" s="158">
        <f t="shared" si="7"/>
        <v>0</v>
      </c>
      <c r="K20" s="158">
        <f t="shared" si="8"/>
        <v>0</v>
      </c>
      <c r="L20" s="158">
        <f t="shared" si="18"/>
        <v>0</v>
      </c>
      <c r="M20" s="158">
        <f t="shared" si="9"/>
        <v>0</v>
      </c>
      <c r="N20" s="158">
        <f t="shared" si="10"/>
        <v>0</v>
      </c>
      <c r="O20" s="158">
        <f t="shared" si="11"/>
        <v>0</v>
      </c>
      <c r="P20" s="158">
        <f t="shared" si="12"/>
        <v>0</v>
      </c>
      <c r="Q20" s="158">
        <f t="shared" si="13"/>
        <v>0</v>
      </c>
      <c r="R20" s="158">
        <v>35</v>
      </c>
      <c r="S20" s="222">
        <v>35</v>
      </c>
      <c r="T20" s="222">
        <v>35</v>
      </c>
      <c r="U20" s="222">
        <v>35</v>
      </c>
      <c r="V20" s="158">
        <f t="shared" si="25"/>
        <v>52500</v>
      </c>
      <c r="W20" s="158">
        <f t="shared" si="23"/>
        <v>52500</v>
      </c>
      <c r="X20" s="158">
        <f t="shared" si="21"/>
        <v>52500</v>
      </c>
      <c r="Y20" s="158">
        <f t="shared" si="22"/>
        <v>52500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220">
        <v>140</v>
      </c>
      <c r="BI20" s="158">
        <v>210000</v>
      </c>
      <c r="BJ20" s="222">
        <f t="shared" si="14"/>
        <v>140</v>
      </c>
      <c r="BK20" s="158">
        <f t="shared" si="14"/>
        <v>210000</v>
      </c>
      <c r="BL20" s="85"/>
      <c r="BM20" s="85"/>
      <c r="BN20" s="85"/>
      <c r="BO20" s="117"/>
      <c r="BP20" s="330" t="s">
        <v>832</v>
      </c>
      <c r="BR20" s="113"/>
      <c r="BS20" s="113">
        <f t="shared" si="19"/>
        <v>210000</v>
      </c>
      <c r="BT20" s="113"/>
      <c r="BU20" s="113"/>
      <c r="BV20" s="113">
        <f t="shared" si="20"/>
        <v>210000</v>
      </c>
      <c r="BW20" s="113"/>
      <c r="BX20" s="113"/>
      <c r="BY20" s="113"/>
      <c r="BZ20" s="223"/>
    </row>
    <row r="21" spans="1:78" ht="32.25" customHeight="1" x14ac:dyDescent="0.25">
      <c r="A21" s="830"/>
      <c r="B21" s="221"/>
      <c r="C21" s="325" t="s">
        <v>503</v>
      </c>
      <c r="D21" s="169" t="s">
        <v>79</v>
      </c>
      <c r="E21" s="169">
        <f t="shared" si="24"/>
        <v>1500</v>
      </c>
      <c r="F21" s="220">
        <f t="shared" si="15"/>
        <v>140</v>
      </c>
      <c r="G21" s="158">
        <f t="shared" si="6"/>
        <v>210000</v>
      </c>
      <c r="H21" s="158">
        <f>G21*0.2</f>
        <v>42000</v>
      </c>
      <c r="I21" s="158">
        <f t="shared" si="17"/>
        <v>168000</v>
      </c>
      <c r="J21" s="158">
        <f t="shared" si="7"/>
        <v>0</v>
      </c>
      <c r="K21" s="158">
        <f t="shared" si="8"/>
        <v>0</v>
      </c>
      <c r="L21" s="158">
        <f t="shared" si="18"/>
        <v>0</v>
      </c>
      <c r="M21" s="158">
        <f t="shared" si="9"/>
        <v>0</v>
      </c>
      <c r="N21" s="158">
        <f t="shared" si="10"/>
        <v>0</v>
      </c>
      <c r="O21" s="158">
        <f t="shared" si="11"/>
        <v>0</v>
      </c>
      <c r="P21" s="158">
        <f t="shared" si="12"/>
        <v>0</v>
      </c>
      <c r="Q21" s="158">
        <f t="shared" si="13"/>
        <v>0</v>
      </c>
      <c r="R21" s="158">
        <v>35</v>
      </c>
      <c r="S21" s="222">
        <v>35</v>
      </c>
      <c r="T21" s="222">
        <v>35</v>
      </c>
      <c r="U21" s="222">
        <v>35</v>
      </c>
      <c r="V21" s="158">
        <f t="shared" si="25"/>
        <v>52500</v>
      </c>
      <c r="W21" s="158">
        <f t="shared" si="23"/>
        <v>52500</v>
      </c>
      <c r="X21" s="158">
        <f t="shared" si="21"/>
        <v>52500</v>
      </c>
      <c r="Y21" s="158">
        <f t="shared" si="22"/>
        <v>52500</v>
      </c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220">
        <v>140</v>
      </c>
      <c r="BI21" s="158">
        <v>210000</v>
      </c>
      <c r="BJ21" s="222">
        <f t="shared" si="14"/>
        <v>140</v>
      </c>
      <c r="BK21" s="158">
        <f t="shared" si="14"/>
        <v>210000</v>
      </c>
      <c r="BL21" s="85"/>
      <c r="BM21" s="85"/>
      <c r="BN21" s="85"/>
      <c r="BO21" s="117"/>
      <c r="BP21" s="330" t="s">
        <v>832</v>
      </c>
      <c r="BR21" s="113"/>
      <c r="BS21" s="113">
        <f t="shared" si="19"/>
        <v>210000</v>
      </c>
      <c r="BT21" s="113"/>
      <c r="BU21" s="113"/>
      <c r="BV21" s="113">
        <f t="shared" si="20"/>
        <v>210000</v>
      </c>
      <c r="BW21" s="113"/>
      <c r="BX21" s="113"/>
      <c r="BY21" s="113"/>
      <c r="BZ21" s="223"/>
    </row>
    <row r="22" spans="1:78" ht="32.25" customHeight="1" x14ac:dyDescent="0.25">
      <c r="A22" s="830"/>
      <c r="B22" s="221"/>
      <c r="C22" s="325" t="s">
        <v>740</v>
      </c>
      <c r="D22" s="169" t="s">
        <v>79</v>
      </c>
      <c r="E22" s="169">
        <f t="shared" si="24"/>
        <v>1500</v>
      </c>
      <c r="F22" s="220">
        <f t="shared" si="15"/>
        <v>140</v>
      </c>
      <c r="G22" s="158">
        <f t="shared" si="6"/>
        <v>210000</v>
      </c>
      <c r="H22" s="158">
        <f t="shared" si="16"/>
        <v>42000</v>
      </c>
      <c r="I22" s="158">
        <f t="shared" si="17"/>
        <v>168000</v>
      </c>
      <c r="J22" s="158">
        <f t="shared" si="7"/>
        <v>0</v>
      </c>
      <c r="K22" s="158">
        <f t="shared" si="8"/>
        <v>0</v>
      </c>
      <c r="L22" s="158">
        <f t="shared" si="18"/>
        <v>0</v>
      </c>
      <c r="M22" s="158">
        <f t="shared" si="9"/>
        <v>0</v>
      </c>
      <c r="N22" s="158">
        <f t="shared" si="10"/>
        <v>0</v>
      </c>
      <c r="O22" s="158">
        <f t="shared" si="11"/>
        <v>0</v>
      </c>
      <c r="P22" s="158">
        <f t="shared" si="12"/>
        <v>0</v>
      </c>
      <c r="Q22" s="158">
        <f t="shared" si="13"/>
        <v>0</v>
      </c>
      <c r="R22" s="158">
        <v>35</v>
      </c>
      <c r="S22" s="222">
        <v>35</v>
      </c>
      <c r="T22" s="222">
        <v>35</v>
      </c>
      <c r="U22" s="222">
        <v>35</v>
      </c>
      <c r="V22" s="158">
        <f t="shared" si="25"/>
        <v>52500</v>
      </c>
      <c r="W22" s="158">
        <f t="shared" si="23"/>
        <v>52500</v>
      </c>
      <c r="X22" s="158">
        <f t="shared" si="21"/>
        <v>52500</v>
      </c>
      <c r="Y22" s="158">
        <f t="shared" si="22"/>
        <v>52500</v>
      </c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220">
        <v>140</v>
      </c>
      <c r="BI22" s="158">
        <v>210000</v>
      </c>
      <c r="BJ22" s="222">
        <f t="shared" si="14"/>
        <v>140</v>
      </c>
      <c r="BK22" s="158">
        <f t="shared" si="14"/>
        <v>210000</v>
      </c>
      <c r="BL22" s="85"/>
      <c r="BM22" s="85"/>
      <c r="BN22" s="85"/>
      <c r="BO22" s="117"/>
      <c r="BP22" s="330" t="s">
        <v>832</v>
      </c>
      <c r="BR22" s="113"/>
      <c r="BS22" s="113">
        <f t="shared" si="19"/>
        <v>210000</v>
      </c>
      <c r="BT22" s="113"/>
      <c r="BU22" s="113"/>
      <c r="BV22" s="113">
        <f t="shared" si="20"/>
        <v>210000</v>
      </c>
      <c r="BW22" s="113"/>
      <c r="BX22" s="113"/>
      <c r="BY22" s="113"/>
      <c r="BZ22" s="223"/>
    </row>
    <row r="23" spans="1:78" ht="32.25" customHeight="1" x14ac:dyDescent="0.25">
      <c r="A23" s="830"/>
      <c r="B23" s="221"/>
      <c r="C23" s="325" t="s">
        <v>504</v>
      </c>
      <c r="D23" s="169" t="s">
        <v>79</v>
      </c>
      <c r="E23" s="169">
        <f t="shared" si="24"/>
        <v>1500</v>
      </c>
      <c r="F23" s="220">
        <f t="shared" si="15"/>
        <v>36</v>
      </c>
      <c r="G23" s="158">
        <f t="shared" si="6"/>
        <v>54000</v>
      </c>
      <c r="H23" s="158">
        <f t="shared" si="16"/>
        <v>10800</v>
      </c>
      <c r="I23" s="158">
        <f t="shared" si="17"/>
        <v>43200</v>
      </c>
      <c r="J23" s="158">
        <f t="shared" si="7"/>
        <v>0</v>
      </c>
      <c r="K23" s="158">
        <f t="shared" si="8"/>
        <v>0</v>
      </c>
      <c r="L23" s="158">
        <f t="shared" si="18"/>
        <v>0</v>
      </c>
      <c r="M23" s="158">
        <f t="shared" si="9"/>
        <v>0</v>
      </c>
      <c r="N23" s="158">
        <f t="shared" si="10"/>
        <v>0</v>
      </c>
      <c r="O23" s="158">
        <f t="shared" si="11"/>
        <v>0</v>
      </c>
      <c r="P23" s="158">
        <f t="shared" si="12"/>
        <v>0</v>
      </c>
      <c r="Q23" s="158">
        <f t="shared" si="13"/>
        <v>0</v>
      </c>
      <c r="R23" s="158">
        <v>36</v>
      </c>
      <c r="S23" s="222"/>
      <c r="T23" s="222"/>
      <c r="U23" s="222"/>
      <c r="V23" s="158">
        <f t="shared" si="25"/>
        <v>54000</v>
      </c>
      <c r="W23" s="158">
        <f t="shared" si="23"/>
        <v>0</v>
      </c>
      <c r="X23" s="158">
        <f t="shared" si="21"/>
        <v>0</v>
      </c>
      <c r="Y23" s="158">
        <f t="shared" si="22"/>
        <v>0</v>
      </c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220">
        <v>36</v>
      </c>
      <c r="BI23" s="158">
        <v>54000</v>
      </c>
      <c r="BJ23" s="222">
        <f t="shared" si="14"/>
        <v>36</v>
      </c>
      <c r="BK23" s="158">
        <f t="shared" si="14"/>
        <v>54000</v>
      </c>
      <c r="BL23" s="85"/>
      <c r="BM23" s="85"/>
      <c r="BN23" s="85"/>
      <c r="BO23" s="117"/>
      <c r="BP23" s="330" t="s">
        <v>832</v>
      </c>
      <c r="BR23" s="113"/>
      <c r="BS23" s="113">
        <f t="shared" si="19"/>
        <v>54000</v>
      </c>
      <c r="BT23" s="113"/>
      <c r="BU23" s="113"/>
      <c r="BV23" s="113">
        <f t="shared" si="20"/>
        <v>54000</v>
      </c>
      <c r="BW23" s="113"/>
      <c r="BX23" s="113"/>
      <c r="BY23" s="113"/>
      <c r="BZ23" s="223"/>
    </row>
    <row r="24" spans="1:78" ht="32.25" customHeight="1" x14ac:dyDescent="0.25">
      <c r="A24" s="830"/>
      <c r="B24" s="221"/>
      <c r="C24" s="325" t="s">
        <v>739</v>
      </c>
      <c r="D24" s="169" t="s">
        <v>79</v>
      </c>
      <c r="E24" s="169">
        <f t="shared" si="24"/>
        <v>1500</v>
      </c>
      <c r="F24" s="220">
        <f t="shared" si="15"/>
        <v>72</v>
      </c>
      <c r="G24" s="158">
        <f t="shared" si="6"/>
        <v>108000</v>
      </c>
      <c r="H24" s="158">
        <f t="shared" si="16"/>
        <v>21600</v>
      </c>
      <c r="I24" s="158">
        <f t="shared" si="17"/>
        <v>86400</v>
      </c>
      <c r="J24" s="158">
        <f t="shared" si="7"/>
        <v>0</v>
      </c>
      <c r="K24" s="158">
        <f t="shared" si="8"/>
        <v>0</v>
      </c>
      <c r="L24" s="158">
        <f t="shared" si="18"/>
        <v>0</v>
      </c>
      <c r="M24" s="158">
        <f t="shared" si="9"/>
        <v>0</v>
      </c>
      <c r="N24" s="158">
        <f t="shared" si="10"/>
        <v>0</v>
      </c>
      <c r="O24" s="158">
        <f t="shared" si="11"/>
        <v>0</v>
      </c>
      <c r="P24" s="158">
        <f t="shared" si="12"/>
        <v>0</v>
      </c>
      <c r="Q24" s="158">
        <f t="shared" si="13"/>
        <v>0</v>
      </c>
      <c r="R24" s="158">
        <v>36</v>
      </c>
      <c r="S24" s="222">
        <v>36</v>
      </c>
      <c r="T24" s="222"/>
      <c r="U24" s="222"/>
      <c r="V24" s="158">
        <f t="shared" si="25"/>
        <v>54000</v>
      </c>
      <c r="W24" s="158">
        <f t="shared" si="23"/>
        <v>54000</v>
      </c>
      <c r="X24" s="158">
        <f t="shared" si="21"/>
        <v>0</v>
      </c>
      <c r="Y24" s="158">
        <f t="shared" si="22"/>
        <v>0</v>
      </c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220">
        <v>72</v>
      </c>
      <c r="BI24" s="158">
        <v>108000</v>
      </c>
      <c r="BJ24" s="222">
        <f t="shared" si="14"/>
        <v>72</v>
      </c>
      <c r="BK24" s="158">
        <f t="shared" si="14"/>
        <v>108000</v>
      </c>
      <c r="BL24" s="85"/>
      <c r="BM24" s="85"/>
      <c r="BN24" s="85"/>
      <c r="BO24" s="117"/>
      <c r="BP24" s="330" t="s">
        <v>832</v>
      </c>
      <c r="BR24" s="113"/>
      <c r="BS24" s="113">
        <f t="shared" si="19"/>
        <v>108000</v>
      </c>
      <c r="BT24" s="113"/>
      <c r="BU24" s="113"/>
      <c r="BV24" s="113">
        <f t="shared" si="20"/>
        <v>108000</v>
      </c>
      <c r="BW24" s="113"/>
      <c r="BX24" s="113"/>
      <c r="BY24" s="113"/>
      <c r="BZ24" s="223"/>
    </row>
    <row r="25" spans="1:78" ht="32.25" customHeight="1" x14ac:dyDescent="0.25">
      <c r="A25" s="830"/>
      <c r="B25" s="221"/>
      <c r="C25" s="325" t="s">
        <v>741</v>
      </c>
      <c r="D25" s="169" t="s">
        <v>79</v>
      </c>
      <c r="E25" s="169">
        <f t="shared" si="24"/>
        <v>1500</v>
      </c>
      <c r="F25" s="220">
        <f t="shared" si="15"/>
        <v>72</v>
      </c>
      <c r="G25" s="158">
        <f t="shared" si="6"/>
        <v>108000</v>
      </c>
      <c r="H25" s="158">
        <f>G25*0.2</f>
        <v>21600</v>
      </c>
      <c r="I25" s="158">
        <f t="shared" si="17"/>
        <v>86400</v>
      </c>
      <c r="J25" s="158">
        <f t="shared" si="7"/>
        <v>0</v>
      </c>
      <c r="K25" s="158">
        <f t="shared" si="8"/>
        <v>0</v>
      </c>
      <c r="L25" s="158">
        <f t="shared" si="18"/>
        <v>0</v>
      </c>
      <c r="M25" s="158">
        <f t="shared" si="9"/>
        <v>0</v>
      </c>
      <c r="N25" s="158">
        <f t="shared" si="10"/>
        <v>0</v>
      </c>
      <c r="O25" s="158">
        <f t="shared" si="11"/>
        <v>0</v>
      </c>
      <c r="P25" s="158">
        <f t="shared" si="12"/>
        <v>0</v>
      </c>
      <c r="Q25" s="158">
        <f t="shared" si="13"/>
        <v>0</v>
      </c>
      <c r="R25" s="158"/>
      <c r="S25" s="222">
        <v>36</v>
      </c>
      <c r="T25" s="222">
        <v>36</v>
      </c>
      <c r="U25" s="222"/>
      <c r="V25" s="158">
        <f t="shared" si="25"/>
        <v>0</v>
      </c>
      <c r="W25" s="158">
        <f t="shared" si="23"/>
        <v>54000</v>
      </c>
      <c r="X25" s="158">
        <f t="shared" si="21"/>
        <v>54000</v>
      </c>
      <c r="Y25" s="158">
        <f t="shared" si="22"/>
        <v>0</v>
      </c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220">
        <v>72</v>
      </c>
      <c r="BI25" s="158">
        <v>108000</v>
      </c>
      <c r="BJ25" s="222">
        <f t="shared" si="14"/>
        <v>72</v>
      </c>
      <c r="BK25" s="158">
        <f t="shared" si="14"/>
        <v>108000</v>
      </c>
      <c r="BL25" s="85"/>
      <c r="BM25" s="85"/>
      <c r="BN25" s="85"/>
      <c r="BO25" s="117"/>
      <c r="BP25" s="330" t="s">
        <v>832</v>
      </c>
      <c r="BR25" s="113"/>
      <c r="BS25" s="113">
        <f t="shared" si="19"/>
        <v>108000</v>
      </c>
      <c r="BT25" s="113"/>
      <c r="BU25" s="113"/>
      <c r="BV25" s="113">
        <f t="shared" si="20"/>
        <v>108000</v>
      </c>
      <c r="BW25" s="113"/>
      <c r="BX25" s="113"/>
      <c r="BY25" s="113"/>
      <c r="BZ25" s="223"/>
    </row>
    <row r="26" spans="1:78" ht="32.25" customHeight="1" x14ac:dyDescent="0.25">
      <c r="A26" s="830"/>
      <c r="B26" s="221"/>
      <c r="C26" s="325" t="s">
        <v>678</v>
      </c>
      <c r="D26" s="169" t="s">
        <v>79</v>
      </c>
      <c r="E26" s="169">
        <f t="shared" si="24"/>
        <v>1500</v>
      </c>
      <c r="F26" s="220">
        <f t="shared" si="15"/>
        <v>19</v>
      </c>
      <c r="G26" s="158">
        <f t="shared" si="6"/>
        <v>28500</v>
      </c>
      <c r="H26" s="158">
        <f t="shared" si="16"/>
        <v>5700</v>
      </c>
      <c r="I26" s="158">
        <f t="shared" si="17"/>
        <v>22800</v>
      </c>
      <c r="J26" s="158">
        <f t="shared" si="7"/>
        <v>0</v>
      </c>
      <c r="K26" s="158">
        <f t="shared" si="8"/>
        <v>0</v>
      </c>
      <c r="L26" s="158">
        <f t="shared" si="18"/>
        <v>0</v>
      </c>
      <c r="M26" s="158">
        <f t="shared" si="9"/>
        <v>0</v>
      </c>
      <c r="N26" s="158">
        <f t="shared" si="10"/>
        <v>0</v>
      </c>
      <c r="O26" s="158">
        <f t="shared" si="11"/>
        <v>0</v>
      </c>
      <c r="P26" s="158">
        <f t="shared" si="12"/>
        <v>0</v>
      </c>
      <c r="Q26" s="158">
        <f t="shared" si="13"/>
        <v>0</v>
      </c>
      <c r="R26" s="158"/>
      <c r="S26" s="222"/>
      <c r="T26" s="222">
        <v>19</v>
      </c>
      <c r="U26" s="222"/>
      <c r="V26" s="158">
        <f t="shared" si="25"/>
        <v>0</v>
      </c>
      <c r="W26" s="158">
        <f t="shared" si="23"/>
        <v>0</v>
      </c>
      <c r="X26" s="158">
        <f t="shared" si="21"/>
        <v>28500</v>
      </c>
      <c r="Y26" s="158">
        <f t="shared" si="22"/>
        <v>0</v>
      </c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220">
        <v>19</v>
      </c>
      <c r="BI26" s="158">
        <v>28500</v>
      </c>
      <c r="BJ26" s="222">
        <f t="shared" si="14"/>
        <v>19</v>
      </c>
      <c r="BK26" s="158">
        <f>AA26+AC26+AE26+AG26+AI26+AK26+AM26+AO26+AQ26+AS26+AU26+AW26+AY26+BA26+BC26+BE26+BG26+BI26</f>
        <v>28500</v>
      </c>
      <c r="BL26" s="85"/>
      <c r="BM26" s="85"/>
      <c r="BN26" s="85"/>
      <c r="BO26" s="117"/>
      <c r="BP26" s="330" t="s">
        <v>832</v>
      </c>
      <c r="BR26" s="113"/>
      <c r="BS26" s="113">
        <f t="shared" si="19"/>
        <v>28500</v>
      </c>
      <c r="BT26" s="113"/>
      <c r="BU26" s="113"/>
      <c r="BV26" s="113">
        <f t="shared" si="20"/>
        <v>28500</v>
      </c>
      <c r="BW26" s="113"/>
      <c r="BX26" s="113"/>
      <c r="BY26" s="113"/>
      <c r="BZ26" s="223"/>
    </row>
    <row r="27" spans="1:78" ht="32.25" customHeight="1" x14ac:dyDescent="0.25">
      <c r="A27" s="830"/>
      <c r="B27" s="221"/>
      <c r="C27" s="325" t="s">
        <v>819</v>
      </c>
      <c r="D27" s="169" t="s">
        <v>79</v>
      </c>
      <c r="E27" s="169">
        <f t="shared" si="24"/>
        <v>1500</v>
      </c>
      <c r="F27" s="220">
        <f t="shared" si="15"/>
        <v>140</v>
      </c>
      <c r="G27" s="158">
        <f t="shared" si="6"/>
        <v>210000</v>
      </c>
      <c r="H27" s="158">
        <f>G27*0.2</f>
        <v>42000</v>
      </c>
      <c r="I27" s="158">
        <f t="shared" si="17"/>
        <v>168000</v>
      </c>
      <c r="J27" s="158">
        <f t="shared" si="7"/>
        <v>0</v>
      </c>
      <c r="K27" s="158">
        <f t="shared" si="8"/>
        <v>0</v>
      </c>
      <c r="L27" s="158">
        <f t="shared" si="18"/>
        <v>0</v>
      </c>
      <c r="M27" s="158">
        <f t="shared" si="9"/>
        <v>0</v>
      </c>
      <c r="N27" s="158">
        <f t="shared" si="10"/>
        <v>0</v>
      </c>
      <c r="O27" s="158">
        <f t="shared" si="11"/>
        <v>0</v>
      </c>
      <c r="P27" s="158">
        <f t="shared" si="12"/>
        <v>0</v>
      </c>
      <c r="Q27" s="158">
        <f t="shared" si="13"/>
        <v>0</v>
      </c>
      <c r="R27" s="158">
        <v>35</v>
      </c>
      <c r="S27" s="222">
        <v>35</v>
      </c>
      <c r="T27" s="222">
        <v>35</v>
      </c>
      <c r="U27" s="222">
        <v>35</v>
      </c>
      <c r="V27" s="158">
        <f t="shared" si="25"/>
        <v>52500</v>
      </c>
      <c r="W27" s="158">
        <f t="shared" si="23"/>
        <v>52500</v>
      </c>
      <c r="X27" s="158">
        <f t="shared" si="21"/>
        <v>52500</v>
      </c>
      <c r="Y27" s="158">
        <f t="shared" si="22"/>
        <v>52500</v>
      </c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220">
        <v>140</v>
      </c>
      <c r="BI27" s="158">
        <v>210000</v>
      </c>
      <c r="BJ27" s="222">
        <f t="shared" si="14"/>
        <v>140</v>
      </c>
      <c r="BK27" s="158">
        <f>AA27+AC27+AE27+AG27+AI27+AK27+AM27+AO27+AQ27+AS27+AU27+AW27+AY27+BA27+BC27+BE27+BG27+BI27</f>
        <v>210000</v>
      </c>
      <c r="BL27" s="85"/>
      <c r="BM27" s="85"/>
      <c r="BN27" s="85"/>
      <c r="BO27" s="117"/>
      <c r="BP27" s="330" t="s">
        <v>832</v>
      </c>
      <c r="BR27" s="113"/>
      <c r="BS27" s="113">
        <f t="shared" si="19"/>
        <v>210000</v>
      </c>
      <c r="BT27" s="113"/>
      <c r="BU27" s="113"/>
      <c r="BV27" s="113">
        <f t="shared" si="20"/>
        <v>210000</v>
      </c>
      <c r="BW27" s="113"/>
      <c r="BX27" s="113"/>
      <c r="BY27" s="113"/>
      <c r="BZ27" s="223"/>
    </row>
    <row r="28" spans="1:78" ht="32.25" customHeight="1" x14ac:dyDescent="0.25">
      <c r="A28" s="830"/>
      <c r="B28" s="221"/>
      <c r="C28" s="325" t="s">
        <v>687</v>
      </c>
      <c r="D28" s="169" t="s">
        <v>79</v>
      </c>
      <c r="E28" s="169">
        <f t="shared" si="24"/>
        <v>1500</v>
      </c>
      <c r="F28" s="220">
        <f t="shared" si="15"/>
        <v>140</v>
      </c>
      <c r="G28" s="158">
        <f t="shared" si="6"/>
        <v>210000</v>
      </c>
      <c r="H28" s="158">
        <f t="shared" si="16"/>
        <v>42000</v>
      </c>
      <c r="I28" s="158">
        <f t="shared" si="17"/>
        <v>168000</v>
      </c>
      <c r="J28" s="158">
        <f t="shared" si="7"/>
        <v>0</v>
      </c>
      <c r="K28" s="158">
        <f t="shared" si="8"/>
        <v>0</v>
      </c>
      <c r="L28" s="158">
        <f t="shared" si="18"/>
        <v>0</v>
      </c>
      <c r="M28" s="158">
        <f t="shared" si="9"/>
        <v>0</v>
      </c>
      <c r="N28" s="158">
        <f t="shared" si="10"/>
        <v>0</v>
      </c>
      <c r="O28" s="158">
        <f t="shared" si="11"/>
        <v>0</v>
      </c>
      <c r="P28" s="158">
        <f t="shared" si="12"/>
        <v>0</v>
      </c>
      <c r="Q28" s="158">
        <f t="shared" si="13"/>
        <v>0</v>
      </c>
      <c r="R28" s="158"/>
      <c r="S28" s="222"/>
      <c r="T28" s="222">
        <v>70</v>
      </c>
      <c r="U28" s="222">
        <v>70</v>
      </c>
      <c r="V28" s="158">
        <f t="shared" si="25"/>
        <v>0</v>
      </c>
      <c r="W28" s="158">
        <f t="shared" si="23"/>
        <v>0</v>
      </c>
      <c r="X28" s="158">
        <f t="shared" si="21"/>
        <v>105000</v>
      </c>
      <c r="Y28" s="158">
        <f t="shared" si="22"/>
        <v>105000</v>
      </c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220">
        <v>140</v>
      </c>
      <c r="BI28" s="158">
        <v>210000</v>
      </c>
      <c r="BJ28" s="222">
        <f t="shared" si="14"/>
        <v>140</v>
      </c>
      <c r="BK28" s="158">
        <f>AA28+AC28+AE28+AG28+AI28+AK28+AM28+AO28+AQ28+AS28+AU28+AW28+AY28+BA28+BC28+BE28+BG28+BI28</f>
        <v>210000</v>
      </c>
      <c r="BL28" s="85"/>
      <c r="BM28" s="85"/>
      <c r="BN28" s="85"/>
      <c r="BO28" s="117"/>
      <c r="BP28" s="330" t="s">
        <v>832</v>
      </c>
      <c r="BR28" s="113"/>
      <c r="BS28" s="113">
        <f t="shared" si="19"/>
        <v>210000</v>
      </c>
      <c r="BT28" s="113"/>
      <c r="BU28" s="113"/>
      <c r="BV28" s="113">
        <f t="shared" si="20"/>
        <v>210000</v>
      </c>
      <c r="BW28" s="113"/>
      <c r="BX28" s="113"/>
      <c r="BY28" s="113"/>
      <c r="BZ28" s="223"/>
    </row>
    <row r="29" spans="1:78" s="595" customFormat="1" ht="32.25" customHeight="1" x14ac:dyDescent="0.25">
      <c r="A29" s="830"/>
      <c r="B29" s="62"/>
      <c r="C29" s="140" t="s">
        <v>36</v>
      </c>
      <c r="D29" s="140"/>
      <c r="E29" s="596">
        <f t="shared" si="24"/>
        <v>1500</v>
      </c>
      <c r="F29" s="591">
        <f t="shared" ref="F29:AK29" si="26">SUM(F14:F28)</f>
        <v>1815</v>
      </c>
      <c r="G29" s="172">
        <f t="shared" si="26"/>
        <v>5242500</v>
      </c>
      <c r="H29" s="172">
        <f t="shared" si="26"/>
        <v>1048500</v>
      </c>
      <c r="I29" s="172">
        <f t="shared" si="26"/>
        <v>4194000</v>
      </c>
      <c r="J29" s="172">
        <f t="shared" si="26"/>
        <v>0</v>
      </c>
      <c r="K29" s="172">
        <f t="shared" si="26"/>
        <v>0</v>
      </c>
      <c r="L29" s="172">
        <f t="shared" si="26"/>
        <v>0</v>
      </c>
      <c r="M29" s="172">
        <f t="shared" si="26"/>
        <v>0</v>
      </c>
      <c r="N29" s="172">
        <f t="shared" si="26"/>
        <v>0</v>
      </c>
      <c r="O29" s="172">
        <f t="shared" si="26"/>
        <v>0</v>
      </c>
      <c r="P29" s="172">
        <f t="shared" si="26"/>
        <v>0</v>
      </c>
      <c r="Q29" s="172">
        <f t="shared" si="26"/>
        <v>0</v>
      </c>
      <c r="R29" s="591">
        <f t="shared" si="26"/>
        <v>459</v>
      </c>
      <c r="S29" s="591">
        <f t="shared" si="26"/>
        <v>459</v>
      </c>
      <c r="T29" s="591">
        <f t="shared" si="26"/>
        <v>476</v>
      </c>
      <c r="U29" s="591">
        <f t="shared" si="26"/>
        <v>421</v>
      </c>
      <c r="V29" s="172">
        <f t="shared" si="26"/>
        <v>1318500</v>
      </c>
      <c r="W29" s="172">
        <f t="shared" si="26"/>
        <v>1318500</v>
      </c>
      <c r="X29" s="172">
        <f t="shared" si="26"/>
        <v>1344000</v>
      </c>
      <c r="Y29" s="172">
        <f t="shared" si="26"/>
        <v>1261500</v>
      </c>
      <c r="Z29" s="172">
        <f t="shared" si="26"/>
        <v>0</v>
      </c>
      <c r="AA29" s="172">
        <f t="shared" si="26"/>
        <v>0</v>
      </c>
      <c r="AB29" s="172">
        <f t="shared" si="26"/>
        <v>0</v>
      </c>
      <c r="AC29" s="172">
        <f t="shared" si="26"/>
        <v>0</v>
      </c>
      <c r="AD29" s="172">
        <f t="shared" si="26"/>
        <v>0</v>
      </c>
      <c r="AE29" s="172">
        <f t="shared" si="26"/>
        <v>0</v>
      </c>
      <c r="AF29" s="172">
        <f t="shared" si="26"/>
        <v>0</v>
      </c>
      <c r="AG29" s="172">
        <f t="shared" si="26"/>
        <v>0</v>
      </c>
      <c r="AH29" s="172">
        <f t="shared" si="26"/>
        <v>0</v>
      </c>
      <c r="AI29" s="172">
        <f t="shared" si="26"/>
        <v>0</v>
      </c>
      <c r="AJ29" s="172">
        <f t="shared" si="26"/>
        <v>0</v>
      </c>
      <c r="AK29" s="172">
        <f t="shared" si="26"/>
        <v>0</v>
      </c>
      <c r="AL29" s="172">
        <f t="shared" ref="AL29:BH29" si="27">SUM(AL14:AL28)</f>
        <v>0</v>
      </c>
      <c r="AM29" s="172">
        <f t="shared" si="27"/>
        <v>0</v>
      </c>
      <c r="AN29" s="172">
        <f t="shared" si="27"/>
        <v>0</v>
      </c>
      <c r="AO29" s="172">
        <f t="shared" si="27"/>
        <v>0</v>
      </c>
      <c r="AP29" s="172">
        <f t="shared" si="27"/>
        <v>0</v>
      </c>
      <c r="AQ29" s="172">
        <f t="shared" si="27"/>
        <v>0</v>
      </c>
      <c r="AR29" s="172">
        <f t="shared" si="27"/>
        <v>0</v>
      </c>
      <c r="AS29" s="172">
        <f t="shared" si="27"/>
        <v>0</v>
      </c>
      <c r="AT29" s="172">
        <f t="shared" si="27"/>
        <v>0</v>
      </c>
      <c r="AU29" s="172">
        <f t="shared" si="27"/>
        <v>0</v>
      </c>
      <c r="AV29" s="172">
        <f t="shared" si="27"/>
        <v>0</v>
      </c>
      <c r="AW29" s="172">
        <f t="shared" si="27"/>
        <v>0</v>
      </c>
      <c r="AX29" s="172">
        <f t="shared" si="27"/>
        <v>0</v>
      </c>
      <c r="AY29" s="172">
        <f t="shared" si="27"/>
        <v>0</v>
      </c>
      <c r="AZ29" s="172">
        <f t="shared" si="27"/>
        <v>0</v>
      </c>
      <c r="BA29" s="172">
        <f t="shared" si="27"/>
        <v>0</v>
      </c>
      <c r="BB29" s="172">
        <f t="shared" si="27"/>
        <v>0</v>
      </c>
      <c r="BC29" s="172">
        <f t="shared" si="27"/>
        <v>0</v>
      </c>
      <c r="BD29" s="172">
        <f t="shared" si="27"/>
        <v>0</v>
      </c>
      <c r="BE29" s="172">
        <f t="shared" si="27"/>
        <v>0</v>
      </c>
      <c r="BF29" s="172">
        <f t="shared" si="27"/>
        <v>0</v>
      </c>
      <c r="BG29" s="172">
        <f t="shared" si="27"/>
        <v>0</v>
      </c>
      <c r="BH29" s="172">
        <f t="shared" si="27"/>
        <v>1815</v>
      </c>
      <c r="BI29" s="172">
        <f>SUM(BI14:BI28)</f>
        <v>5242500</v>
      </c>
      <c r="BJ29" s="172">
        <f>SUM(BJ14:BJ28)</f>
        <v>1815</v>
      </c>
      <c r="BK29" s="172">
        <f>SUM(BK14:BK28)</f>
        <v>5242500</v>
      </c>
      <c r="BL29" s="140"/>
      <c r="BM29" s="592"/>
      <c r="BN29" s="140"/>
      <c r="BO29" s="593"/>
      <c r="BP29" s="592"/>
      <c r="BQ29" s="67"/>
      <c r="BR29" s="582">
        <f t="shared" ref="BR29:BY29" si="28">SUM(BR14:BR17)</f>
        <v>0</v>
      </c>
      <c r="BS29" s="582">
        <f>SUM(BS14:BS28)</f>
        <v>5242500</v>
      </c>
      <c r="BT29" s="582">
        <f t="shared" si="28"/>
        <v>0</v>
      </c>
      <c r="BU29" s="582">
        <f t="shared" si="28"/>
        <v>0</v>
      </c>
      <c r="BV29" s="582">
        <f>SUM(BV14:BV28)</f>
        <v>5242500</v>
      </c>
      <c r="BW29" s="582">
        <f t="shared" si="28"/>
        <v>0</v>
      </c>
      <c r="BX29" s="582">
        <f t="shared" si="28"/>
        <v>0</v>
      </c>
      <c r="BY29" s="582">
        <f t="shared" si="28"/>
        <v>0</v>
      </c>
      <c r="BZ29" s="582">
        <f t="shared" si="1"/>
        <v>5242500</v>
      </c>
    </row>
    <row r="30" spans="1:78" ht="32.25" customHeight="1" x14ac:dyDescent="0.25">
      <c r="A30" s="830"/>
      <c r="B30" s="221">
        <v>11300</v>
      </c>
      <c r="C30" s="578" t="s">
        <v>80</v>
      </c>
      <c r="D30" s="145"/>
      <c r="E30" s="299"/>
      <c r="F30" s="222"/>
      <c r="G30" s="176"/>
      <c r="H30" s="158"/>
      <c r="I30" s="158"/>
      <c r="J30" s="158"/>
      <c r="K30" s="158"/>
      <c r="L30" s="158"/>
      <c r="M30" s="158"/>
      <c r="N30" s="158"/>
      <c r="O30" s="299"/>
      <c r="P30" s="299"/>
      <c r="Q30" s="299"/>
      <c r="R30" s="158"/>
      <c r="S30" s="158"/>
      <c r="T30" s="158"/>
      <c r="U30" s="158"/>
      <c r="V30" s="299"/>
      <c r="W30" s="299"/>
      <c r="X30" s="169"/>
      <c r="Y30" s="169"/>
      <c r="Z30" s="158"/>
      <c r="AA30" s="169"/>
      <c r="AB30" s="158"/>
      <c r="AC30" s="169"/>
      <c r="AD30" s="158"/>
      <c r="AE30" s="169"/>
      <c r="AF30" s="158"/>
      <c r="AG30" s="169"/>
      <c r="AH30" s="158"/>
      <c r="AI30" s="169"/>
      <c r="AJ30" s="158"/>
      <c r="AK30" s="169"/>
      <c r="AL30" s="158"/>
      <c r="AM30" s="169"/>
      <c r="AN30" s="158"/>
      <c r="AO30" s="169"/>
      <c r="AP30" s="158"/>
      <c r="AQ30" s="169"/>
      <c r="AR30" s="158"/>
      <c r="AS30" s="169"/>
      <c r="AT30" s="158"/>
      <c r="AU30" s="169"/>
      <c r="AV30" s="158"/>
      <c r="AW30" s="169"/>
      <c r="AX30" s="158"/>
      <c r="AY30" s="169"/>
      <c r="AZ30" s="158"/>
      <c r="BA30" s="169"/>
      <c r="BB30" s="158"/>
      <c r="BC30" s="169"/>
      <c r="BD30" s="158"/>
      <c r="BE30" s="169"/>
      <c r="BF30" s="158"/>
      <c r="BG30" s="169"/>
      <c r="BH30" s="158"/>
      <c r="BI30" s="169"/>
      <c r="BJ30" s="158"/>
      <c r="BK30" s="158"/>
      <c r="BL30" s="85"/>
      <c r="BM30" s="85" t="s">
        <v>72</v>
      </c>
      <c r="BN30" s="85" t="s">
        <v>72</v>
      </c>
      <c r="BO30" s="117"/>
      <c r="BP30" s="85"/>
      <c r="BR30" s="113"/>
      <c r="BS30" s="113"/>
      <c r="BT30" s="113"/>
      <c r="BU30" s="113"/>
      <c r="BV30" s="113"/>
      <c r="BW30" s="113"/>
      <c r="BX30" s="113"/>
      <c r="BY30" s="113"/>
      <c r="BZ30" s="223">
        <f t="shared" si="1"/>
        <v>0</v>
      </c>
    </row>
    <row r="31" spans="1:78" ht="32.25" customHeight="1" x14ac:dyDescent="0.25">
      <c r="A31" s="830"/>
      <c r="B31" s="221">
        <v>11310</v>
      </c>
      <c r="C31" s="169" t="s">
        <v>81</v>
      </c>
      <c r="D31" s="169" t="s">
        <v>79</v>
      </c>
      <c r="E31" s="169">
        <f>0.03*100000</f>
        <v>3000</v>
      </c>
      <c r="F31" s="220">
        <f>BJ31</f>
        <v>340</v>
      </c>
      <c r="G31" s="176">
        <f>E31*F31</f>
        <v>1020000</v>
      </c>
      <c r="H31" s="158">
        <f>G31*0.2</f>
        <v>204000</v>
      </c>
      <c r="I31" s="158">
        <f>G31*0.8</f>
        <v>816000</v>
      </c>
      <c r="J31" s="158">
        <f>G31*0</f>
        <v>0</v>
      </c>
      <c r="K31" s="158">
        <f>G31*0</f>
        <v>0</v>
      </c>
      <c r="L31" s="158">
        <f>G31*0</f>
        <v>0</v>
      </c>
      <c r="M31" s="158">
        <f>G31*0</f>
        <v>0</v>
      </c>
      <c r="N31" s="158">
        <f>G31*0</f>
        <v>0</v>
      </c>
      <c r="O31" s="158">
        <f>G31*0</f>
        <v>0</v>
      </c>
      <c r="P31" s="158">
        <f>G31*0</f>
        <v>0</v>
      </c>
      <c r="Q31" s="158">
        <f>G31*0</f>
        <v>0</v>
      </c>
      <c r="R31" s="158">
        <v>85</v>
      </c>
      <c r="S31" s="158">
        <v>85</v>
      </c>
      <c r="T31" s="222">
        <v>85</v>
      </c>
      <c r="U31" s="222">
        <v>85</v>
      </c>
      <c r="V31" s="158">
        <f>R31*E31</f>
        <v>255000</v>
      </c>
      <c r="W31" s="158">
        <f>S31*E31</f>
        <v>255000</v>
      </c>
      <c r="X31" s="158">
        <f>T31*E31</f>
        <v>255000</v>
      </c>
      <c r="Y31" s="158">
        <f>U31*E31</f>
        <v>255000</v>
      </c>
      <c r="Z31" s="158">
        <v>20</v>
      </c>
      <c r="AA31" s="158">
        <f>Z31*3000</f>
        <v>60000</v>
      </c>
      <c r="AB31" s="158">
        <v>20</v>
      </c>
      <c r="AC31" s="158">
        <f>AB31*3000</f>
        <v>60000</v>
      </c>
      <c r="AD31" s="158">
        <v>20</v>
      </c>
      <c r="AE31" s="158">
        <f>AD31*3000</f>
        <v>60000</v>
      </c>
      <c r="AF31" s="158">
        <v>20</v>
      </c>
      <c r="AG31" s="158">
        <f>AF31*3000</f>
        <v>60000</v>
      </c>
      <c r="AH31" s="158">
        <v>20</v>
      </c>
      <c r="AI31" s="158">
        <f>AH31*3000</f>
        <v>60000</v>
      </c>
      <c r="AJ31" s="158">
        <v>20</v>
      </c>
      <c r="AK31" s="158">
        <f>AJ31*3000</f>
        <v>60000</v>
      </c>
      <c r="AL31" s="158">
        <v>20</v>
      </c>
      <c r="AM31" s="158">
        <f>AL31*3000</f>
        <v>60000</v>
      </c>
      <c r="AN31" s="158">
        <v>20</v>
      </c>
      <c r="AO31" s="158">
        <f>AN31*3000</f>
        <v>60000</v>
      </c>
      <c r="AP31" s="158">
        <v>20</v>
      </c>
      <c r="AQ31" s="158">
        <f>AP31*3000</f>
        <v>60000</v>
      </c>
      <c r="AR31" s="158">
        <v>20</v>
      </c>
      <c r="AS31" s="158">
        <f>AR31*3000</f>
        <v>60000</v>
      </c>
      <c r="AT31" s="158">
        <v>20</v>
      </c>
      <c r="AU31" s="158">
        <f>AT31*3000</f>
        <v>60000</v>
      </c>
      <c r="AV31" s="158">
        <v>20</v>
      </c>
      <c r="AW31" s="158">
        <f>AV31*3000</f>
        <v>60000</v>
      </c>
      <c r="AX31" s="158">
        <v>20</v>
      </c>
      <c r="AY31" s="158">
        <f>AX31*3000</f>
        <v>60000</v>
      </c>
      <c r="AZ31" s="158">
        <v>20</v>
      </c>
      <c r="BA31" s="158">
        <f>AZ31*3000</f>
        <v>60000</v>
      </c>
      <c r="BB31" s="158">
        <v>20</v>
      </c>
      <c r="BC31" s="158">
        <f>BB31*3000</f>
        <v>60000</v>
      </c>
      <c r="BD31" s="158">
        <v>20</v>
      </c>
      <c r="BE31" s="158">
        <f>BD31*3000</f>
        <v>60000</v>
      </c>
      <c r="BF31" s="158">
        <v>20</v>
      </c>
      <c r="BG31" s="158">
        <f>BF31*3000</f>
        <v>60000</v>
      </c>
      <c r="BH31" s="222">
        <v>0</v>
      </c>
      <c r="BI31" s="158">
        <f>BH31*5000</f>
        <v>0</v>
      </c>
      <c r="BJ31" s="222">
        <f t="shared" ref="BJ31:BK33" si="29">Z31+AB31+AD31+AF31+AH31+AJ31+AL31+AN31+AP31+AR31+AT31+AV31+AX31+AZ31+BB31+BD31+BF31+BH31</f>
        <v>340</v>
      </c>
      <c r="BK31" s="176">
        <f t="shared" si="29"/>
        <v>1020000</v>
      </c>
      <c r="BL31" s="85"/>
      <c r="BM31" s="85"/>
      <c r="BN31" s="85"/>
      <c r="BO31" s="117"/>
      <c r="BP31" s="330" t="s">
        <v>469</v>
      </c>
      <c r="BR31" s="113"/>
      <c r="BS31" s="113">
        <f>G31</f>
        <v>1020000</v>
      </c>
      <c r="BT31" s="113"/>
      <c r="BU31" s="113"/>
      <c r="BV31" s="113">
        <f>BR31+BS31+BT31+BU31</f>
        <v>1020000</v>
      </c>
      <c r="BW31" s="113"/>
      <c r="BX31" s="113"/>
      <c r="BY31" s="113">
        <f>BW31+BX31</f>
        <v>0</v>
      </c>
      <c r="BZ31" s="223">
        <f t="shared" si="1"/>
        <v>1020000</v>
      </c>
    </row>
    <row r="32" spans="1:78" ht="32.25" customHeight="1" x14ac:dyDescent="0.25">
      <c r="A32" s="830"/>
      <c r="B32" s="221">
        <v>11320</v>
      </c>
      <c r="C32" s="169" t="s">
        <v>82</v>
      </c>
      <c r="D32" s="169" t="s">
        <v>79</v>
      </c>
      <c r="E32" s="169">
        <f>0.0075*100000</f>
        <v>750</v>
      </c>
      <c r="F32" s="220">
        <f>BJ32</f>
        <v>136</v>
      </c>
      <c r="G32" s="176">
        <f>E32*F32</f>
        <v>102000</v>
      </c>
      <c r="H32" s="158">
        <f>G32*0.2</f>
        <v>20400</v>
      </c>
      <c r="I32" s="158">
        <f>G32*0.8</f>
        <v>81600</v>
      </c>
      <c r="J32" s="158">
        <f>G32*0</f>
        <v>0</v>
      </c>
      <c r="K32" s="158">
        <f>G32*0</f>
        <v>0</v>
      </c>
      <c r="L32" s="158">
        <f>G32*0</f>
        <v>0</v>
      </c>
      <c r="M32" s="158">
        <f>G32*0</f>
        <v>0</v>
      </c>
      <c r="N32" s="158">
        <f>G32*0</f>
        <v>0</v>
      </c>
      <c r="O32" s="158">
        <f>G32*0</f>
        <v>0</v>
      </c>
      <c r="P32" s="158">
        <f>G32*0</f>
        <v>0</v>
      </c>
      <c r="Q32" s="158">
        <f>G32*0</f>
        <v>0</v>
      </c>
      <c r="R32" s="158"/>
      <c r="S32" s="158"/>
      <c r="T32" s="222">
        <f>F32*0.5</f>
        <v>68</v>
      </c>
      <c r="U32" s="222">
        <f>F32*0.5</f>
        <v>68</v>
      </c>
      <c r="V32" s="158"/>
      <c r="W32" s="158"/>
      <c r="X32" s="158">
        <f>T32*E32</f>
        <v>51000</v>
      </c>
      <c r="Y32" s="158">
        <f>U32*E32</f>
        <v>51000</v>
      </c>
      <c r="Z32" s="158">
        <v>8</v>
      </c>
      <c r="AA32" s="158">
        <f>Z32*750</f>
        <v>6000</v>
      </c>
      <c r="AB32" s="158">
        <v>8</v>
      </c>
      <c r="AC32" s="158">
        <f>AB32*750</f>
        <v>6000</v>
      </c>
      <c r="AD32" s="158">
        <v>8</v>
      </c>
      <c r="AE32" s="158">
        <f>AD32*750</f>
        <v>6000</v>
      </c>
      <c r="AF32" s="158">
        <v>8</v>
      </c>
      <c r="AG32" s="158">
        <f>AF32*750</f>
        <v>6000</v>
      </c>
      <c r="AH32" s="158">
        <v>8</v>
      </c>
      <c r="AI32" s="158">
        <f>AH32*750</f>
        <v>6000</v>
      </c>
      <c r="AJ32" s="158">
        <v>8</v>
      </c>
      <c r="AK32" s="158">
        <f>AJ32*750</f>
        <v>6000</v>
      </c>
      <c r="AL32" s="158">
        <v>8</v>
      </c>
      <c r="AM32" s="158">
        <f>AL32*750</f>
        <v>6000</v>
      </c>
      <c r="AN32" s="158">
        <v>8</v>
      </c>
      <c r="AO32" s="158">
        <f>AN32*750</f>
        <v>6000</v>
      </c>
      <c r="AP32" s="158">
        <v>8</v>
      </c>
      <c r="AQ32" s="158">
        <f>AP32*750</f>
        <v>6000</v>
      </c>
      <c r="AR32" s="158">
        <v>8</v>
      </c>
      <c r="AS32" s="158">
        <f>AR32*750</f>
        <v>6000</v>
      </c>
      <c r="AT32" s="158">
        <v>8</v>
      </c>
      <c r="AU32" s="158">
        <f>AT32*750</f>
        <v>6000</v>
      </c>
      <c r="AV32" s="158">
        <v>8</v>
      </c>
      <c r="AW32" s="158">
        <f>AV32*750</f>
        <v>6000</v>
      </c>
      <c r="AX32" s="158">
        <v>8</v>
      </c>
      <c r="AY32" s="158">
        <f>AX32*750</f>
        <v>6000</v>
      </c>
      <c r="AZ32" s="158">
        <v>8</v>
      </c>
      <c r="BA32" s="158">
        <f>AZ32*750</f>
        <v>6000</v>
      </c>
      <c r="BB32" s="158">
        <v>8</v>
      </c>
      <c r="BC32" s="158">
        <f>BB32*750</f>
        <v>6000</v>
      </c>
      <c r="BD32" s="158">
        <v>8</v>
      </c>
      <c r="BE32" s="158">
        <f>BD32*750</f>
        <v>6000</v>
      </c>
      <c r="BF32" s="158">
        <v>8</v>
      </c>
      <c r="BG32" s="158">
        <f>BF32*750</f>
        <v>6000</v>
      </c>
      <c r="BH32" s="222">
        <v>0</v>
      </c>
      <c r="BI32" s="158">
        <f>BH32*750</f>
        <v>0</v>
      </c>
      <c r="BJ32" s="222">
        <f t="shared" si="29"/>
        <v>136</v>
      </c>
      <c r="BK32" s="158">
        <f t="shared" si="29"/>
        <v>102000</v>
      </c>
      <c r="BL32" s="85"/>
      <c r="BM32" s="85"/>
      <c r="BN32" s="85"/>
      <c r="BO32" s="117"/>
      <c r="BP32" s="330" t="s">
        <v>469</v>
      </c>
      <c r="BR32" s="113"/>
      <c r="BS32" s="113">
        <f>G32</f>
        <v>102000</v>
      </c>
      <c r="BT32" s="113"/>
      <c r="BU32" s="113"/>
      <c r="BV32" s="113">
        <f>BR32+BS32+BT32+BU32</f>
        <v>102000</v>
      </c>
      <c r="BW32" s="113"/>
      <c r="BX32" s="113"/>
      <c r="BY32" s="113">
        <f>BW32+BX32</f>
        <v>0</v>
      </c>
      <c r="BZ32" s="223">
        <f t="shared" si="1"/>
        <v>102000</v>
      </c>
    </row>
    <row r="33" spans="1:78" ht="32.25" customHeight="1" x14ac:dyDescent="0.25">
      <c r="A33" s="830"/>
      <c r="B33" s="221">
        <v>11330</v>
      </c>
      <c r="C33" s="169" t="s">
        <v>83</v>
      </c>
      <c r="D33" s="169" t="s">
        <v>79</v>
      </c>
      <c r="E33" s="169">
        <f>0.0075*100000</f>
        <v>750</v>
      </c>
      <c r="F33" s="220">
        <f>BJ33</f>
        <v>136</v>
      </c>
      <c r="G33" s="176">
        <f>E33*F33</f>
        <v>102000</v>
      </c>
      <c r="H33" s="158">
        <f>G33*0.2</f>
        <v>20400</v>
      </c>
      <c r="I33" s="158">
        <f>G33*0.8</f>
        <v>81600</v>
      </c>
      <c r="J33" s="158">
        <f>G33*0</f>
        <v>0</v>
      </c>
      <c r="K33" s="158">
        <f>G33*0</f>
        <v>0</v>
      </c>
      <c r="L33" s="158">
        <f>G33*0</f>
        <v>0</v>
      </c>
      <c r="M33" s="158">
        <f>G33*0</f>
        <v>0</v>
      </c>
      <c r="N33" s="158">
        <f>G33*0</f>
        <v>0</v>
      </c>
      <c r="O33" s="158">
        <f>G33*0</f>
        <v>0</v>
      </c>
      <c r="P33" s="158">
        <f>G33*0</f>
        <v>0</v>
      </c>
      <c r="Q33" s="158">
        <f>G33*0</f>
        <v>0</v>
      </c>
      <c r="R33" s="158"/>
      <c r="S33" s="222">
        <f>F33*0.5</f>
        <v>68</v>
      </c>
      <c r="T33" s="222">
        <f>F33*0.5</f>
        <v>68</v>
      </c>
      <c r="V33" s="158"/>
      <c r="W33" s="158"/>
      <c r="X33" s="158">
        <f>S33*E33</f>
        <v>51000</v>
      </c>
      <c r="Y33" s="158">
        <f>T33*E33</f>
        <v>51000</v>
      </c>
      <c r="Z33" s="158">
        <v>8</v>
      </c>
      <c r="AA33" s="158">
        <f>Z33*750</f>
        <v>6000</v>
      </c>
      <c r="AB33" s="158">
        <v>8</v>
      </c>
      <c r="AC33" s="158">
        <f>AB33*750</f>
        <v>6000</v>
      </c>
      <c r="AD33" s="158">
        <v>8</v>
      </c>
      <c r="AE33" s="158">
        <f>AD33*750</f>
        <v>6000</v>
      </c>
      <c r="AF33" s="158">
        <v>8</v>
      </c>
      <c r="AG33" s="158">
        <f>AF33*750</f>
        <v>6000</v>
      </c>
      <c r="AH33" s="158">
        <v>8</v>
      </c>
      <c r="AI33" s="158">
        <f>AH33*750</f>
        <v>6000</v>
      </c>
      <c r="AJ33" s="158">
        <v>8</v>
      </c>
      <c r="AK33" s="158">
        <f>AJ33*750</f>
        <v>6000</v>
      </c>
      <c r="AL33" s="158">
        <v>8</v>
      </c>
      <c r="AM33" s="158">
        <f>AL33*750</f>
        <v>6000</v>
      </c>
      <c r="AN33" s="158">
        <v>8</v>
      </c>
      <c r="AO33" s="158">
        <f>AN33*750</f>
        <v>6000</v>
      </c>
      <c r="AP33" s="158">
        <v>8</v>
      </c>
      <c r="AQ33" s="158">
        <f>AP33*750</f>
        <v>6000</v>
      </c>
      <c r="AR33" s="158">
        <v>8</v>
      </c>
      <c r="AS33" s="158">
        <f>AR33*750</f>
        <v>6000</v>
      </c>
      <c r="AT33" s="158">
        <v>8</v>
      </c>
      <c r="AU33" s="158">
        <f>AT33*750</f>
        <v>6000</v>
      </c>
      <c r="AV33" s="158">
        <v>8</v>
      </c>
      <c r="AW33" s="158">
        <f>AV33*750</f>
        <v>6000</v>
      </c>
      <c r="AX33" s="158">
        <v>8</v>
      </c>
      <c r="AY33" s="158">
        <f>AX33*750</f>
        <v>6000</v>
      </c>
      <c r="AZ33" s="158">
        <v>8</v>
      </c>
      <c r="BA33" s="158">
        <f>AZ33*750</f>
        <v>6000</v>
      </c>
      <c r="BB33" s="158">
        <v>8</v>
      </c>
      <c r="BC33" s="158">
        <f>BB33*750</f>
        <v>6000</v>
      </c>
      <c r="BD33" s="158">
        <v>8</v>
      </c>
      <c r="BE33" s="158">
        <f>BD33*750</f>
        <v>6000</v>
      </c>
      <c r="BF33" s="158">
        <v>8</v>
      </c>
      <c r="BG33" s="158">
        <f>BF33*750</f>
        <v>6000</v>
      </c>
      <c r="BH33" s="222">
        <v>0</v>
      </c>
      <c r="BI33" s="158">
        <f>BH33*750</f>
        <v>0</v>
      </c>
      <c r="BJ33" s="222">
        <f t="shared" si="29"/>
        <v>136</v>
      </c>
      <c r="BK33" s="158">
        <f t="shared" si="29"/>
        <v>102000</v>
      </c>
      <c r="BL33" s="85"/>
      <c r="BM33" s="85"/>
      <c r="BN33" s="85"/>
      <c r="BO33" s="117"/>
      <c r="BP33" s="330" t="s">
        <v>469</v>
      </c>
      <c r="BR33" s="113"/>
      <c r="BS33" s="113">
        <f>G33</f>
        <v>102000</v>
      </c>
      <c r="BT33" s="113"/>
      <c r="BU33" s="113"/>
      <c r="BV33" s="113">
        <f>BR33+BS33+BT33+BU33</f>
        <v>102000</v>
      </c>
      <c r="BW33" s="113"/>
      <c r="BX33" s="113"/>
      <c r="BY33" s="113">
        <f>BW33+BX33</f>
        <v>0</v>
      </c>
      <c r="BZ33" s="223">
        <f t="shared" si="1"/>
        <v>102000</v>
      </c>
    </row>
    <row r="34" spans="1:78" s="595" customFormat="1" ht="32.25" customHeight="1" x14ac:dyDescent="0.25">
      <c r="A34" s="830"/>
      <c r="B34" s="62"/>
      <c r="C34" s="140" t="s">
        <v>36</v>
      </c>
      <c r="D34" s="140"/>
      <c r="E34" s="172"/>
      <c r="F34" s="591">
        <f t="shared" ref="F34:AK34" si="30">SUM(F31:F33)</f>
        <v>612</v>
      </c>
      <c r="G34" s="172">
        <f t="shared" si="30"/>
        <v>1224000</v>
      </c>
      <c r="H34" s="172">
        <f t="shared" si="30"/>
        <v>244800</v>
      </c>
      <c r="I34" s="172">
        <f t="shared" si="30"/>
        <v>979200</v>
      </c>
      <c r="J34" s="172">
        <f t="shared" si="30"/>
        <v>0</v>
      </c>
      <c r="K34" s="172">
        <f t="shared" si="30"/>
        <v>0</v>
      </c>
      <c r="L34" s="172">
        <f t="shared" si="30"/>
        <v>0</v>
      </c>
      <c r="M34" s="172">
        <f t="shared" si="30"/>
        <v>0</v>
      </c>
      <c r="N34" s="172">
        <f t="shared" si="30"/>
        <v>0</v>
      </c>
      <c r="O34" s="172">
        <f t="shared" si="30"/>
        <v>0</v>
      </c>
      <c r="P34" s="172">
        <f t="shared" si="30"/>
        <v>0</v>
      </c>
      <c r="Q34" s="172">
        <f t="shared" si="30"/>
        <v>0</v>
      </c>
      <c r="R34" s="591">
        <f t="shared" si="30"/>
        <v>85</v>
      </c>
      <c r="S34" s="591">
        <f>SUM(S31:S33)</f>
        <v>153</v>
      </c>
      <c r="T34" s="591">
        <f t="shared" si="30"/>
        <v>221</v>
      </c>
      <c r="U34" s="591">
        <f t="shared" si="30"/>
        <v>153</v>
      </c>
      <c r="V34" s="172">
        <f t="shared" si="30"/>
        <v>255000</v>
      </c>
      <c r="W34" s="172">
        <f t="shared" si="30"/>
        <v>255000</v>
      </c>
      <c r="X34" s="172">
        <f t="shared" si="30"/>
        <v>357000</v>
      </c>
      <c r="Y34" s="172">
        <f t="shared" si="30"/>
        <v>357000</v>
      </c>
      <c r="Z34" s="172">
        <f t="shared" si="30"/>
        <v>36</v>
      </c>
      <c r="AA34" s="172">
        <f t="shared" si="30"/>
        <v>72000</v>
      </c>
      <c r="AB34" s="172">
        <f t="shared" si="30"/>
        <v>36</v>
      </c>
      <c r="AC34" s="172">
        <f t="shared" si="30"/>
        <v>72000</v>
      </c>
      <c r="AD34" s="172">
        <f t="shared" si="30"/>
        <v>36</v>
      </c>
      <c r="AE34" s="172">
        <f t="shared" si="30"/>
        <v>72000</v>
      </c>
      <c r="AF34" s="172">
        <f t="shared" si="30"/>
        <v>36</v>
      </c>
      <c r="AG34" s="172">
        <f t="shared" si="30"/>
        <v>72000</v>
      </c>
      <c r="AH34" s="172">
        <f t="shared" si="30"/>
        <v>36</v>
      </c>
      <c r="AI34" s="172">
        <f t="shared" si="30"/>
        <v>72000</v>
      </c>
      <c r="AJ34" s="172">
        <f t="shared" si="30"/>
        <v>36</v>
      </c>
      <c r="AK34" s="172">
        <f t="shared" si="30"/>
        <v>72000</v>
      </c>
      <c r="AL34" s="172">
        <f t="shared" ref="AL34:BK34" si="31">SUM(AL31:AL33)</f>
        <v>36</v>
      </c>
      <c r="AM34" s="172">
        <f t="shared" si="31"/>
        <v>72000</v>
      </c>
      <c r="AN34" s="172">
        <f t="shared" si="31"/>
        <v>36</v>
      </c>
      <c r="AO34" s="172">
        <f t="shared" si="31"/>
        <v>72000</v>
      </c>
      <c r="AP34" s="172">
        <f t="shared" si="31"/>
        <v>36</v>
      </c>
      <c r="AQ34" s="172">
        <f t="shared" si="31"/>
        <v>72000</v>
      </c>
      <c r="AR34" s="172">
        <f t="shared" si="31"/>
        <v>36</v>
      </c>
      <c r="AS34" s="172">
        <f t="shared" si="31"/>
        <v>72000</v>
      </c>
      <c r="AT34" s="172">
        <f t="shared" si="31"/>
        <v>36</v>
      </c>
      <c r="AU34" s="172">
        <f t="shared" si="31"/>
        <v>72000</v>
      </c>
      <c r="AV34" s="172">
        <f t="shared" si="31"/>
        <v>36</v>
      </c>
      <c r="AW34" s="172">
        <f t="shared" si="31"/>
        <v>72000</v>
      </c>
      <c r="AX34" s="172">
        <f t="shared" si="31"/>
        <v>36</v>
      </c>
      <c r="AY34" s="172">
        <f t="shared" si="31"/>
        <v>72000</v>
      </c>
      <c r="AZ34" s="172">
        <f t="shared" si="31"/>
        <v>36</v>
      </c>
      <c r="BA34" s="172">
        <f t="shared" si="31"/>
        <v>72000</v>
      </c>
      <c r="BB34" s="172">
        <f t="shared" si="31"/>
        <v>36</v>
      </c>
      <c r="BC34" s="172">
        <f t="shared" si="31"/>
        <v>72000</v>
      </c>
      <c r="BD34" s="172">
        <f t="shared" si="31"/>
        <v>36</v>
      </c>
      <c r="BE34" s="172">
        <f t="shared" si="31"/>
        <v>72000</v>
      </c>
      <c r="BF34" s="172">
        <f t="shared" si="31"/>
        <v>36</v>
      </c>
      <c r="BG34" s="172">
        <f t="shared" si="31"/>
        <v>72000</v>
      </c>
      <c r="BH34" s="591">
        <f t="shared" si="31"/>
        <v>0</v>
      </c>
      <c r="BI34" s="172">
        <f t="shared" si="31"/>
        <v>0</v>
      </c>
      <c r="BJ34" s="591">
        <f t="shared" si="31"/>
        <v>612</v>
      </c>
      <c r="BK34" s="172">
        <f t="shared" si="31"/>
        <v>1224000</v>
      </c>
      <c r="BL34" s="140"/>
      <c r="BM34" s="592"/>
      <c r="BN34" s="140"/>
      <c r="BO34" s="593"/>
      <c r="BP34" s="592"/>
      <c r="BR34" s="582">
        <f t="shared" ref="BR34:BY34" si="32">SUM(BR31:BR33)</f>
        <v>0</v>
      </c>
      <c r="BS34" s="582">
        <f t="shared" si="32"/>
        <v>1224000</v>
      </c>
      <c r="BT34" s="582">
        <f t="shared" si="32"/>
        <v>0</v>
      </c>
      <c r="BU34" s="582">
        <f t="shared" si="32"/>
        <v>0</v>
      </c>
      <c r="BV34" s="582">
        <f t="shared" si="32"/>
        <v>1224000</v>
      </c>
      <c r="BW34" s="582">
        <f t="shared" si="32"/>
        <v>0</v>
      </c>
      <c r="BX34" s="582">
        <f t="shared" si="32"/>
        <v>0</v>
      </c>
      <c r="BY34" s="582">
        <f t="shared" si="32"/>
        <v>0</v>
      </c>
      <c r="BZ34" s="582">
        <f t="shared" si="1"/>
        <v>1224000</v>
      </c>
    </row>
    <row r="35" spans="1:78" ht="32.25" customHeight="1" x14ac:dyDescent="0.25">
      <c r="A35" s="830"/>
      <c r="B35" s="221">
        <v>11400</v>
      </c>
      <c r="C35" s="578" t="s">
        <v>84</v>
      </c>
      <c r="D35" s="145"/>
      <c r="E35" s="299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299"/>
      <c r="W35" s="299"/>
      <c r="X35" s="169"/>
      <c r="Y35" s="169"/>
      <c r="Z35" s="158"/>
      <c r="AA35" s="169"/>
      <c r="AB35" s="158"/>
      <c r="AC35" s="169"/>
      <c r="AD35" s="158"/>
      <c r="AE35" s="169"/>
      <c r="AF35" s="158"/>
      <c r="AG35" s="169"/>
      <c r="AH35" s="158"/>
      <c r="AI35" s="169"/>
      <c r="AJ35" s="158"/>
      <c r="AK35" s="169"/>
      <c r="AL35" s="158"/>
      <c r="AM35" s="169"/>
      <c r="AN35" s="158"/>
      <c r="AO35" s="169"/>
      <c r="AP35" s="158"/>
      <c r="AQ35" s="169"/>
      <c r="AR35" s="158"/>
      <c r="AS35" s="169"/>
      <c r="AT35" s="158"/>
      <c r="AU35" s="169"/>
      <c r="AV35" s="158"/>
      <c r="AW35" s="169"/>
      <c r="AX35" s="158"/>
      <c r="AY35" s="169"/>
      <c r="AZ35" s="158"/>
      <c r="BA35" s="169"/>
      <c r="BB35" s="158"/>
      <c r="BC35" s="169"/>
      <c r="BD35" s="158"/>
      <c r="BE35" s="169"/>
      <c r="BF35" s="158"/>
      <c r="BG35" s="169"/>
      <c r="BH35" s="158"/>
      <c r="BI35" s="169"/>
      <c r="BJ35" s="222"/>
      <c r="BK35" s="158"/>
      <c r="BL35" s="85"/>
      <c r="BN35" s="85" t="s">
        <v>72</v>
      </c>
      <c r="BO35" s="117"/>
      <c r="BP35" s="85"/>
      <c r="BR35" s="113"/>
      <c r="BS35" s="113"/>
      <c r="BT35" s="113"/>
      <c r="BU35" s="113"/>
      <c r="BV35" s="113"/>
      <c r="BW35" s="113"/>
      <c r="BX35" s="113"/>
      <c r="BY35" s="113"/>
      <c r="BZ35" s="223">
        <f t="shared" si="1"/>
        <v>0</v>
      </c>
    </row>
    <row r="36" spans="1:78" ht="32.25" customHeight="1" x14ac:dyDescent="0.25">
      <c r="A36" s="830"/>
      <c r="B36" s="221">
        <v>11410</v>
      </c>
      <c r="C36" s="169" t="s">
        <v>85</v>
      </c>
      <c r="D36" s="169" t="s">
        <v>79</v>
      </c>
      <c r="E36" s="169">
        <f>0.0015*100000</f>
        <v>150</v>
      </c>
      <c r="F36" s="220">
        <f>BJ36</f>
        <v>65</v>
      </c>
      <c r="G36" s="158">
        <f t="shared" ref="G36:G43" si="33">E36*F36</f>
        <v>9750</v>
      </c>
      <c r="H36" s="158">
        <f t="shared" ref="H36:H43" si="34">G36*0.2</f>
        <v>1950</v>
      </c>
      <c r="I36" s="158">
        <f t="shared" ref="I36:I43" si="35">G36*0.8</f>
        <v>7800</v>
      </c>
      <c r="J36" s="158">
        <f>G36*0</f>
        <v>0</v>
      </c>
      <c r="K36" s="158"/>
      <c r="L36" s="158"/>
      <c r="M36" s="158">
        <f>G36*0</f>
        <v>0</v>
      </c>
      <c r="N36" s="158">
        <f>G36*0</f>
        <v>0</v>
      </c>
      <c r="O36" s="158">
        <f>G36*0</f>
        <v>0</v>
      </c>
      <c r="P36" s="158">
        <f>G36*0</f>
        <v>0</v>
      </c>
      <c r="Q36" s="158">
        <f>G36*0</f>
        <v>0</v>
      </c>
      <c r="R36" s="222">
        <f>F36</f>
        <v>65</v>
      </c>
      <c r="T36" s="222"/>
      <c r="U36" s="222"/>
      <c r="V36" s="299"/>
      <c r="W36" s="158">
        <f>R36*E36</f>
        <v>9750</v>
      </c>
      <c r="X36" s="158"/>
      <c r="Y36" s="158"/>
      <c r="Z36" s="158">
        <v>0</v>
      </c>
      <c r="AA36" s="158">
        <f>Z36*150</f>
        <v>0</v>
      </c>
      <c r="AB36" s="158">
        <v>0</v>
      </c>
      <c r="AC36" s="158">
        <f>AB36*150</f>
        <v>0</v>
      </c>
      <c r="AD36" s="158">
        <v>0</v>
      </c>
      <c r="AE36" s="158">
        <f>AD36*150</f>
        <v>0</v>
      </c>
      <c r="AF36" s="158">
        <v>0</v>
      </c>
      <c r="AG36" s="158">
        <f>AF36*150</f>
        <v>0</v>
      </c>
      <c r="AH36" s="158">
        <v>0</v>
      </c>
      <c r="AI36" s="158">
        <f>AH36*150</f>
        <v>0</v>
      </c>
      <c r="AJ36" s="158">
        <v>0</v>
      </c>
      <c r="AK36" s="158">
        <f>AJ36*150</f>
        <v>0</v>
      </c>
      <c r="AL36" s="158">
        <v>0</v>
      </c>
      <c r="AM36" s="158">
        <f>AL36*150</f>
        <v>0</v>
      </c>
      <c r="AN36" s="158">
        <v>20</v>
      </c>
      <c r="AO36" s="158">
        <f>AN36*150</f>
        <v>3000</v>
      </c>
      <c r="AP36" s="158">
        <v>0</v>
      </c>
      <c r="AQ36" s="158">
        <f>AP36*150</f>
        <v>0</v>
      </c>
      <c r="AR36" s="158">
        <v>0</v>
      </c>
      <c r="AS36" s="158">
        <f>AR36*150</f>
        <v>0</v>
      </c>
      <c r="AT36" s="158">
        <v>0</v>
      </c>
      <c r="AU36" s="158">
        <f>AT36*150</f>
        <v>0</v>
      </c>
      <c r="AV36" s="158">
        <v>0</v>
      </c>
      <c r="AW36" s="158">
        <f>AV36*150</f>
        <v>0</v>
      </c>
      <c r="AX36" s="158">
        <v>0</v>
      </c>
      <c r="AY36" s="158">
        <f>AX36*150</f>
        <v>0</v>
      </c>
      <c r="AZ36" s="158">
        <v>0</v>
      </c>
      <c r="BA36" s="158">
        <f>AZ36*150</f>
        <v>0</v>
      </c>
      <c r="BB36" s="158">
        <v>15</v>
      </c>
      <c r="BC36" s="158">
        <f>BB36*150</f>
        <v>2250</v>
      </c>
      <c r="BD36" s="158">
        <v>30</v>
      </c>
      <c r="BE36" s="158">
        <f>BD36*150</f>
        <v>4500</v>
      </c>
      <c r="BF36" s="158">
        <v>0</v>
      </c>
      <c r="BG36" s="158">
        <f>BF36*150</f>
        <v>0</v>
      </c>
      <c r="BH36" s="222">
        <v>0</v>
      </c>
      <c r="BI36" s="158">
        <f>BH36*150</f>
        <v>0</v>
      </c>
      <c r="BJ36" s="222">
        <f t="shared" ref="BJ36:BK43" si="36">Z36+AB36+AD36+AF36+AH36+AJ36+AL36+AN36+AP36+AR36+AT36+AV36+AX36+AZ36+BB36+BD36+BF36+BH36</f>
        <v>65</v>
      </c>
      <c r="BK36" s="158">
        <f t="shared" si="36"/>
        <v>9750</v>
      </c>
      <c r="BL36" s="85"/>
      <c r="BM36" s="85"/>
      <c r="BN36" s="85"/>
      <c r="BO36" s="117"/>
      <c r="BP36" s="330" t="s">
        <v>469</v>
      </c>
      <c r="BR36" s="113"/>
      <c r="BS36" s="113">
        <f t="shared" ref="BS36:BS43" si="37">G36</f>
        <v>9750</v>
      </c>
      <c r="BT36" s="113"/>
      <c r="BU36" s="113"/>
      <c r="BV36" s="113">
        <f>BR36+BS36+BT36+BU36</f>
        <v>9750</v>
      </c>
      <c r="BW36" s="113"/>
      <c r="BX36" s="113"/>
      <c r="BY36" s="113">
        <f>BW36+BX36</f>
        <v>0</v>
      </c>
      <c r="BZ36" s="223">
        <f t="shared" si="1"/>
        <v>9750</v>
      </c>
    </row>
    <row r="37" spans="1:78" ht="32.25" customHeight="1" x14ac:dyDescent="0.25">
      <c r="A37" s="830"/>
      <c r="B37" s="221">
        <v>11420</v>
      </c>
      <c r="C37" s="169" t="s">
        <v>754</v>
      </c>
      <c r="D37" s="169" t="s">
        <v>79</v>
      </c>
      <c r="E37" s="169">
        <f>0.003*100000</f>
        <v>300</v>
      </c>
      <c r="F37" s="220">
        <f t="shared" ref="F37:F43" si="38">BJ37</f>
        <v>545</v>
      </c>
      <c r="G37" s="158">
        <f t="shared" si="33"/>
        <v>163500</v>
      </c>
      <c r="H37" s="158">
        <f t="shared" si="34"/>
        <v>32700</v>
      </c>
      <c r="I37" s="158">
        <f t="shared" si="35"/>
        <v>130800</v>
      </c>
      <c r="J37" s="158">
        <f>G37*0</f>
        <v>0</v>
      </c>
      <c r="K37" s="158">
        <f>G37*0</f>
        <v>0</v>
      </c>
      <c r="L37" s="158">
        <f>G37*0</f>
        <v>0</v>
      </c>
      <c r="M37" s="158">
        <f>G37*0</f>
        <v>0</v>
      </c>
      <c r="N37" s="158">
        <f>G37*0</f>
        <v>0</v>
      </c>
      <c r="O37" s="158">
        <f>G37*0</f>
        <v>0</v>
      </c>
      <c r="P37" s="158">
        <f>G37*0</f>
        <v>0</v>
      </c>
      <c r="Q37" s="158">
        <f>G37*0</f>
        <v>0</v>
      </c>
      <c r="R37" s="222">
        <f>F37*0.6</f>
        <v>327</v>
      </c>
      <c r="S37" s="222">
        <f>F37*0.2</f>
        <v>109</v>
      </c>
      <c r="T37" s="222">
        <f>F37*0.2</f>
        <v>109</v>
      </c>
      <c r="V37" s="299"/>
      <c r="W37" s="158">
        <f>R37*E37</f>
        <v>98100</v>
      </c>
      <c r="X37" s="158">
        <f>S37*E37</f>
        <v>32700</v>
      </c>
      <c r="Y37" s="158">
        <f>T37*E37</f>
        <v>32700</v>
      </c>
      <c r="Z37" s="158">
        <v>30</v>
      </c>
      <c r="AA37" s="158">
        <f>Z37*300</f>
        <v>9000</v>
      </c>
      <c r="AB37" s="158">
        <v>21</v>
      </c>
      <c r="AC37" s="158">
        <f>AB37*300</f>
        <v>6300</v>
      </c>
      <c r="AD37" s="158">
        <v>30</v>
      </c>
      <c r="AE37" s="158">
        <f>AD37*300</f>
        <v>9000</v>
      </c>
      <c r="AF37" s="158">
        <v>51</v>
      </c>
      <c r="AG37" s="158">
        <f>AF37*300</f>
        <v>15300</v>
      </c>
      <c r="AH37" s="158">
        <v>22</v>
      </c>
      <c r="AI37" s="158">
        <f>AH37*300</f>
        <v>6600</v>
      </c>
      <c r="AJ37" s="158">
        <v>30</v>
      </c>
      <c r="AK37" s="158">
        <f t="shared" ref="AK37:AK43" si="39">AJ37*300</f>
        <v>9000</v>
      </c>
      <c r="AL37" s="158">
        <v>22</v>
      </c>
      <c r="AM37" s="158">
        <f>AL37*300</f>
        <v>6600</v>
      </c>
      <c r="AN37" s="158">
        <v>50</v>
      </c>
      <c r="AO37" s="158">
        <f>AN37*300</f>
        <v>15000</v>
      </c>
      <c r="AP37" s="158">
        <v>6</v>
      </c>
      <c r="AQ37" s="158">
        <f>AP37*300</f>
        <v>1800</v>
      </c>
      <c r="AR37" s="158">
        <v>28</v>
      </c>
      <c r="AS37" s="158">
        <f t="shared" ref="AS37:AS43" si="40">AR37*300</f>
        <v>8400</v>
      </c>
      <c r="AT37" s="158">
        <v>30</v>
      </c>
      <c r="AU37" s="158">
        <f>AT37*300</f>
        <v>9000</v>
      </c>
      <c r="AV37" s="158">
        <v>30</v>
      </c>
      <c r="AW37" s="158">
        <f>AV37*300</f>
        <v>9000</v>
      </c>
      <c r="AX37" s="158">
        <v>30</v>
      </c>
      <c r="AY37" s="158">
        <f>AX37*300</f>
        <v>9000</v>
      </c>
      <c r="AZ37" s="158">
        <v>30</v>
      </c>
      <c r="BA37" s="158">
        <f t="shared" ref="BA37:BA43" si="41">AZ37*300</f>
        <v>9000</v>
      </c>
      <c r="BB37" s="158">
        <v>45</v>
      </c>
      <c r="BC37" s="158">
        <f t="shared" ref="BC37:BC43" si="42">BB37*300</f>
        <v>13500</v>
      </c>
      <c r="BD37" s="158">
        <v>60</v>
      </c>
      <c r="BE37" s="158">
        <f>BD37*300</f>
        <v>18000</v>
      </c>
      <c r="BF37" s="158">
        <v>30</v>
      </c>
      <c r="BG37" s="158">
        <f>BF37*300</f>
        <v>9000</v>
      </c>
      <c r="BH37" s="222">
        <v>0</v>
      </c>
      <c r="BI37" s="158">
        <f t="shared" ref="BI37:BI43" si="43">BH37*300</f>
        <v>0</v>
      </c>
      <c r="BJ37" s="222">
        <f t="shared" si="36"/>
        <v>545</v>
      </c>
      <c r="BK37" s="158">
        <f t="shared" si="36"/>
        <v>163500</v>
      </c>
      <c r="BL37" s="85"/>
      <c r="BM37" s="85"/>
      <c r="BN37" s="85"/>
      <c r="BO37" s="117"/>
      <c r="BP37" s="330" t="s">
        <v>469</v>
      </c>
      <c r="BR37" s="113"/>
      <c r="BS37" s="113">
        <f t="shared" si="37"/>
        <v>163500</v>
      </c>
      <c r="BT37" s="113"/>
      <c r="BU37" s="113"/>
      <c r="BV37" s="178">
        <f t="shared" ref="BV37:BV43" si="44">BR37+BS37+BT37+BU37</f>
        <v>163500</v>
      </c>
      <c r="BW37" s="113"/>
      <c r="BX37" s="113"/>
      <c r="BY37" s="113">
        <f>BW37+BX37</f>
        <v>0</v>
      </c>
      <c r="BZ37" s="179">
        <f t="shared" si="1"/>
        <v>163500</v>
      </c>
    </row>
    <row r="38" spans="1:78" ht="32.25" customHeight="1" x14ac:dyDescent="0.25">
      <c r="A38" s="830"/>
      <c r="B38" s="221">
        <v>11430</v>
      </c>
      <c r="C38" s="169" t="s">
        <v>86</v>
      </c>
      <c r="D38" s="169" t="s">
        <v>79</v>
      </c>
      <c r="E38" s="169">
        <f>0.003*100000</f>
        <v>300</v>
      </c>
      <c r="F38" s="663">
        <f t="shared" si="38"/>
        <v>545</v>
      </c>
      <c r="G38" s="158">
        <f t="shared" si="33"/>
        <v>163500</v>
      </c>
      <c r="H38" s="158">
        <f t="shared" si="34"/>
        <v>32700</v>
      </c>
      <c r="I38" s="158">
        <f t="shared" si="35"/>
        <v>130800</v>
      </c>
      <c r="J38" s="158">
        <f>G38*0</f>
        <v>0</v>
      </c>
      <c r="K38" s="158"/>
      <c r="L38" s="158"/>
      <c r="M38" s="158">
        <f>G38*0</f>
        <v>0</v>
      </c>
      <c r="N38" s="158">
        <f>G38*0</f>
        <v>0</v>
      </c>
      <c r="O38" s="158">
        <f>G38*0</f>
        <v>0</v>
      </c>
      <c r="P38" s="158">
        <f>G38*0</f>
        <v>0</v>
      </c>
      <c r="Q38" s="158">
        <f>G38*0</f>
        <v>0</v>
      </c>
      <c r="R38" s="222">
        <f>F38*0.6</f>
        <v>327</v>
      </c>
      <c r="S38" s="222">
        <f>F38*0.2</f>
        <v>109</v>
      </c>
      <c r="T38" s="222">
        <f>F38*0.2</f>
        <v>109</v>
      </c>
      <c r="V38" s="299"/>
      <c r="W38" s="158">
        <f>R38*E38</f>
        <v>98100</v>
      </c>
      <c r="X38" s="158">
        <f>S38*E38</f>
        <v>32700</v>
      </c>
      <c r="Y38" s="158">
        <f>T38*E38</f>
        <v>32700</v>
      </c>
      <c r="Z38" s="158">
        <v>30</v>
      </c>
      <c r="AA38" s="158">
        <f>Z38*300</f>
        <v>9000</v>
      </c>
      <c r="AB38" s="158">
        <v>21</v>
      </c>
      <c r="AC38" s="158">
        <f>AB38*300</f>
        <v>6300</v>
      </c>
      <c r="AD38" s="158">
        <v>30</v>
      </c>
      <c r="AE38" s="158">
        <f>AD38*300</f>
        <v>9000</v>
      </c>
      <c r="AF38" s="158">
        <v>51</v>
      </c>
      <c r="AG38" s="158">
        <f>AF38*300</f>
        <v>15300</v>
      </c>
      <c r="AH38" s="158">
        <v>22</v>
      </c>
      <c r="AI38" s="158">
        <f>AH38*300</f>
        <v>6600</v>
      </c>
      <c r="AJ38" s="158">
        <v>30</v>
      </c>
      <c r="AK38" s="158">
        <f t="shared" si="39"/>
        <v>9000</v>
      </c>
      <c r="AL38" s="158">
        <v>22</v>
      </c>
      <c r="AM38" s="158">
        <f>AL38*300</f>
        <v>6600</v>
      </c>
      <c r="AN38" s="158">
        <v>50</v>
      </c>
      <c r="AO38" s="158">
        <f>AN38*300</f>
        <v>15000</v>
      </c>
      <c r="AP38" s="158">
        <v>6</v>
      </c>
      <c r="AQ38" s="158">
        <f>AP38*300</f>
        <v>1800</v>
      </c>
      <c r="AR38" s="158">
        <v>28</v>
      </c>
      <c r="AS38" s="158">
        <f t="shared" si="40"/>
        <v>8400</v>
      </c>
      <c r="AT38" s="158">
        <v>30</v>
      </c>
      <c r="AU38" s="158">
        <f>AT38*300</f>
        <v>9000</v>
      </c>
      <c r="AV38" s="158">
        <v>30</v>
      </c>
      <c r="AW38" s="158">
        <f>AV38*300</f>
        <v>9000</v>
      </c>
      <c r="AX38" s="158">
        <v>30</v>
      </c>
      <c r="AY38" s="158">
        <f>AX38*300</f>
        <v>9000</v>
      </c>
      <c r="AZ38" s="158">
        <v>30</v>
      </c>
      <c r="BA38" s="158">
        <f t="shared" si="41"/>
        <v>9000</v>
      </c>
      <c r="BB38" s="158">
        <v>45</v>
      </c>
      <c r="BC38" s="158">
        <f t="shared" si="42"/>
        <v>13500</v>
      </c>
      <c r="BD38" s="158">
        <v>60</v>
      </c>
      <c r="BE38" s="158">
        <f>BD38*300</f>
        <v>18000</v>
      </c>
      <c r="BF38" s="158">
        <v>30</v>
      </c>
      <c r="BG38" s="158">
        <f>BF38*300</f>
        <v>9000</v>
      </c>
      <c r="BH38" s="222">
        <v>0</v>
      </c>
      <c r="BI38" s="158">
        <f t="shared" si="43"/>
        <v>0</v>
      </c>
      <c r="BJ38" s="222">
        <f t="shared" si="36"/>
        <v>545</v>
      </c>
      <c r="BK38" s="158">
        <f t="shared" si="36"/>
        <v>163500</v>
      </c>
      <c r="BL38" s="85"/>
      <c r="BM38" s="85"/>
      <c r="BN38" s="85"/>
      <c r="BO38" s="117"/>
      <c r="BP38" s="330" t="s">
        <v>469</v>
      </c>
      <c r="BR38" s="113"/>
      <c r="BS38" s="113">
        <f t="shared" si="37"/>
        <v>163500</v>
      </c>
      <c r="BT38" s="113"/>
      <c r="BU38" s="113"/>
      <c r="BV38" s="178">
        <f t="shared" si="44"/>
        <v>163500</v>
      </c>
      <c r="BW38" s="113"/>
      <c r="BX38" s="113"/>
      <c r="BY38" s="113">
        <f>BW38+BX38</f>
        <v>0</v>
      </c>
      <c r="BZ38" s="179">
        <f t="shared" si="1"/>
        <v>163500</v>
      </c>
    </row>
    <row r="39" spans="1:78" ht="32.25" customHeight="1" x14ac:dyDescent="0.25">
      <c r="A39" s="830"/>
      <c r="B39" s="221"/>
      <c r="C39" s="597" t="s">
        <v>779</v>
      </c>
      <c r="D39" s="169" t="s">
        <v>79</v>
      </c>
      <c r="E39" s="169">
        <v>500</v>
      </c>
      <c r="F39" s="220">
        <f t="shared" si="38"/>
        <v>952</v>
      </c>
      <c r="G39" s="158">
        <f t="shared" si="33"/>
        <v>476000</v>
      </c>
      <c r="H39" s="158">
        <f>G39*0.2</f>
        <v>95200</v>
      </c>
      <c r="I39" s="158">
        <f>G39*0.8</f>
        <v>380800</v>
      </c>
      <c r="J39" s="158"/>
      <c r="K39" s="158"/>
      <c r="L39" s="158"/>
      <c r="M39" s="158"/>
      <c r="N39" s="158"/>
      <c r="O39" s="158"/>
      <c r="P39" s="158"/>
      <c r="Q39" s="158"/>
      <c r="R39" s="158">
        <v>476</v>
      </c>
      <c r="S39" s="222">
        <v>476</v>
      </c>
      <c r="U39" s="222"/>
      <c r="V39" s="158">
        <f>R39*E39</f>
        <v>238000</v>
      </c>
      <c r="W39" s="158">
        <f>S39*E39</f>
        <v>238000</v>
      </c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222">
        <v>952</v>
      </c>
      <c r="BI39" s="158">
        <f>BH39*E39</f>
        <v>476000</v>
      </c>
      <c r="BJ39" s="222">
        <f t="shared" si="36"/>
        <v>952</v>
      </c>
      <c r="BK39" s="158">
        <f>AA39+AC39+AE39+AG39+AI39+AK39+AM39+AO39+AQ39+AS39+AU39+AW39+AY39+BA39+BC39+BE39+BG39+BI39</f>
        <v>476000</v>
      </c>
      <c r="BL39" s="85"/>
      <c r="BM39" s="85"/>
      <c r="BN39" s="85"/>
      <c r="BO39" s="117"/>
      <c r="BP39" s="330" t="s">
        <v>469</v>
      </c>
      <c r="BR39" s="113"/>
      <c r="BS39" s="113">
        <f t="shared" si="37"/>
        <v>476000</v>
      </c>
      <c r="BT39" s="113"/>
      <c r="BU39" s="113"/>
      <c r="BV39" s="178">
        <f t="shared" si="44"/>
        <v>476000</v>
      </c>
      <c r="BW39" s="113"/>
      <c r="BX39" s="113"/>
      <c r="BY39" s="113"/>
      <c r="BZ39" s="179">
        <f t="shared" si="1"/>
        <v>476000</v>
      </c>
    </row>
    <row r="40" spans="1:78" s="165" customFormat="1" ht="32.25" customHeight="1" x14ac:dyDescent="0.25">
      <c r="A40" s="830"/>
      <c r="B40" s="173"/>
      <c r="C40" s="326" t="s">
        <v>505</v>
      </c>
      <c r="D40" s="174" t="s">
        <v>79</v>
      </c>
      <c r="E40" s="174">
        <v>300</v>
      </c>
      <c r="F40" s="220">
        <f t="shared" si="38"/>
        <v>545</v>
      </c>
      <c r="G40" s="158">
        <f t="shared" si="33"/>
        <v>163500</v>
      </c>
      <c r="H40" s="158">
        <f t="shared" si="34"/>
        <v>32700</v>
      </c>
      <c r="I40" s="158">
        <f t="shared" si="35"/>
        <v>130800</v>
      </c>
      <c r="J40" s="158"/>
      <c r="K40" s="158"/>
      <c r="L40" s="158"/>
      <c r="M40" s="158"/>
      <c r="N40" s="158"/>
      <c r="O40" s="158"/>
      <c r="P40" s="158"/>
      <c r="Q40" s="158"/>
      <c r="R40" s="158"/>
      <c r="S40" s="222">
        <f>F40*0.6</f>
        <v>327</v>
      </c>
      <c r="T40" s="222">
        <f>F40*0.2</f>
        <v>109</v>
      </c>
      <c r="U40" s="222">
        <f>F40*0.2</f>
        <v>109</v>
      </c>
      <c r="V40" s="299"/>
      <c r="W40" s="158">
        <f>S40*E40</f>
        <v>98100</v>
      </c>
      <c r="X40" s="158">
        <f>T40*E40</f>
        <v>32700</v>
      </c>
      <c r="Y40" s="158">
        <f>U40*E40</f>
        <v>32700</v>
      </c>
      <c r="Z40" s="158">
        <v>30</v>
      </c>
      <c r="AA40" s="158">
        <f>Z40*300</f>
        <v>9000</v>
      </c>
      <c r="AB40" s="158">
        <v>21</v>
      </c>
      <c r="AC40" s="158">
        <f>AB40*300</f>
        <v>6300</v>
      </c>
      <c r="AD40" s="158">
        <v>30</v>
      </c>
      <c r="AE40" s="158">
        <f>AD40*300</f>
        <v>9000</v>
      </c>
      <c r="AF40" s="158">
        <v>51</v>
      </c>
      <c r="AG40" s="158">
        <f>AF40*300</f>
        <v>15300</v>
      </c>
      <c r="AH40" s="158">
        <v>22</v>
      </c>
      <c r="AI40" s="158">
        <f>AH40*300</f>
        <v>6600</v>
      </c>
      <c r="AJ40" s="158">
        <v>30</v>
      </c>
      <c r="AK40" s="158">
        <f t="shared" si="39"/>
        <v>9000</v>
      </c>
      <c r="AL40" s="158">
        <v>22</v>
      </c>
      <c r="AM40" s="158">
        <f>AL40*300</f>
        <v>6600</v>
      </c>
      <c r="AN40" s="158">
        <v>50</v>
      </c>
      <c r="AO40" s="158">
        <f>AN40*300</f>
        <v>15000</v>
      </c>
      <c r="AP40" s="158">
        <v>6</v>
      </c>
      <c r="AQ40" s="158">
        <f>AP40*300</f>
        <v>1800</v>
      </c>
      <c r="AR40" s="158">
        <v>28</v>
      </c>
      <c r="AS40" s="158">
        <f t="shared" si="40"/>
        <v>8400</v>
      </c>
      <c r="AT40" s="158">
        <v>30</v>
      </c>
      <c r="AU40" s="158">
        <f>AT40*300</f>
        <v>9000</v>
      </c>
      <c r="AV40" s="158">
        <v>30</v>
      </c>
      <c r="AW40" s="158">
        <f>AV40*300</f>
        <v>9000</v>
      </c>
      <c r="AX40" s="158">
        <v>30</v>
      </c>
      <c r="AY40" s="158">
        <f>AX40*300</f>
        <v>9000</v>
      </c>
      <c r="AZ40" s="158">
        <v>30</v>
      </c>
      <c r="BA40" s="158">
        <f t="shared" si="41"/>
        <v>9000</v>
      </c>
      <c r="BB40" s="158">
        <v>45</v>
      </c>
      <c r="BC40" s="158">
        <f t="shared" si="42"/>
        <v>13500</v>
      </c>
      <c r="BD40" s="158">
        <v>60</v>
      </c>
      <c r="BE40" s="158">
        <f>BD40*300</f>
        <v>18000</v>
      </c>
      <c r="BF40" s="158">
        <v>30</v>
      </c>
      <c r="BG40" s="158">
        <f>BF40*300</f>
        <v>9000</v>
      </c>
      <c r="BH40" s="222">
        <v>0</v>
      </c>
      <c r="BI40" s="158">
        <f t="shared" si="43"/>
        <v>0</v>
      </c>
      <c r="BJ40" s="222">
        <f t="shared" si="36"/>
        <v>545</v>
      </c>
      <c r="BK40" s="158">
        <f t="shared" si="36"/>
        <v>163500</v>
      </c>
      <c r="BL40" s="134"/>
      <c r="BM40" s="134"/>
      <c r="BN40" s="134"/>
      <c r="BO40" s="331"/>
      <c r="BP40" s="330" t="s">
        <v>469</v>
      </c>
      <c r="BR40" s="178"/>
      <c r="BS40" s="113">
        <f t="shared" si="37"/>
        <v>163500</v>
      </c>
      <c r="BT40" s="178"/>
      <c r="BU40" s="178"/>
      <c r="BV40" s="178">
        <f t="shared" si="44"/>
        <v>163500</v>
      </c>
      <c r="BW40" s="178"/>
      <c r="BX40" s="178"/>
      <c r="BY40" s="178"/>
      <c r="BZ40" s="179">
        <f t="shared" si="1"/>
        <v>163500</v>
      </c>
    </row>
    <row r="41" spans="1:78" s="165" customFormat="1" ht="32.25" customHeight="1" x14ac:dyDescent="0.25">
      <c r="A41" s="830"/>
      <c r="B41" s="173"/>
      <c r="C41" s="326" t="s">
        <v>777</v>
      </c>
      <c r="D41" s="174" t="s">
        <v>79</v>
      </c>
      <c r="E41" s="174">
        <v>150</v>
      </c>
      <c r="F41" s="220">
        <f t="shared" si="38"/>
        <v>545</v>
      </c>
      <c r="G41" s="158">
        <f t="shared" si="33"/>
        <v>81750</v>
      </c>
      <c r="H41" s="158">
        <f t="shared" si="34"/>
        <v>16350</v>
      </c>
      <c r="I41" s="158">
        <f t="shared" si="35"/>
        <v>65400</v>
      </c>
      <c r="J41" s="158"/>
      <c r="K41" s="158"/>
      <c r="L41" s="158"/>
      <c r="M41" s="158"/>
      <c r="N41" s="158"/>
      <c r="O41" s="158"/>
      <c r="P41" s="158"/>
      <c r="Q41" s="158"/>
      <c r="R41" s="158"/>
      <c r="S41" s="222">
        <f>F41*0.6</f>
        <v>327</v>
      </c>
      <c r="T41" s="222">
        <f>F41*0.2</f>
        <v>109</v>
      </c>
      <c r="U41" s="222">
        <f>F41*0.2</f>
        <v>109</v>
      </c>
      <c r="V41" s="299"/>
      <c r="W41" s="158">
        <f>S41*E41</f>
        <v>49050</v>
      </c>
      <c r="X41" s="158">
        <f>T41*E41</f>
        <v>16350</v>
      </c>
      <c r="Y41" s="158">
        <f>U41*E41</f>
        <v>16350</v>
      </c>
      <c r="Z41" s="158">
        <v>30</v>
      </c>
      <c r="AA41" s="158">
        <f>Z41*E41</f>
        <v>4500</v>
      </c>
      <c r="AB41" s="158">
        <v>21</v>
      </c>
      <c r="AC41" s="158">
        <f>AB41*150</f>
        <v>3150</v>
      </c>
      <c r="AD41" s="158">
        <v>30</v>
      </c>
      <c r="AE41" s="158">
        <f>AD41*150</f>
        <v>4500</v>
      </c>
      <c r="AF41" s="158">
        <v>51</v>
      </c>
      <c r="AG41" s="158">
        <f>AF41*150</f>
        <v>7650</v>
      </c>
      <c r="AH41" s="158">
        <v>22</v>
      </c>
      <c r="AI41" s="158">
        <f>AH41*150</f>
        <v>3300</v>
      </c>
      <c r="AJ41" s="158">
        <v>30</v>
      </c>
      <c r="AK41" s="158">
        <f>AJ41*150</f>
        <v>4500</v>
      </c>
      <c r="AL41" s="158">
        <v>22</v>
      </c>
      <c r="AM41" s="158">
        <f>AL41*150</f>
        <v>3300</v>
      </c>
      <c r="AN41" s="158">
        <v>50</v>
      </c>
      <c r="AO41" s="158">
        <f>AN41*150</f>
        <v>7500</v>
      </c>
      <c r="AP41" s="158">
        <v>6</v>
      </c>
      <c r="AQ41" s="158">
        <f>AP41*150</f>
        <v>900</v>
      </c>
      <c r="AR41" s="158">
        <v>28</v>
      </c>
      <c r="AS41" s="158">
        <f>AR41*150</f>
        <v>4200</v>
      </c>
      <c r="AT41" s="158">
        <v>30</v>
      </c>
      <c r="AU41" s="158">
        <f>AT41*150</f>
        <v>4500</v>
      </c>
      <c r="AV41" s="158">
        <v>30</v>
      </c>
      <c r="AW41" s="158">
        <f>AV41*150</f>
        <v>4500</v>
      </c>
      <c r="AX41" s="158">
        <v>30</v>
      </c>
      <c r="AY41" s="158">
        <f>AX41*150</f>
        <v>4500</v>
      </c>
      <c r="AZ41" s="158">
        <v>30</v>
      </c>
      <c r="BA41" s="158">
        <f>AZ41*150</f>
        <v>4500</v>
      </c>
      <c r="BB41" s="158">
        <v>45</v>
      </c>
      <c r="BC41" s="158">
        <f>BB41*150</f>
        <v>6750</v>
      </c>
      <c r="BD41" s="158">
        <v>60</v>
      </c>
      <c r="BE41" s="158">
        <f>BD41*150</f>
        <v>9000</v>
      </c>
      <c r="BF41" s="158">
        <v>30</v>
      </c>
      <c r="BG41" s="158">
        <f>BF41*150</f>
        <v>4500</v>
      </c>
      <c r="BH41" s="222">
        <v>0</v>
      </c>
      <c r="BI41" s="158">
        <f t="shared" si="43"/>
        <v>0</v>
      </c>
      <c r="BJ41" s="222">
        <f t="shared" si="36"/>
        <v>545</v>
      </c>
      <c r="BK41" s="158">
        <f t="shared" si="36"/>
        <v>81750</v>
      </c>
      <c r="BL41" s="134"/>
      <c r="BM41" s="134"/>
      <c r="BN41" s="134"/>
      <c r="BO41" s="331"/>
      <c r="BP41" s="330" t="s">
        <v>469</v>
      </c>
      <c r="BR41" s="178"/>
      <c r="BS41" s="113">
        <f t="shared" si="37"/>
        <v>81750</v>
      </c>
      <c r="BT41" s="178"/>
      <c r="BU41" s="178"/>
      <c r="BV41" s="178">
        <f t="shared" si="44"/>
        <v>81750</v>
      </c>
      <c r="BW41" s="178"/>
      <c r="BX41" s="178"/>
      <c r="BY41" s="178"/>
      <c r="BZ41" s="179">
        <f t="shared" si="1"/>
        <v>81750</v>
      </c>
    </row>
    <row r="42" spans="1:78" ht="32.25" customHeight="1" x14ac:dyDescent="0.25">
      <c r="A42" s="830"/>
      <c r="B42" s="221"/>
      <c r="C42" s="327" t="s">
        <v>753</v>
      </c>
      <c r="D42" s="169" t="s">
        <v>79</v>
      </c>
      <c r="E42" s="169">
        <v>300</v>
      </c>
      <c r="F42" s="220">
        <f t="shared" si="38"/>
        <v>545</v>
      </c>
      <c r="G42" s="158">
        <f t="shared" si="33"/>
        <v>163500</v>
      </c>
      <c r="H42" s="158">
        <f t="shared" si="34"/>
        <v>32700</v>
      </c>
      <c r="I42" s="158">
        <f t="shared" si="35"/>
        <v>130800</v>
      </c>
      <c r="J42" s="158"/>
      <c r="K42" s="158"/>
      <c r="L42" s="158"/>
      <c r="M42" s="158"/>
      <c r="N42" s="158"/>
      <c r="O42" s="158"/>
      <c r="P42" s="158"/>
      <c r="Q42" s="158"/>
      <c r="R42" s="158"/>
      <c r="S42" s="222">
        <f>F42*0.6</f>
        <v>327</v>
      </c>
      <c r="T42" s="222">
        <f>F42*0.2</f>
        <v>109</v>
      </c>
      <c r="U42" s="222">
        <f>F42*0.2</f>
        <v>109</v>
      </c>
      <c r="V42" s="299"/>
      <c r="W42" s="158">
        <f>S42*E42</f>
        <v>98100</v>
      </c>
      <c r="X42" s="158">
        <f>T42*E42</f>
        <v>32700</v>
      </c>
      <c r="Y42" s="158">
        <f>U42*E42</f>
        <v>32700</v>
      </c>
      <c r="Z42" s="158">
        <v>30</v>
      </c>
      <c r="AA42" s="158">
        <f>Z42*300</f>
        <v>9000</v>
      </c>
      <c r="AB42" s="158">
        <v>21</v>
      </c>
      <c r="AC42" s="158">
        <f>AB42*300</f>
        <v>6300</v>
      </c>
      <c r="AD42" s="158">
        <v>30</v>
      </c>
      <c r="AE42" s="158">
        <f>AD42*300</f>
        <v>9000</v>
      </c>
      <c r="AF42" s="158">
        <v>51</v>
      </c>
      <c r="AG42" s="158">
        <f>AF42*300</f>
        <v>15300</v>
      </c>
      <c r="AH42" s="158">
        <v>22</v>
      </c>
      <c r="AI42" s="158">
        <f>AH42*300</f>
        <v>6600</v>
      </c>
      <c r="AJ42" s="158">
        <v>30</v>
      </c>
      <c r="AK42" s="158">
        <f t="shared" si="39"/>
        <v>9000</v>
      </c>
      <c r="AL42" s="158">
        <v>22</v>
      </c>
      <c r="AM42" s="158">
        <f>AL42*300</f>
        <v>6600</v>
      </c>
      <c r="AN42" s="158">
        <v>50</v>
      </c>
      <c r="AO42" s="158">
        <f>AN42*300</f>
        <v>15000</v>
      </c>
      <c r="AP42" s="158">
        <v>6</v>
      </c>
      <c r="AQ42" s="158">
        <f>AP42*300</f>
        <v>1800</v>
      </c>
      <c r="AR42" s="158">
        <v>28</v>
      </c>
      <c r="AS42" s="158">
        <f t="shared" si="40"/>
        <v>8400</v>
      </c>
      <c r="AT42" s="158">
        <v>30</v>
      </c>
      <c r="AU42" s="158">
        <f>AT42*300</f>
        <v>9000</v>
      </c>
      <c r="AV42" s="158">
        <v>30</v>
      </c>
      <c r="AW42" s="158">
        <f>AV42*300</f>
        <v>9000</v>
      </c>
      <c r="AX42" s="158">
        <v>30</v>
      </c>
      <c r="AY42" s="158">
        <f>AX42*300</f>
        <v>9000</v>
      </c>
      <c r="AZ42" s="158">
        <v>30</v>
      </c>
      <c r="BA42" s="158">
        <f t="shared" si="41"/>
        <v>9000</v>
      </c>
      <c r="BB42" s="158">
        <v>45</v>
      </c>
      <c r="BC42" s="158">
        <f t="shared" si="42"/>
        <v>13500</v>
      </c>
      <c r="BD42" s="158">
        <v>60</v>
      </c>
      <c r="BE42" s="158">
        <f>BD42*300</f>
        <v>18000</v>
      </c>
      <c r="BF42" s="158">
        <v>30</v>
      </c>
      <c r="BG42" s="158">
        <f>BF42*300</f>
        <v>9000</v>
      </c>
      <c r="BH42" s="222">
        <v>0</v>
      </c>
      <c r="BI42" s="158">
        <f t="shared" si="43"/>
        <v>0</v>
      </c>
      <c r="BJ42" s="222">
        <f t="shared" si="36"/>
        <v>545</v>
      </c>
      <c r="BK42" s="158">
        <f>AA42+AC42+AE42+AG42+AI42+AK42+AM42+AO42+AQ42+AS42+AU42+AW42+AY42+BA42+BC42+BE42+BG42+BI42</f>
        <v>163500</v>
      </c>
      <c r="BL42" s="85"/>
      <c r="BM42" s="85"/>
      <c r="BN42" s="85"/>
      <c r="BO42" s="117"/>
      <c r="BP42" s="330" t="s">
        <v>469</v>
      </c>
      <c r="BR42" s="113"/>
      <c r="BS42" s="113">
        <f t="shared" si="37"/>
        <v>163500</v>
      </c>
      <c r="BT42" s="113"/>
      <c r="BU42" s="113"/>
      <c r="BV42" s="178">
        <f t="shared" si="44"/>
        <v>163500</v>
      </c>
      <c r="BW42" s="113"/>
      <c r="BX42" s="113"/>
      <c r="BY42" s="113"/>
      <c r="BZ42" s="179">
        <f t="shared" si="1"/>
        <v>163500</v>
      </c>
    </row>
    <row r="43" spans="1:78" ht="32.25" customHeight="1" x14ac:dyDescent="0.25">
      <c r="A43" s="830"/>
      <c r="B43" s="221"/>
      <c r="C43" s="328" t="s">
        <v>506</v>
      </c>
      <c r="D43" s="169" t="s">
        <v>79</v>
      </c>
      <c r="E43" s="169">
        <v>300</v>
      </c>
      <c r="F43" s="220">
        <f t="shared" si="38"/>
        <v>545</v>
      </c>
      <c r="G43" s="158">
        <f t="shared" si="33"/>
        <v>163500</v>
      </c>
      <c r="H43" s="158">
        <f t="shared" si="34"/>
        <v>32700</v>
      </c>
      <c r="I43" s="158">
        <f t="shared" si="35"/>
        <v>130800</v>
      </c>
      <c r="J43" s="158"/>
      <c r="K43" s="158"/>
      <c r="L43" s="158"/>
      <c r="M43" s="158"/>
      <c r="N43" s="158"/>
      <c r="O43" s="158"/>
      <c r="P43" s="158"/>
      <c r="Q43" s="158"/>
      <c r="R43" s="158"/>
      <c r="S43" s="222">
        <f>F43*0.6</f>
        <v>327</v>
      </c>
      <c r="T43" s="222">
        <f>F43*0.2</f>
        <v>109</v>
      </c>
      <c r="U43" s="222">
        <f>F43*0.2</f>
        <v>109</v>
      </c>
      <c r="V43" s="299"/>
      <c r="W43" s="158">
        <f>S43*E43</f>
        <v>98100</v>
      </c>
      <c r="X43" s="158">
        <f>T43*E43</f>
        <v>32700</v>
      </c>
      <c r="Y43" s="158">
        <f>U43*E43</f>
        <v>32700</v>
      </c>
      <c r="Z43" s="158">
        <v>30</v>
      </c>
      <c r="AA43" s="158">
        <f>Z43*300</f>
        <v>9000</v>
      </c>
      <c r="AB43" s="158">
        <v>21</v>
      </c>
      <c r="AC43" s="158">
        <f>AB43*300</f>
        <v>6300</v>
      </c>
      <c r="AD43" s="158">
        <v>30</v>
      </c>
      <c r="AE43" s="158">
        <f>AD43*300</f>
        <v>9000</v>
      </c>
      <c r="AF43" s="158">
        <v>51</v>
      </c>
      <c r="AG43" s="158">
        <f>AF43*300</f>
        <v>15300</v>
      </c>
      <c r="AH43" s="158">
        <v>22</v>
      </c>
      <c r="AI43" s="158">
        <f>AH43*300</f>
        <v>6600</v>
      </c>
      <c r="AJ43" s="158">
        <v>30</v>
      </c>
      <c r="AK43" s="158">
        <f t="shared" si="39"/>
        <v>9000</v>
      </c>
      <c r="AL43" s="158">
        <v>22</v>
      </c>
      <c r="AM43" s="158">
        <f>AL43*300</f>
        <v>6600</v>
      </c>
      <c r="AN43" s="158">
        <v>50</v>
      </c>
      <c r="AO43" s="158">
        <f>AN43*300</f>
        <v>15000</v>
      </c>
      <c r="AP43" s="158">
        <v>6</v>
      </c>
      <c r="AQ43" s="158">
        <f>AP43*300</f>
        <v>1800</v>
      </c>
      <c r="AR43" s="158">
        <v>28</v>
      </c>
      <c r="AS43" s="158">
        <f t="shared" si="40"/>
        <v>8400</v>
      </c>
      <c r="AT43" s="158">
        <v>30</v>
      </c>
      <c r="AU43" s="158">
        <f>AT43*300</f>
        <v>9000</v>
      </c>
      <c r="AV43" s="158">
        <v>30</v>
      </c>
      <c r="AW43" s="158">
        <f>AV43*300</f>
        <v>9000</v>
      </c>
      <c r="AX43" s="158">
        <v>30</v>
      </c>
      <c r="AY43" s="158">
        <f>AX43*300</f>
        <v>9000</v>
      </c>
      <c r="AZ43" s="158">
        <v>30</v>
      </c>
      <c r="BA43" s="158">
        <f t="shared" si="41"/>
        <v>9000</v>
      </c>
      <c r="BB43" s="158">
        <v>45</v>
      </c>
      <c r="BC43" s="158">
        <f t="shared" si="42"/>
        <v>13500</v>
      </c>
      <c r="BD43" s="158">
        <v>60</v>
      </c>
      <c r="BE43" s="158">
        <f>BD43*300</f>
        <v>18000</v>
      </c>
      <c r="BF43" s="158">
        <v>30</v>
      </c>
      <c r="BG43" s="158">
        <f>BF43*300</f>
        <v>9000</v>
      </c>
      <c r="BH43" s="222">
        <v>0</v>
      </c>
      <c r="BI43" s="158">
        <f t="shared" si="43"/>
        <v>0</v>
      </c>
      <c r="BJ43" s="222">
        <f t="shared" si="36"/>
        <v>545</v>
      </c>
      <c r="BK43" s="158">
        <f>AA43+AC43+AE43+AG43+AI43+AK43+AM43+AO43+AQ43+AS43+AU43+AW43+AY43+BA43+BC43+BE43+BG43+BI43</f>
        <v>163500</v>
      </c>
      <c r="BL43" s="85"/>
      <c r="BM43" s="85"/>
      <c r="BN43" s="85"/>
      <c r="BO43" s="117"/>
      <c r="BP43" s="330" t="s">
        <v>469</v>
      </c>
      <c r="BR43" s="113"/>
      <c r="BS43" s="113">
        <f t="shared" si="37"/>
        <v>163500</v>
      </c>
      <c r="BT43" s="113"/>
      <c r="BU43" s="113"/>
      <c r="BV43" s="178">
        <f t="shared" si="44"/>
        <v>163500</v>
      </c>
      <c r="BW43" s="113"/>
      <c r="BX43" s="113"/>
      <c r="BY43" s="113"/>
      <c r="BZ43" s="179">
        <f t="shared" si="1"/>
        <v>163500</v>
      </c>
    </row>
    <row r="44" spans="1:78" s="595" customFormat="1" ht="32.25" customHeight="1" x14ac:dyDescent="0.25">
      <c r="A44" s="830"/>
      <c r="B44" s="62"/>
      <c r="C44" s="140" t="s">
        <v>36</v>
      </c>
      <c r="D44" s="140"/>
      <c r="E44" s="172"/>
      <c r="F44" s="591">
        <f>SUM(F36:F43)</f>
        <v>4287</v>
      </c>
      <c r="G44" s="172">
        <f t="shared" ref="G44:BK44" si="45">SUM(G36:G43)</f>
        <v>1385000</v>
      </c>
      <c r="H44" s="172">
        <f t="shared" si="45"/>
        <v>277000</v>
      </c>
      <c r="I44" s="172">
        <f t="shared" si="45"/>
        <v>1108000</v>
      </c>
      <c r="J44" s="172">
        <f t="shared" si="45"/>
        <v>0</v>
      </c>
      <c r="K44" s="172">
        <f t="shared" si="45"/>
        <v>0</v>
      </c>
      <c r="L44" s="172">
        <f t="shared" si="45"/>
        <v>0</v>
      </c>
      <c r="M44" s="172">
        <f t="shared" si="45"/>
        <v>0</v>
      </c>
      <c r="N44" s="172">
        <f t="shared" si="45"/>
        <v>0</v>
      </c>
      <c r="O44" s="172">
        <f t="shared" si="45"/>
        <v>0</v>
      </c>
      <c r="P44" s="172">
        <f t="shared" si="45"/>
        <v>0</v>
      </c>
      <c r="Q44" s="172">
        <f t="shared" si="45"/>
        <v>0</v>
      </c>
      <c r="R44" s="591">
        <f>SUM(R36:R43)</f>
        <v>1195</v>
      </c>
      <c r="S44" s="591">
        <f t="shared" si="45"/>
        <v>2002</v>
      </c>
      <c r="T44" s="591">
        <f t="shared" si="45"/>
        <v>654</v>
      </c>
      <c r="U44" s="591">
        <f t="shared" si="45"/>
        <v>436</v>
      </c>
      <c r="V44" s="172">
        <f t="shared" si="45"/>
        <v>238000</v>
      </c>
      <c r="W44" s="172">
        <f t="shared" si="45"/>
        <v>787300</v>
      </c>
      <c r="X44" s="172">
        <f t="shared" si="45"/>
        <v>179850</v>
      </c>
      <c r="Y44" s="172">
        <f t="shared" si="45"/>
        <v>179850</v>
      </c>
      <c r="Z44" s="172">
        <f t="shared" si="45"/>
        <v>180</v>
      </c>
      <c r="AA44" s="172">
        <f t="shared" si="45"/>
        <v>49500</v>
      </c>
      <c r="AB44" s="172">
        <f t="shared" si="45"/>
        <v>126</v>
      </c>
      <c r="AC44" s="172">
        <f t="shared" si="45"/>
        <v>34650</v>
      </c>
      <c r="AD44" s="172">
        <f t="shared" si="45"/>
        <v>180</v>
      </c>
      <c r="AE44" s="172">
        <f t="shared" si="45"/>
        <v>49500</v>
      </c>
      <c r="AF44" s="172">
        <f t="shared" si="45"/>
        <v>306</v>
      </c>
      <c r="AG44" s="172">
        <f t="shared" si="45"/>
        <v>84150</v>
      </c>
      <c r="AH44" s="172">
        <f t="shared" si="45"/>
        <v>132</v>
      </c>
      <c r="AI44" s="172">
        <f t="shared" si="45"/>
        <v>36300</v>
      </c>
      <c r="AJ44" s="172">
        <f t="shared" si="45"/>
        <v>180</v>
      </c>
      <c r="AK44" s="172">
        <f t="shared" si="45"/>
        <v>49500</v>
      </c>
      <c r="AL44" s="172">
        <f t="shared" si="45"/>
        <v>132</v>
      </c>
      <c r="AM44" s="172">
        <f t="shared" si="45"/>
        <v>36300</v>
      </c>
      <c r="AN44" s="172">
        <f t="shared" si="45"/>
        <v>320</v>
      </c>
      <c r="AO44" s="172">
        <f t="shared" si="45"/>
        <v>85500</v>
      </c>
      <c r="AP44" s="172">
        <f t="shared" si="45"/>
        <v>36</v>
      </c>
      <c r="AQ44" s="172">
        <f t="shared" si="45"/>
        <v>9900</v>
      </c>
      <c r="AR44" s="172">
        <f t="shared" si="45"/>
        <v>168</v>
      </c>
      <c r="AS44" s="172">
        <f t="shared" si="45"/>
        <v>46200</v>
      </c>
      <c r="AT44" s="172">
        <f t="shared" si="45"/>
        <v>180</v>
      </c>
      <c r="AU44" s="172">
        <f t="shared" si="45"/>
        <v>49500</v>
      </c>
      <c r="AV44" s="172">
        <f t="shared" si="45"/>
        <v>180</v>
      </c>
      <c r="AW44" s="172">
        <f t="shared" si="45"/>
        <v>49500</v>
      </c>
      <c r="AX44" s="172">
        <f t="shared" si="45"/>
        <v>180</v>
      </c>
      <c r="AY44" s="172">
        <f t="shared" si="45"/>
        <v>49500</v>
      </c>
      <c r="AZ44" s="172">
        <f t="shared" si="45"/>
        <v>180</v>
      </c>
      <c r="BA44" s="172">
        <f t="shared" si="45"/>
        <v>49500</v>
      </c>
      <c r="BB44" s="172">
        <f t="shared" si="45"/>
        <v>285</v>
      </c>
      <c r="BC44" s="172">
        <f t="shared" si="45"/>
        <v>76500</v>
      </c>
      <c r="BD44" s="172">
        <f t="shared" si="45"/>
        <v>390</v>
      </c>
      <c r="BE44" s="172">
        <f t="shared" si="45"/>
        <v>103500</v>
      </c>
      <c r="BF44" s="172">
        <f t="shared" si="45"/>
        <v>180</v>
      </c>
      <c r="BG44" s="172">
        <f t="shared" si="45"/>
        <v>49500</v>
      </c>
      <c r="BH44" s="591">
        <f t="shared" si="45"/>
        <v>952</v>
      </c>
      <c r="BI44" s="172">
        <f t="shared" si="45"/>
        <v>476000</v>
      </c>
      <c r="BJ44" s="172">
        <f t="shared" si="45"/>
        <v>4287</v>
      </c>
      <c r="BK44" s="172">
        <f t="shared" si="45"/>
        <v>1385000</v>
      </c>
      <c r="BL44" s="140"/>
      <c r="BM44" s="592"/>
      <c r="BN44" s="140"/>
      <c r="BO44" s="593"/>
      <c r="BP44" s="592"/>
      <c r="BR44" s="582">
        <f>SUM(BR36:BR38)</f>
        <v>0</v>
      </c>
      <c r="BS44" s="582">
        <f>SUM(BS36:BS43)</f>
        <v>1385000</v>
      </c>
      <c r="BT44" s="582">
        <f t="shared" ref="BT44:BZ44" si="46">SUM(BT36:BT43)</f>
        <v>0</v>
      </c>
      <c r="BU44" s="582">
        <f t="shared" si="46"/>
        <v>0</v>
      </c>
      <c r="BV44" s="582">
        <f t="shared" si="46"/>
        <v>1385000</v>
      </c>
      <c r="BW44" s="582">
        <f t="shared" si="46"/>
        <v>0</v>
      </c>
      <c r="BX44" s="582">
        <f t="shared" si="46"/>
        <v>0</v>
      </c>
      <c r="BY44" s="582">
        <f t="shared" si="46"/>
        <v>0</v>
      </c>
      <c r="BZ44" s="582">
        <f t="shared" si="46"/>
        <v>1385000</v>
      </c>
    </row>
    <row r="45" spans="1:78" ht="32.25" customHeight="1" x14ac:dyDescent="0.25">
      <c r="A45" s="830"/>
      <c r="B45" s="221">
        <v>11500</v>
      </c>
      <c r="C45" s="578" t="s">
        <v>87</v>
      </c>
      <c r="D45" s="145"/>
      <c r="E45" s="299"/>
      <c r="F45" s="158"/>
      <c r="G45" s="158"/>
      <c r="H45" s="158"/>
      <c r="I45" s="158"/>
      <c r="J45" s="158"/>
      <c r="K45" s="158"/>
      <c r="L45" s="158"/>
      <c r="M45" s="158"/>
      <c r="N45" s="158"/>
      <c r="O45" s="299"/>
      <c r="P45" s="299"/>
      <c r="Q45" s="299"/>
      <c r="R45" s="158"/>
      <c r="S45" s="158"/>
      <c r="T45" s="158"/>
      <c r="U45" s="158"/>
      <c r="V45" s="299"/>
      <c r="W45" s="299"/>
      <c r="X45" s="169"/>
      <c r="Y45" s="169"/>
      <c r="Z45" s="158"/>
      <c r="AA45" s="169"/>
      <c r="AB45" s="158"/>
      <c r="AC45" s="169"/>
      <c r="AD45" s="158"/>
      <c r="AE45" s="169"/>
      <c r="AF45" s="158"/>
      <c r="AG45" s="169"/>
      <c r="AH45" s="158"/>
      <c r="AI45" s="169"/>
      <c r="AJ45" s="158"/>
      <c r="AK45" s="169"/>
      <c r="AL45" s="158"/>
      <c r="AM45" s="169"/>
      <c r="AN45" s="158"/>
      <c r="AO45" s="169"/>
      <c r="AP45" s="158"/>
      <c r="AQ45" s="169"/>
      <c r="AR45" s="158"/>
      <c r="AS45" s="169"/>
      <c r="AT45" s="158"/>
      <c r="AU45" s="169"/>
      <c r="AV45" s="158"/>
      <c r="AW45" s="169"/>
      <c r="AX45" s="158"/>
      <c r="AY45" s="169"/>
      <c r="AZ45" s="158"/>
      <c r="BA45" s="169"/>
      <c r="BB45" s="158"/>
      <c r="BC45" s="169"/>
      <c r="BD45" s="158"/>
      <c r="BE45" s="169"/>
      <c r="BF45" s="158"/>
      <c r="BG45" s="169"/>
      <c r="BH45" s="158"/>
      <c r="BI45" s="169"/>
      <c r="BJ45" s="222"/>
      <c r="BK45" s="158"/>
      <c r="BL45" s="85"/>
      <c r="BM45" s="85"/>
      <c r="BN45" s="85"/>
      <c r="BO45" s="117"/>
      <c r="BP45" s="85"/>
      <c r="BR45" s="113"/>
      <c r="BS45" s="113"/>
      <c r="BT45" s="113"/>
      <c r="BU45" s="113"/>
      <c r="BV45" s="113"/>
      <c r="BW45" s="113"/>
      <c r="BX45" s="113"/>
      <c r="BY45" s="113"/>
      <c r="BZ45" s="223">
        <f t="shared" si="1"/>
        <v>0</v>
      </c>
    </row>
    <row r="46" spans="1:78" s="165" customFormat="1" ht="32.25" customHeight="1" x14ac:dyDescent="0.25">
      <c r="A46" s="830"/>
      <c r="B46" s="173"/>
      <c r="C46" s="174" t="s">
        <v>709</v>
      </c>
      <c r="D46" s="598" t="s">
        <v>17</v>
      </c>
      <c r="E46" s="176">
        <v>19380999</v>
      </c>
      <c r="F46" s="176">
        <f>BJ46</f>
        <v>0</v>
      </c>
      <c r="G46" s="176">
        <f>F46*E46</f>
        <v>0</v>
      </c>
      <c r="H46" s="176">
        <f>G46*0.2</f>
        <v>0</v>
      </c>
      <c r="I46" s="176">
        <f>G46*0.8</f>
        <v>0</v>
      </c>
      <c r="J46" s="599"/>
      <c r="K46" s="599"/>
      <c r="L46" s="599"/>
      <c r="M46" s="599"/>
      <c r="N46" s="599"/>
      <c r="O46" s="599"/>
      <c r="P46" s="599"/>
      <c r="Q46" s="599"/>
      <c r="R46" s="599"/>
      <c r="S46" s="176">
        <v>0.3</v>
      </c>
      <c r="T46" s="176">
        <v>0.4</v>
      </c>
      <c r="U46" s="176">
        <v>0.3</v>
      </c>
      <c r="V46" s="599"/>
      <c r="W46" s="176">
        <f>S46*G46</f>
        <v>0</v>
      </c>
      <c r="X46" s="174">
        <f>T46*G46</f>
        <v>0</v>
      </c>
      <c r="Y46" s="174">
        <f>U46*G46</f>
        <v>0</v>
      </c>
      <c r="Z46" s="176"/>
      <c r="AA46" s="174"/>
      <c r="AB46" s="176"/>
      <c r="AC46" s="174"/>
      <c r="AD46" s="176"/>
      <c r="AE46" s="174"/>
      <c r="AF46" s="176"/>
      <c r="AG46" s="174"/>
      <c r="AH46" s="176"/>
      <c r="AI46" s="174"/>
      <c r="AJ46" s="176"/>
      <c r="AK46" s="174"/>
      <c r="AL46" s="176"/>
      <c r="AM46" s="174"/>
      <c r="AN46" s="176"/>
      <c r="AO46" s="174"/>
      <c r="AP46" s="176"/>
      <c r="AQ46" s="174"/>
      <c r="AR46" s="176"/>
      <c r="AS46" s="174"/>
      <c r="AT46" s="176"/>
      <c r="AU46" s="174"/>
      <c r="AV46" s="176"/>
      <c r="AW46" s="174"/>
      <c r="AX46" s="176"/>
      <c r="AY46" s="174"/>
      <c r="AZ46" s="176"/>
      <c r="BA46" s="174"/>
      <c r="BB46" s="176"/>
      <c r="BC46" s="174"/>
      <c r="BD46" s="176"/>
      <c r="BE46" s="174"/>
      <c r="BF46" s="176"/>
      <c r="BG46" s="174"/>
      <c r="BH46" s="176">
        <v>0</v>
      </c>
      <c r="BI46" s="176">
        <f>BH46*E46</f>
        <v>0</v>
      </c>
      <c r="BJ46" s="222">
        <f>Z46+AB46+AD46+AF46+AH46+AJ46+AL46+AN46+AP46+AR46+AT46+AV46+AX46+AZ46+BB46+BD46+BF46+BH46</f>
        <v>0</v>
      </c>
      <c r="BK46" s="158">
        <f>AA46+AC46+AE46+AG46+AI46+AK46+AM46+AO46+AQ46+AS46+AU46+AW46+AY46+BA46+BC46+BE46+BG46+BI46</f>
        <v>0</v>
      </c>
      <c r="BL46" s="134"/>
      <c r="BM46" s="134"/>
      <c r="BN46" s="134"/>
      <c r="BO46" s="331"/>
      <c r="BP46" s="329" t="s">
        <v>469</v>
      </c>
      <c r="BR46" s="178"/>
      <c r="BS46" s="178">
        <f t="shared" ref="BS46:BS51" si="47">G46</f>
        <v>0</v>
      </c>
      <c r="BT46" s="178"/>
      <c r="BU46" s="178"/>
      <c r="BV46" s="178">
        <f t="shared" ref="BV46:BV51" si="48">BR46+BS46+BT46+BU46</f>
        <v>0</v>
      </c>
      <c r="BW46" s="178"/>
      <c r="BX46" s="178"/>
      <c r="BY46" s="178"/>
      <c r="BZ46" s="179">
        <f t="shared" si="1"/>
        <v>0</v>
      </c>
    </row>
    <row r="47" spans="1:78" s="165" customFormat="1" ht="32.25" customHeight="1" x14ac:dyDescent="0.25">
      <c r="A47" s="830"/>
      <c r="B47" s="173"/>
      <c r="C47" s="174" t="s">
        <v>711</v>
      </c>
      <c r="D47" s="174" t="s">
        <v>79</v>
      </c>
      <c r="E47" s="174">
        <f>0.015*100000</f>
        <v>1500</v>
      </c>
      <c r="F47" s="176">
        <f>BJ47</f>
        <v>1904</v>
      </c>
      <c r="G47" s="176">
        <f>F47*E47</f>
        <v>2856000</v>
      </c>
      <c r="H47" s="176">
        <f>G47*0.2</f>
        <v>571200</v>
      </c>
      <c r="I47" s="176">
        <f>G47*0.8</f>
        <v>2284800</v>
      </c>
      <c r="J47" s="599"/>
      <c r="K47" s="599"/>
      <c r="L47" s="599"/>
      <c r="M47" s="599"/>
      <c r="N47" s="599"/>
      <c r="O47" s="599"/>
      <c r="P47" s="599"/>
      <c r="Q47" s="599"/>
      <c r="R47" s="599"/>
      <c r="S47" s="176">
        <v>0.3</v>
      </c>
      <c r="T47" s="176">
        <v>0.4</v>
      </c>
      <c r="U47" s="176">
        <v>0.3</v>
      </c>
      <c r="V47" s="599"/>
      <c r="W47" s="176">
        <f>S47*G47</f>
        <v>856800</v>
      </c>
      <c r="X47" s="174">
        <f>T47*G47</f>
        <v>1142400</v>
      </c>
      <c r="Y47" s="174">
        <f>U47*G47</f>
        <v>856800</v>
      </c>
      <c r="Z47" s="176"/>
      <c r="AA47" s="174"/>
      <c r="AB47" s="176"/>
      <c r="AC47" s="174"/>
      <c r="AD47" s="176"/>
      <c r="AE47" s="174"/>
      <c r="AF47" s="176"/>
      <c r="AG47" s="174"/>
      <c r="AH47" s="176"/>
      <c r="AI47" s="174"/>
      <c r="AJ47" s="176"/>
      <c r="AK47" s="174"/>
      <c r="AL47" s="176"/>
      <c r="AM47" s="174"/>
      <c r="AN47" s="176"/>
      <c r="AO47" s="174"/>
      <c r="AP47" s="176"/>
      <c r="AQ47" s="174"/>
      <c r="AR47" s="176"/>
      <c r="AS47" s="174"/>
      <c r="AT47" s="176"/>
      <c r="AU47" s="174"/>
      <c r="AV47" s="176"/>
      <c r="AW47" s="174"/>
      <c r="AX47" s="176"/>
      <c r="AY47" s="174"/>
      <c r="AZ47" s="176"/>
      <c r="BA47" s="174"/>
      <c r="BB47" s="176"/>
      <c r="BC47" s="174"/>
      <c r="BD47" s="176"/>
      <c r="BE47" s="174"/>
      <c r="BF47" s="176"/>
      <c r="BG47" s="174"/>
      <c r="BH47" s="176">
        <v>1904</v>
      </c>
      <c r="BI47" s="176">
        <v>2856000</v>
      </c>
      <c r="BJ47" s="222">
        <f>Z47+AB47+AD47+AF47+AH47+AJ47+AL47+AN47+AP47+AR47+AT47+AV47+AX47+AZ47+BB47+BD47+BF47+BH47</f>
        <v>1904</v>
      </c>
      <c r="BK47" s="158">
        <f>AA47+AC47+AE47+AG47+AI47+AK47+AM47+AO47+AQ47+AS47+AU47+AW47+AY47+BA47+BC47+BE47+BG47+BI47</f>
        <v>2856000</v>
      </c>
      <c r="BL47" s="134"/>
      <c r="BM47" s="134"/>
      <c r="BN47" s="134"/>
      <c r="BO47" s="331"/>
      <c r="BP47" s="329" t="s">
        <v>469</v>
      </c>
      <c r="BR47" s="178"/>
      <c r="BS47" s="178">
        <f t="shared" si="47"/>
        <v>2856000</v>
      </c>
      <c r="BT47" s="178"/>
      <c r="BU47" s="178"/>
      <c r="BV47" s="178">
        <f t="shared" si="48"/>
        <v>2856000</v>
      </c>
      <c r="BW47" s="178"/>
      <c r="BX47" s="178"/>
      <c r="BY47" s="178"/>
      <c r="BZ47" s="179">
        <f t="shared" si="1"/>
        <v>2856000</v>
      </c>
    </row>
    <row r="48" spans="1:78" s="565" customFormat="1" ht="32.25" customHeight="1" x14ac:dyDescent="0.25">
      <c r="A48" s="830"/>
      <c r="B48" s="600"/>
      <c r="C48" s="598" t="s">
        <v>36</v>
      </c>
      <c r="D48" s="601"/>
      <c r="E48" s="601"/>
      <c r="F48" s="599">
        <f>SUM(F46:F47)</f>
        <v>1904</v>
      </c>
      <c r="G48" s="599">
        <f>SUM(G46:G47)</f>
        <v>2856000</v>
      </c>
      <c r="H48" s="599">
        <f t="shared" ref="H48:BK48" si="49">SUM(H46:H47)</f>
        <v>571200</v>
      </c>
      <c r="I48" s="599">
        <f t="shared" si="49"/>
        <v>2284800</v>
      </c>
      <c r="J48" s="599">
        <f t="shared" si="49"/>
        <v>0</v>
      </c>
      <c r="K48" s="599">
        <f t="shared" si="49"/>
        <v>0</v>
      </c>
      <c r="L48" s="599">
        <f t="shared" si="49"/>
        <v>0</v>
      </c>
      <c r="M48" s="599">
        <f t="shared" si="49"/>
        <v>0</v>
      </c>
      <c r="N48" s="599">
        <f t="shared" si="49"/>
        <v>0</v>
      </c>
      <c r="O48" s="599">
        <f t="shared" si="49"/>
        <v>0</v>
      </c>
      <c r="P48" s="599">
        <f t="shared" si="49"/>
        <v>0</v>
      </c>
      <c r="Q48" s="599">
        <f t="shared" si="49"/>
        <v>0</v>
      </c>
      <c r="R48" s="599">
        <f t="shared" si="49"/>
        <v>0</v>
      </c>
      <c r="S48" s="599">
        <f t="shared" si="49"/>
        <v>0.6</v>
      </c>
      <c r="T48" s="599">
        <f t="shared" si="49"/>
        <v>0.8</v>
      </c>
      <c r="U48" s="599">
        <f t="shared" si="49"/>
        <v>0.6</v>
      </c>
      <c r="V48" s="599">
        <f t="shared" si="49"/>
        <v>0</v>
      </c>
      <c r="W48" s="599">
        <f t="shared" si="49"/>
        <v>856800</v>
      </c>
      <c r="X48" s="599">
        <f t="shared" si="49"/>
        <v>1142400</v>
      </c>
      <c r="Y48" s="599">
        <f t="shared" si="49"/>
        <v>856800</v>
      </c>
      <c r="Z48" s="599">
        <f t="shared" si="49"/>
        <v>0</v>
      </c>
      <c r="AA48" s="599">
        <f t="shared" si="49"/>
        <v>0</v>
      </c>
      <c r="AB48" s="599">
        <f t="shared" si="49"/>
        <v>0</v>
      </c>
      <c r="AC48" s="599">
        <f t="shared" si="49"/>
        <v>0</v>
      </c>
      <c r="AD48" s="599">
        <f t="shared" si="49"/>
        <v>0</v>
      </c>
      <c r="AE48" s="599">
        <f t="shared" si="49"/>
        <v>0</v>
      </c>
      <c r="AF48" s="599">
        <f t="shared" si="49"/>
        <v>0</v>
      </c>
      <c r="AG48" s="599">
        <f t="shared" si="49"/>
        <v>0</v>
      </c>
      <c r="AH48" s="599">
        <f t="shared" si="49"/>
        <v>0</v>
      </c>
      <c r="AI48" s="599">
        <f t="shared" si="49"/>
        <v>0</v>
      </c>
      <c r="AJ48" s="599">
        <f t="shared" si="49"/>
        <v>0</v>
      </c>
      <c r="AK48" s="599">
        <f t="shared" si="49"/>
        <v>0</v>
      </c>
      <c r="AL48" s="599">
        <f t="shared" si="49"/>
        <v>0</v>
      </c>
      <c r="AM48" s="599">
        <f t="shared" si="49"/>
        <v>0</v>
      </c>
      <c r="AN48" s="599">
        <f t="shared" si="49"/>
        <v>0</v>
      </c>
      <c r="AO48" s="599">
        <f t="shared" si="49"/>
        <v>0</v>
      </c>
      <c r="AP48" s="599">
        <f t="shared" si="49"/>
        <v>0</v>
      </c>
      <c r="AQ48" s="599">
        <f t="shared" si="49"/>
        <v>0</v>
      </c>
      <c r="AR48" s="599">
        <f t="shared" si="49"/>
        <v>0</v>
      </c>
      <c r="AS48" s="599">
        <f t="shared" si="49"/>
        <v>0</v>
      </c>
      <c r="AT48" s="599">
        <f t="shared" si="49"/>
        <v>0</v>
      </c>
      <c r="AU48" s="599">
        <f t="shared" si="49"/>
        <v>0</v>
      </c>
      <c r="AV48" s="599">
        <f t="shared" si="49"/>
        <v>0</v>
      </c>
      <c r="AW48" s="599">
        <f t="shared" si="49"/>
        <v>0</v>
      </c>
      <c r="AX48" s="599">
        <f t="shared" si="49"/>
        <v>0</v>
      </c>
      <c r="AY48" s="599">
        <f t="shared" si="49"/>
        <v>0</v>
      </c>
      <c r="AZ48" s="599">
        <f t="shared" si="49"/>
        <v>0</v>
      </c>
      <c r="BA48" s="599">
        <f t="shared" si="49"/>
        <v>0</v>
      </c>
      <c r="BB48" s="599">
        <f t="shared" si="49"/>
        <v>0</v>
      </c>
      <c r="BC48" s="599">
        <f t="shared" si="49"/>
        <v>0</v>
      </c>
      <c r="BD48" s="599">
        <f t="shared" si="49"/>
        <v>0</v>
      </c>
      <c r="BE48" s="599">
        <f t="shared" si="49"/>
        <v>0</v>
      </c>
      <c r="BF48" s="599">
        <f t="shared" si="49"/>
        <v>0</v>
      </c>
      <c r="BG48" s="599">
        <f t="shared" si="49"/>
        <v>0</v>
      </c>
      <c r="BH48" s="602">
        <f t="shared" si="49"/>
        <v>1904</v>
      </c>
      <c r="BI48" s="599">
        <f t="shared" si="49"/>
        <v>2856000</v>
      </c>
      <c r="BJ48" s="602">
        <f t="shared" si="49"/>
        <v>1904</v>
      </c>
      <c r="BK48" s="599">
        <f t="shared" si="49"/>
        <v>2856000</v>
      </c>
      <c r="BL48" s="598"/>
      <c r="BM48" s="598"/>
      <c r="BN48" s="598"/>
      <c r="BO48" s="603"/>
      <c r="BP48" s="134"/>
      <c r="BR48" s="389"/>
      <c r="BS48" s="178">
        <f t="shared" si="47"/>
        <v>2856000</v>
      </c>
      <c r="BT48" s="389"/>
      <c r="BU48" s="389"/>
      <c r="BV48" s="178">
        <f t="shared" si="48"/>
        <v>2856000</v>
      </c>
      <c r="BW48" s="389"/>
      <c r="BX48" s="389"/>
      <c r="BY48" s="389"/>
      <c r="BZ48" s="179">
        <f t="shared" si="1"/>
        <v>2856000</v>
      </c>
    </row>
    <row r="49" spans="1:78" s="165" customFormat="1" ht="32.25" customHeight="1" x14ac:dyDescent="0.25">
      <c r="A49" s="830"/>
      <c r="B49" s="173">
        <v>11530</v>
      </c>
      <c r="C49" s="662" t="s">
        <v>93</v>
      </c>
      <c r="D49" s="598"/>
      <c r="E49" s="599"/>
      <c r="F49" s="176"/>
      <c r="G49" s="176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176"/>
      <c r="T49" s="176"/>
      <c r="U49" s="176"/>
      <c r="V49" s="599"/>
      <c r="W49" s="599"/>
      <c r="X49" s="174"/>
      <c r="Y49" s="174"/>
      <c r="Z49" s="176"/>
      <c r="AA49" s="174"/>
      <c r="AB49" s="176"/>
      <c r="AC49" s="174"/>
      <c r="AD49" s="176"/>
      <c r="AE49" s="174"/>
      <c r="AF49" s="176"/>
      <c r="AG49" s="174"/>
      <c r="AH49" s="176"/>
      <c r="AI49" s="174"/>
      <c r="AJ49" s="176"/>
      <c r="AK49" s="174"/>
      <c r="AL49" s="176"/>
      <c r="AM49" s="174"/>
      <c r="AN49" s="176"/>
      <c r="AO49" s="174"/>
      <c r="AP49" s="176"/>
      <c r="AQ49" s="174"/>
      <c r="AR49" s="176"/>
      <c r="AS49" s="174"/>
      <c r="AT49" s="176"/>
      <c r="AU49" s="174"/>
      <c r="AV49" s="176"/>
      <c r="AW49" s="174"/>
      <c r="AX49" s="176"/>
      <c r="AY49" s="174"/>
      <c r="AZ49" s="176"/>
      <c r="BA49" s="174"/>
      <c r="BB49" s="176"/>
      <c r="BC49" s="174"/>
      <c r="BD49" s="176"/>
      <c r="BE49" s="174"/>
      <c r="BF49" s="176"/>
      <c r="BG49" s="174"/>
      <c r="BH49" s="177"/>
      <c r="BI49" s="174"/>
      <c r="BJ49" s="177"/>
      <c r="BK49" s="176"/>
      <c r="BL49" s="134"/>
      <c r="BM49" s="134" t="s">
        <v>451</v>
      </c>
      <c r="BN49" s="134" t="s">
        <v>451</v>
      </c>
      <c r="BO49" s="331"/>
      <c r="BP49" s="134"/>
      <c r="BR49" s="178"/>
      <c r="BS49" s="178"/>
      <c r="BT49" s="178"/>
      <c r="BU49" s="178"/>
      <c r="BV49" s="178"/>
      <c r="BW49" s="178"/>
      <c r="BX49" s="178"/>
      <c r="BY49" s="178"/>
      <c r="BZ49" s="179">
        <f t="shared" si="1"/>
        <v>0</v>
      </c>
    </row>
    <row r="50" spans="1:78" s="165" customFormat="1" ht="32.25" customHeight="1" x14ac:dyDescent="0.25">
      <c r="A50" s="830"/>
      <c r="B50" s="173"/>
      <c r="C50" s="174" t="s">
        <v>88</v>
      </c>
      <c r="D50" s="174" t="s">
        <v>90</v>
      </c>
      <c r="E50" s="174">
        <f>0.005*100000</f>
        <v>500</v>
      </c>
      <c r="F50" s="175">
        <f>BJ50</f>
        <v>1019</v>
      </c>
      <c r="G50" s="176">
        <f>E50*F50</f>
        <v>509500</v>
      </c>
      <c r="H50" s="176">
        <f>G50*0.2</f>
        <v>101900</v>
      </c>
      <c r="I50" s="176">
        <f>G50*0.8</f>
        <v>407600</v>
      </c>
      <c r="J50" s="176">
        <f>G50*0</f>
        <v>0</v>
      </c>
      <c r="K50" s="176">
        <f>G50*0</f>
        <v>0</v>
      </c>
      <c r="L50" s="176">
        <f>G50*0</f>
        <v>0</v>
      </c>
      <c r="M50" s="176">
        <f>G50*0</f>
        <v>0</v>
      </c>
      <c r="N50" s="176">
        <f>G50*0</f>
        <v>0</v>
      </c>
      <c r="O50" s="176">
        <f>G50*0</f>
        <v>0</v>
      </c>
      <c r="P50" s="176">
        <f>G50*0</f>
        <v>0</v>
      </c>
      <c r="Q50" s="176">
        <f>G50*0</f>
        <v>0</v>
      </c>
      <c r="R50" s="177"/>
      <c r="S50" s="177">
        <f>E50*0.3</f>
        <v>150</v>
      </c>
      <c r="T50" s="175">
        <f>E50*0.4</f>
        <v>200</v>
      </c>
      <c r="U50" s="177">
        <f>E50*0.3</f>
        <v>150</v>
      </c>
      <c r="V50" s="176">
        <f>R50*500</f>
        <v>0</v>
      </c>
      <c r="W50" s="176">
        <f>S50*F50</f>
        <v>152850</v>
      </c>
      <c r="X50" s="176">
        <f>T50*F50</f>
        <v>203800</v>
      </c>
      <c r="Y50" s="176">
        <f>U50*F50</f>
        <v>152850</v>
      </c>
      <c r="Z50" s="176">
        <v>48</v>
      </c>
      <c r="AA50" s="176">
        <f>Z50*500</f>
        <v>24000</v>
      </c>
      <c r="AB50" s="176">
        <v>23</v>
      </c>
      <c r="AC50" s="176">
        <f>AB50*500</f>
        <v>11500</v>
      </c>
      <c r="AD50" s="176">
        <v>58</v>
      </c>
      <c r="AE50" s="176">
        <f>AD50*500</f>
        <v>29000</v>
      </c>
      <c r="AF50" s="176">
        <v>89</v>
      </c>
      <c r="AG50" s="176">
        <f>AF50*500</f>
        <v>44500</v>
      </c>
      <c r="AH50" s="176">
        <v>38</v>
      </c>
      <c r="AI50" s="176">
        <f>AH50*500</f>
        <v>19000</v>
      </c>
      <c r="AJ50" s="176">
        <v>71</v>
      </c>
      <c r="AK50" s="176">
        <f>AJ50*500</f>
        <v>35500</v>
      </c>
      <c r="AL50" s="176">
        <v>36</v>
      </c>
      <c r="AM50" s="176">
        <f>AL50*500</f>
        <v>18000</v>
      </c>
      <c r="AN50" s="176">
        <v>100</v>
      </c>
      <c r="AO50" s="176">
        <f>AN50*500</f>
        <v>50000</v>
      </c>
      <c r="AP50" s="176">
        <v>8</v>
      </c>
      <c r="AQ50" s="176">
        <f>AP50*500</f>
        <v>4000</v>
      </c>
      <c r="AR50" s="176">
        <v>32</v>
      </c>
      <c r="AS50" s="176">
        <f>AR50*500</f>
        <v>16000</v>
      </c>
      <c r="AT50" s="176">
        <v>50</v>
      </c>
      <c r="AU50" s="176">
        <f>AT50*500</f>
        <v>25000</v>
      </c>
      <c r="AV50" s="176">
        <v>50</v>
      </c>
      <c r="AW50" s="176">
        <f>AV50*500</f>
        <v>25000</v>
      </c>
      <c r="AX50" s="176">
        <v>71</v>
      </c>
      <c r="AY50" s="176">
        <f>AX50*500</f>
        <v>35500</v>
      </c>
      <c r="AZ50" s="176">
        <v>78</v>
      </c>
      <c r="BA50" s="176">
        <f>AZ50*500</f>
        <v>39000</v>
      </c>
      <c r="BB50" s="176">
        <v>75</v>
      </c>
      <c r="BC50" s="176">
        <f>BB50*500</f>
        <v>37500</v>
      </c>
      <c r="BD50" s="176">
        <v>138</v>
      </c>
      <c r="BE50" s="176">
        <f>BD50*500</f>
        <v>69000</v>
      </c>
      <c r="BF50" s="176">
        <v>54</v>
      </c>
      <c r="BG50" s="176">
        <f>BF50*500</f>
        <v>27000</v>
      </c>
      <c r="BH50" s="177">
        <v>0</v>
      </c>
      <c r="BI50" s="176">
        <f>BH50*500</f>
        <v>0</v>
      </c>
      <c r="BJ50" s="222">
        <f>Z50+AB50+AD50+AF50+AH50+AJ50+AL50+AN50+AP50+AR50+AT50+AV50+AX50+AZ50+BB50+BD50+BF50+BH50</f>
        <v>1019</v>
      </c>
      <c r="BK50" s="158">
        <f>AA50+AC50+AE50+AG50+AI50+AK50+AM50+AO50+AQ50+AS50+AU50+AW50+AY50+BA50+BC50+BE50+BG50+BI50</f>
        <v>509500</v>
      </c>
      <c r="BL50" s="134"/>
      <c r="BM50" s="134"/>
      <c r="BN50" s="134"/>
      <c r="BO50" s="331"/>
      <c r="BP50" s="329" t="s">
        <v>469</v>
      </c>
      <c r="BR50" s="178"/>
      <c r="BS50" s="178">
        <f t="shared" si="47"/>
        <v>509500</v>
      </c>
      <c r="BT50" s="178"/>
      <c r="BU50" s="178"/>
      <c r="BV50" s="178">
        <f t="shared" si="48"/>
        <v>509500</v>
      </c>
      <c r="BW50" s="178"/>
      <c r="BX50" s="178"/>
      <c r="BY50" s="178">
        <f>BW50+BX50</f>
        <v>0</v>
      </c>
      <c r="BZ50" s="179">
        <f t="shared" si="1"/>
        <v>509500</v>
      </c>
    </row>
    <row r="51" spans="1:78" s="165" customFormat="1" ht="32.25" customHeight="1" x14ac:dyDescent="0.25">
      <c r="A51" s="830"/>
      <c r="B51" s="173"/>
      <c r="C51" s="174" t="s">
        <v>89</v>
      </c>
      <c r="D51" s="174" t="s">
        <v>91</v>
      </c>
      <c r="E51" s="174"/>
      <c r="F51" s="175">
        <f>BJ51</f>
        <v>0</v>
      </c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4"/>
      <c r="U51" s="176"/>
      <c r="V51" s="599"/>
      <c r="W51" s="599"/>
      <c r="X51" s="599"/>
      <c r="Y51" s="599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7"/>
      <c r="BI51" s="176"/>
      <c r="BJ51" s="222">
        <f>Z51+AB51+AD51+AF51+AH51+AJ51+AL51+AN51+AP51+AR51+AT51+AV51+AX51+AZ51+BB51+BD51+BF51+BH51</f>
        <v>0</v>
      </c>
      <c r="BK51" s="176"/>
      <c r="BL51" s="134"/>
      <c r="BM51" s="134"/>
      <c r="BN51" s="134"/>
      <c r="BO51" s="331"/>
      <c r="BP51" s="329" t="s">
        <v>469</v>
      </c>
      <c r="BR51" s="178"/>
      <c r="BS51" s="178">
        <f t="shared" si="47"/>
        <v>0</v>
      </c>
      <c r="BT51" s="178"/>
      <c r="BU51" s="178"/>
      <c r="BV51" s="178">
        <f t="shared" si="48"/>
        <v>0</v>
      </c>
      <c r="BW51" s="178"/>
      <c r="BX51" s="178"/>
      <c r="BY51" s="178">
        <f>BW51+BX51</f>
        <v>0</v>
      </c>
      <c r="BZ51" s="179">
        <f t="shared" si="1"/>
        <v>0</v>
      </c>
    </row>
    <row r="52" spans="1:78" s="565" customFormat="1" ht="32.25" customHeight="1" x14ac:dyDescent="0.25">
      <c r="A52" s="830"/>
      <c r="B52" s="605"/>
      <c r="C52" s="598" t="s">
        <v>36</v>
      </c>
      <c r="D52" s="598"/>
      <c r="E52" s="599"/>
      <c r="F52" s="602">
        <f t="shared" ref="F52:AK52" si="50">SUM(F50:F51)</f>
        <v>1019</v>
      </c>
      <c r="G52" s="599">
        <f t="shared" si="50"/>
        <v>509500</v>
      </c>
      <c r="H52" s="599">
        <f t="shared" si="50"/>
        <v>101900</v>
      </c>
      <c r="I52" s="599">
        <f t="shared" si="50"/>
        <v>407600</v>
      </c>
      <c r="J52" s="599">
        <f t="shared" si="50"/>
        <v>0</v>
      </c>
      <c r="K52" s="599">
        <f t="shared" si="50"/>
        <v>0</v>
      </c>
      <c r="L52" s="599">
        <f t="shared" si="50"/>
        <v>0</v>
      </c>
      <c r="M52" s="599">
        <f t="shared" si="50"/>
        <v>0</v>
      </c>
      <c r="N52" s="599">
        <f t="shared" si="50"/>
        <v>0</v>
      </c>
      <c r="O52" s="599">
        <f t="shared" si="50"/>
        <v>0</v>
      </c>
      <c r="P52" s="599">
        <f t="shared" si="50"/>
        <v>0</v>
      </c>
      <c r="Q52" s="599">
        <f t="shared" si="50"/>
        <v>0</v>
      </c>
      <c r="R52" s="602">
        <f t="shared" si="50"/>
        <v>0</v>
      </c>
      <c r="S52" s="602">
        <f t="shared" si="50"/>
        <v>150</v>
      </c>
      <c r="T52" s="602">
        <f t="shared" si="50"/>
        <v>200</v>
      </c>
      <c r="U52" s="602">
        <f t="shared" si="50"/>
        <v>150</v>
      </c>
      <c r="V52" s="599">
        <f t="shared" si="50"/>
        <v>0</v>
      </c>
      <c r="W52" s="599">
        <f t="shared" si="50"/>
        <v>152850</v>
      </c>
      <c r="X52" s="599">
        <f t="shared" si="50"/>
        <v>203800</v>
      </c>
      <c r="Y52" s="599">
        <f t="shared" si="50"/>
        <v>152850</v>
      </c>
      <c r="Z52" s="599">
        <f t="shared" si="50"/>
        <v>48</v>
      </c>
      <c r="AA52" s="599">
        <f t="shared" si="50"/>
        <v>24000</v>
      </c>
      <c r="AB52" s="599">
        <f t="shared" si="50"/>
        <v>23</v>
      </c>
      <c r="AC52" s="599">
        <f t="shared" si="50"/>
        <v>11500</v>
      </c>
      <c r="AD52" s="599">
        <f t="shared" si="50"/>
        <v>58</v>
      </c>
      <c r="AE52" s="599">
        <f t="shared" si="50"/>
        <v>29000</v>
      </c>
      <c r="AF52" s="599">
        <f t="shared" si="50"/>
        <v>89</v>
      </c>
      <c r="AG52" s="599">
        <f t="shared" si="50"/>
        <v>44500</v>
      </c>
      <c r="AH52" s="599">
        <f t="shared" si="50"/>
        <v>38</v>
      </c>
      <c r="AI52" s="599">
        <f t="shared" si="50"/>
        <v>19000</v>
      </c>
      <c r="AJ52" s="599">
        <f t="shared" si="50"/>
        <v>71</v>
      </c>
      <c r="AK52" s="599">
        <f t="shared" si="50"/>
        <v>35500</v>
      </c>
      <c r="AL52" s="599">
        <f t="shared" ref="AL52:BK52" si="51">SUM(AL50:AL51)</f>
        <v>36</v>
      </c>
      <c r="AM52" s="599">
        <f t="shared" si="51"/>
        <v>18000</v>
      </c>
      <c r="AN52" s="599">
        <f t="shared" si="51"/>
        <v>100</v>
      </c>
      <c r="AO52" s="599">
        <f t="shared" si="51"/>
        <v>50000</v>
      </c>
      <c r="AP52" s="599">
        <f t="shared" si="51"/>
        <v>8</v>
      </c>
      <c r="AQ52" s="599">
        <f t="shared" si="51"/>
        <v>4000</v>
      </c>
      <c r="AR52" s="599">
        <f t="shared" si="51"/>
        <v>32</v>
      </c>
      <c r="AS52" s="599">
        <f t="shared" si="51"/>
        <v>16000</v>
      </c>
      <c r="AT52" s="599">
        <f t="shared" si="51"/>
        <v>50</v>
      </c>
      <c r="AU52" s="599">
        <f t="shared" si="51"/>
        <v>25000</v>
      </c>
      <c r="AV52" s="599">
        <f t="shared" si="51"/>
        <v>50</v>
      </c>
      <c r="AW52" s="599">
        <f t="shared" si="51"/>
        <v>25000</v>
      </c>
      <c r="AX52" s="599">
        <f t="shared" si="51"/>
        <v>71</v>
      </c>
      <c r="AY52" s="599">
        <f t="shared" si="51"/>
        <v>35500</v>
      </c>
      <c r="AZ52" s="599">
        <f t="shared" si="51"/>
        <v>78</v>
      </c>
      <c r="BA52" s="599">
        <f t="shared" si="51"/>
        <v>39000</v>
      </c>
      <c r="BB52" s="599">
        <f t="shared" si="51"/>
        <v>75</v>
      </c>
      <c r="BC52" s="599">
        <f t="shared" si="51"/>
        <v>37500</v>
      </c>
      <c r="BD52" s="599">
        <f t="shared" si="51"/>
        <v>138</v>
      </c>
      <c r="BE52" s="599">
        <f t="shared" si="51"/>
        <v>69000</v>
      </c>
      <c r="BF52" s="599">
        <f t="shared" si="51"/>
        <v>54</v>
      </c>
      <c r="BG52" s="599">
        <f t="shared" si="51"/>
        <v>27000</v>
      </c>
      <c r="BH52" s="602">
        <f t="shared" si="51"/>
        <v>0</v>
      </c>
      <c r="BI52" s="599">
        <f t="shared" si="51"/>
        <v>0</v>
      </c>
      <c r="BJ52" s="602">
        <f t="shared" si="51"/>
        <v>1019</v>
      </c>
      <c r="BK52" s="599">
        <f t="shared" si="51"/>
        <v>509500</v>
      </c>
      <c r="BL52" s="598"/>
      <c r="BM52" s="598"/>
      <c r="BN52" s="598"/>
      <c r="BO52" s="603"/>
      <c r="BP52" s="134"/>
      <c r="BR52" s="598">
        <f t="shared" ref="BR52:BY52" si="52">SUM(BR50:BR51)</f>
        <v>0</v>
      </c>
      <c r="BS52" s="598">
        <f t="shared" si="52"/>
        <v>509500</v>
      </c>
      <c r="BT52" s="598">
        <f t="shared" si="52"/>
        <v>0</v>
      </c>
      <c r="BU52" s="598">
        <f t="shared" si="52"/>
        <v>0</v>
      </c>
      <c r="BV52" s="598">
        <f t="shared" si="52"/>
        <v>509500</v>
      </c>
      <c r="BW52" s="598">
        <f t="shared" si="52"/>
        <v>0</v>
      </c>
      <c r="BX52" s="598">
        <f t="shared" si="52"/>
        <v>0</v>
      </c>
      <c r="BY52" s="598">
        <f t="shared" si="52"/>
        <v>0</v>
      </c>
      <c r="BZ52" s="598">
        <f t="shared" si="1"/>
        <v>509500</v>
      </c>
    </row>
    <row r="53" spans="1:78" s="165" customFormat="1" ht="32.25" customHeight="1" x14ac:dyDescent="0.25">
      <c r="A53" s="830"/>
      <c r="B53" s="173">
        <v>11540</v>
      </c>
      <c r="C53" s="604" t="s">
        <v>94</v>
      </c>
      <c r="D53" s="598"/>
      <c r="E53" s="599"/>
      <c r="F53" s="177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599"/>
      <c r="W53" s="599"/>
      <c r="X53" s="174"/>
      <c r="Y53" s="174"/>
      <c r="Z53" s="176"/>
      <c r="AA53" s="174"/>
      <c r="AB53" s="176"/>
      <c r="AC53" s="174"/>
      <c r="AD53" s="176"/>
      <c r="AE53" s="174"/>
      <c r="AF53" s="176"/>
      <c r="AG53" s="174"/>
      <c r="AH53" s="176"/>
      <c r="AI53" s="174"/>
      <c r="AJ53" s="176"/>
      <c r="AK53" s="174"/>
      <c r="AL53" s="176"/>
      <c r="AM53" s="174"/>
      <c r="AN53" s="176"/>
      <c r="AO53" s="174"/>
      <c r="AP53" s="176"/>
      <c r="AQ53" s="174"/>
      <c r="AR53" s="176"/>
      <c r="AS53" s="174"/>
      <c r="AT53" s="176"/>
      <c r="AU53" s="174"/>
      <c r="AV53" s="176"/>
      <c r="AW53" s="174"/>
      <c r="AX53" s="176"/>
      <c r="AY53" s="174"/>
      <c r="AZ53" s="176"/>
      <c r="BA53" s="174"/>
      <c r="BB53" s="176"/>
      <c r="BC53" s="174"/>
      <c r="BD53" s="176"/>
      <c r="BE53" s="174"/>
      <c r="BF53" s="176"/>
      <c r="BG53" s="174"/>
      <c r="BH53" s="177"/>
      <c r="BI53" s="174"/>
      <c r="BJ53" s="177"/>
      <c r="BK53" s="176"/>
      <c r="BL53" s="134"/>
      <c r="BM53" s="134" t="s">
        <v>451</v>
      </c>
      <c r="BN53" s="134" t="s">
        <v>451</v>
      </c>
      <c r="BO53" s="331"/>
      <c r="BP53" s="134"/>
      <c r="BR53" s="178"/>
      <c r="BS53" s="178"/>
      <c r="BT53" s="178"/>
      <c r="BU53" s="178"/>
      <c r="BV53" s="178"/>
      <c r="BW53" s="178"/>
      <c r="BX53" s="178"/>
      <c r="BY53" s="178"/>
      <c r="BZ53" s="179">
        <f t="shared" si="1"/>
        <v>0</v>
      </c>
    </row>
    <row r="54" spans="1:78" s="165" customFormat="1" ht="32.25" customHeight="1" x14ac:dyDescent="0.25">
      <c r="A54" s="830"/>
      <c r="B54" s="173"/>
      <c r="C54" s="174" t="s">
        <v>88</v>
      </c>
      <c r="D54" s="174" t="s">
        <v>90</v>
      </c>
      <c r="E54" s="174">
        <f>0.005*100000</f>
        <v>500</v>
      </c>
      <c r="F54" s="175">
        <f>BJ54</f>
        <v>1019</v>
      </c>
      <c r="G54" s="176">
        <f>E54*F54</f>
        <v>509500</v>
      </c>
      <c r="H54" s="176">
        <f>G54*0.2</f>
        <v>101900</v>
      </c>
      <c r="I54" s="176">
        <f>G54*0.8</f>
        <v>407600</v>
      </c>
      <c r="J54" s="176">
        <f>G54*0</f>
        <v>0</v>
      </c>
      <c r="K54" s="176">
        <f>G54*0</f>
        <v>0</v>
      </c>
      <c r="L54" s="176">
        <f>G54*0</f>
        <v>0</v>
      </c>
      <c r="M54" s="176">
        <f>G54*0</f>
        <v>0</v>
      </c>
      <c r="N54" s="176">
        <f>G54*0</f>
        <v>0</v>
      </c>
      <c r="O54" s="176">
        <f>G54*0</f>
        <v>0</v>
      </c>
      <c r="P54" s="176">
        <f>G54*0</f>
        <v>0</v>
      </c>
      <c r="Q54" s="176">
        <f>G54*0</f>
        <v>0</v>
      </c>
      <c r="R54" s="177">
        <v>0</v>
      </c>
      <c r="S54" s="177">
        <f>E54*0.3</f>
        <v>150</v>
      </c>
      <c r="T54" s="177">
        <f>E54*0.4</f>
        <v>200</v>
      </c>
      <c r="U54" s="175">
        <f>E54*0.3</f>
        <v>150</v>
      </c>
      <c r="V54" s="599"/>
      <c r="W54" s="176">
        <f>S54*F54</f>
        <v>152850</v>
      </c>
      <c r="X54" s="176">
        <f>T54*F54</f>
        <v>203800</v>
      </c>
      <c r="Y54" s="176">
        <f>U54*F54</f>
        <v>152850</v>
      </c>
      <c r="Z54" s="176">
        <v>48</v>
      </c>
      <c r="AA54" s="176">
        <f>Z54*500</f>
        <v>24000</v>
      </c>
      <c r="AB54" s="176">
        <v>23</v>
      </c>
      <c r="AC54" s="176">
        <f>AB54*500</f>
        <v>11500</v>
      </c>
      <c r="AD54" s="176">
        <v>58</v>
      </c>
      <c r="AE54" s="176">
        <f>AD54*500</f>
        <v>29000</v>
      </c>
      <c r="AF54" s="176">
        <v>89</v>
      </c>
      <c r="AG54" s="176">
        <f>AF54*500</f>
        <v>44500</v>
      </c>
      <c r="AH54" s="176">
        <v>38</v>
      </c>
      <c r="AI54" s="176">
        <f>AH54*500</f>
        <v>19000</v>
      </c>
      <c r="AJ54" s="176">
        <v>71</v>
      </c>
      <c r="AK54" s="176">
        <f>AJ54*500</f>
        <v>35500</v>
      </c>
      <c r="AL54" s="176">
        <v>36</v>
      </c>
      <c r="AM54" s="176">
        <f>AL54*500</f>
        <v>18000</v>
      </c>
      <c r="AN54" s="176">
        <v>100</v>
      </c>
      <c r="AO54" s="176">
        <f>AN54*500</f>
        <v>50000</v>
      </c>
      <c r="AP54" s="176">
        <v>8</v>
      </c>
      <c r="AQ54" s="176">
        <f>AP54*500</f>
        <v>4000</v>
      </c>
      <c r="AR54" s="176">
        <v>32</v>
      </c>
      <c r="AS54" s="176">
        <f>AR54*500</f>
        <v>16000</v>
      </c>
      <c r="AT54" s="176">
        <v>50</v>
      </c>
      <c r="AU54" s="176">
        <f>AT54*500</f>
        <v>25000</v>
      </c>
      <c r="AV54" s="176">
        <v>50</v>
      </c>
      <c r="AW54" s="176">
        <f>AV54*500</f>
        <v>25000</v>
      </c>
      <c r="AX54" s="176">
        <v>71</v>
      </c>
      <c r="AY54" s="176">
        <f>AX54*500</f>
        <v>35500</v>
      </c>
      <c r="AZ54" s="176">
        <v>78</v>
      </c>
      <c r="BA54" s="176">
        <f>AZ54*500</f>
        <v>39000</v>
      </c>
      <c r="BB54" s="176">
        <v>75</v>
      </c>
      <c r="BC54" s="176">
        <f>BB54*500</f>
        <v>37500</v>
      </c>
      <c r="BD54" s="176">
        <v>138</v>
      </c>
      <c r="BE54" s="176">
        <f>BD54*500</f>
        <v>69000</v>
      </c>
      <c r="BF54" s="176">
        <v>54</v>
      </c>
      <c r="BG54" s="176">
        <f>BF54*500</f>
        <v>27000</v>
      </c>
      <c r="BH54" s="177">
        <v>0</v>
      </c>
      <c r="BI54" s="176">
        <f>BH54*500</f>
        <v>0</v>
      </c>
      <c r="BJ54" s="222">
        <f>Z54+AB54+AD54+AF54+AH54+AJ54+AL54+AN54+AP54+AR54+AT54+AV54+AX54+AZ54+BB54+BD54+BF54+BH54</f>
        <v>1019</v>
      </c>
      <c r="BK54" s="158">
        <f>AA54+AC54+AE54+AG54+AI54+AK54+AM54+AO54+AQ54+AS54+AU54+AW54+AY54+BA54+BC54+BE54+BG54+BI54</f>
        <v>509500</v>
      </c>
      <c r="BL54" s="134"/>
      <c r="BM54" s="134"/>
      <c r="BN54" s="134"/>
      <c r="BO54" s="331"/>
      <c r="BP54" s="329" t="s">
        <v>469</v>
      </c>
      <c r="BR54" s="178"/>
      <c r="BS54" s="178">
        <f>G54</f>
        <v>509500</v>
      </c>
      <c r="BT54" s="178"/>
      <c r="BU54" s="178"/>
      <c r="BV54" s="178">
        <f>BR54+BS54+BT54+BU54</f>
        <v>509500</v>
      </c>
      <c r="BW54" s="178"/>
      <c r="BX54" s="178"/>
      <c r="BY54" s="178">
        <f>BW54+BX54</f>
        <v>0</v>
      </c>
      <c r="BZ54" s="179">
        <f t="shared" si="1"/>
        <v>509500</v>
      </c>
    </row>
    <row r="55" spans="1:78" s="165" customFormat="1" ht="32.25" customHeight="1" x14ac:dyDescent="0.25">
      <c r="A55" s="830"/>
      <c r="B55" s="173"/>
      <c r="C55" s="174" t="s">
        <v>92</v>
      </c>
      <c r="D55" s="174" t="s">
        <v>91</v>
      </c>
      <c r="E55" s="174"/>
      <c r="F55" s="175">
        <f>BJ55</f>
        <v>0</v>
      </c>
      <c r="G55" s="599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4"/>
      <c r="V55" s="599"/>
      <c r="W55" s="599"/>
      <c r="X55" s="599"/>
      <c r="Y55" s="599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7"/>
      <c r="BI55" s="176"/>
      <c r="BJ55" s="222">
        <f>Z55+AB55+AD55+AF55+AH55+AJ55+AL55+AN55+AP55+AR55+AT55+AV55+AX55+AZ55+BB55+BD55+BF55+BH55</f>
        <v>0</v>
      </c>
      <c r="BK55" s="176"/>
      <c r="BL55" s="134"/>
      <c r="BM55" s="134"/>
      <c r="BN55" s="134"/>
      <c r="BO55" s="331"/>
      <c r="BP55" s="329" t="s">
        <v>469</v>
      </c>
      <c r="BR55" s="178"/>
      <c r="BS55" s="178">
        <f>G55</f>
        <v>0</v>
      </c>
      <c r="BT55" s="178"/>
      <c r="BU55" s="178"/>
      <c r="BV55" s="178">
        <f>BR55+BS55+BT55+BU55</f>
        <v>0</v>
      </c>
      <c r="BW55" s="178"/>
      <c r="BX55" s="178"/>
      <c r="BY55" s="178">
        <f>BW55+BX55</f>
        <v>0</v>
      </c>
      <c r="BZ55" s="179">
        <f t="shared" si="1"/>
        <v>0</v>
      </c>
    </row>
    <row r="56" spans="1:78" s="565" customFormat="1" ht="32.25" customHeight="1" x14ac:dyDescent="0.25">
      <c r="A56" s="830"/>
      <c r="B56" s="605"/>
      <c r="C56" s="598" t="s">
        <v>36</v>
      </c>
      <c r="D56" s="598"/>
      <c r="E56" s="599"/>
      <c r="F56" s="602">
        <f t="shared" ref="F56:AK56" si="53">SUM(F54:F55)</f>
        <v>1019</v>
      </c>
      <c r="G56" s="599">
        <f t="shared" si="53"/>
        <v>509500</v>
      </c>
      <c r="H56" s="176">
        <f t="shared" si="53"/>
        <v>101900</v>
      </c>
      <c r="I56" s="176">
        <f t="shared" si="53"/>
        <v>407600</v>
      </c>
      <c r="J56" s="176">
        <f t="shared" si="53"/>
        <v>0</v>
      </c>
      <c r="K56" s="176">
        <f t="shared" si="53"/>
        <v>0</v>
      </c>
      <c r="L56" s="176">
        <f t="shared" si="53"/>
        <v>0</v>
      </c>
      <c r="M56" s="176">
        <f t="shared" si="53"/>
        <v>0</v>
      </c>
      <c r="N56" s="176">
        <f t="shared" si="53"/>
        <v>0</v>
      </c>
      <c r="O56" s="176">
        <f t="shared" si="53"/>
        <v>0</v>
      </c>
      <c r="P56" s="176">
        <f t="shared" si="53"/>
        <v>0</v>
      </c>
      <c r="Q56" s="176">
        <f t="shared" si="53"/>
        <v>0</v>
      </c>
      <c r="R56" s="177">
        <f t="shared" si="53"/>
        <v>0</v>
      </c>
      <c r="S56" s="177">
        <f t="shared" si="53"/>
        <v>150</v>
      </c>
      <c r="T56" s="602">
        <f t="shared" si="53"/>
        <v>200</v>
      </c>
      <c r="U56" s="602">
        <f t="shared" si="53"/>
        <v>150</v>
      </c>
      <c r="V56" s="599">
        <f t="shared" si="53"/>
        <v>0</v>
      </c>
      <c r="W56" s="599">
        <f t="shared" si="53"/>
        <v>152850</v>
      </c>
      <c r="X56" s="599">
        <f t="shared" si="53"/>
        <v>203800</v>
      </c>
      <c r="Y56" s="599">
        <f t="shared" si="53"/>
        <v>152850</v>
      </c>
      <c r="Z56" s="599">
        <f t="shared" si="53"/>
        <v>48</v>
      </c>
      <c r="AA56" s="599">
        <f t="shared" si="53"/>
        <v>24000</v>
      </c>
      <c r="AB56" s="599">
        <f t="shared" si="53"/>
        <v>23</v>
      </c>
      <c r="AC56" s="599">
        <f t="shared" si="53"/>
        <v>11500</v>
      </c>
      <c r="AD56" s="599">
        <f t="shared" si="53"/>
        <v>58</v>
      </c>
      <c r="AE56" s="599">
        <f t="shared" si="53"/>
        <v>29000</v>
      </c>
      <c r="AF56" s="599">
        <f t="shared" si="53"/>
        <v>89</v>
      </c>
      <c r="AG56" s="599">
        <f t="shared" si="53"/>
        <v>44500</v>
      </c>
      <c r="AH56" s="599">
        <f t="shared" si="53"/>
        <v>38</v>
      </c>
      <c r="AI56" s="599">
        <f t="shared" si="53"/>
        <v>19000</v>
      </c>
      <c r="AJ56" s="599">
        <f t="shared" si="53"/>
        <v>71</v>
      </c>
      <c r="AK56" s="599">
        <f t="shared" si="53"/>
        <v>35500</v>
      </c>
      <c r="AL56" s="599">
        <f t="shared" ref="AL56:BK56" si="54">SUM(AL54:AL55)</f>
        <v>36</v>
      </c>
      <c r="AM56" s="599">
        <f t="shared" si="54"/>
        <v>18000</v>
      </c>
      <c r="AN56" s="599">
        <f t="shared" si="54"/>
        <v>100</v>
      </c>
      <c r="AO56" s="599">
        <f t="shared" si="54"/>
        <v>50000</v>
      </c>
      <c r="AP56" s="599">
        <f t="shared" si="54"/>
        <v>8</v>
      </c>
      <c r="AQ56" s="599">
        <f t="shared" si="54"/>
        <v>4000</v>
      </c>
      <c r="AR56" s="599">
        <f t="shared" si="54"/>
        <v>32</v>
      </c>
      <c r="AS56" s="599">
        <f t="shared" si="54"/>
        <v>16000</v>
      </c>
      <c r="AT56" s="599">
        <f t="shared" si="54"/>
        <v>50</v>
      </c>
      <c r="AU56" s="599">
        <f t="shared" si="54"/>
        <v>25000</v>
      </c>
      <c r="AV56" s="599">
        <f t="shared" si="54"/>
        <v>50</v>
      </c>
      <c r="AW56" s="599">
        <f t="shared" si="54"/>
        <v>25000</v>
      </c>
      <c r="AX56" s="599">
        <f t="shared" si="54"/>
        <v>71</v>
      </c>
      <c r="AY56" s="599">
        <f t="shared" si="54"/>
        <v>35500</v>
      </c>
      <c r="AZ56" s="599">
        <f t="shared" si="54"/>
        <v>78</v>
      </c>
      <c r="BA56" s="599">
        <f t="shared" si="54"/>
        <v>39000</v>
      </c>
      <c r="BB56" s="599">
        <f t="shared" si="54"/>
        <v>75</v>
      </c>
      <c r="BC56" s="599">
        <f t="shared" si="54"/>
        <v>37500</v>
      </c>
      <c r="BD56" s="599">
        <f t="shared" si="54"/>
        <v>138</v>
      </c>
      <c r="BE56" s="599">
        <f t="shared" si="54"/>
        <v>69000</v>
      </c>
      <c r="BF56" s="599">
        <f t="shared" si="54"/>
        <v>54</v>
      </c>
      <c r="BG56" s="599">
        <f t="shared" si="54"/>
        <v>27000</v>
      </c>
      <c r="BH56" s="602">
        <f t="shared" si="54"/>
        <v>0</v>
      </c>
      <c r="BI56" s="599">
        <f t="shared" si="54"/>
        <v>0</v>
      </c>
      <c r="BJ56" s="602">
        <f t="shared" si="54"/>
        <v>1019</v>
      </c>
      <c r="BK56" s="599">
        <f t="shared" si="54"/>
        <v>509500</v>
      </c>
      <c r="BL56" s="598"/>
      <c r="BM56" s="134"/>
      <c r="BN56" s="598"/>
      <c r="BO56" s="603"/>
      <c r="BP56" s="134"/>
      <c r="BR56" s="598">
        <f t="shared" ref="BR56:BY56" si="55">SUM(BR54:BR55)</f>
        <v>0</v>
      </c>
      <c r="BS56" s="598">
        <f t="shared" si="55"/>
        <v>509500</v>
      </c>
      <c r="BT56" s="598">
        <f t="shared" si="55"/>
        <v>0</v>
      </c>
      <c r="BU56" s="598">
        <f t="shared" si="55"/>
        <v>0</v>
      </c>
      <c r="BV56" s="598">
        <f t="shared" si="55"/>
        <v>509500</v>
      </c>
      <c r="BW56" s="598">
        <f t="shared" si="55"/>
        <v>0</v>
      </c>
      <c r="BX56" s="598">
        <f t="shared" si="55"/>
        <v>0</v>
      </c>
      <c r="BY56" s="598">
        <f t="shared" si="55"/>
        <v>0</v>
      </c>
      <c r="BZ56" s="598">
        <f t="shared" si="1"/>
        <v>509500</v>
      </c>
    </row>
    <row r="57" spans="1:78" s="595" customFormat="1" ht="32.25" customHeight="1" x14ac:dyDescent="0.25">
      <c r="A57" s="830"/>
      <c r="B57" s="62"/>
      <c r="C57" s="606" t="s">
        <v>3</v>
      </c>
      <c r="D57" s="159"/>
      <c r="E57" s="172"/>
      <c r="F57" s="591">
        <f>F56+F52+F48</f>
        <v>3942</v>
      </c>
      <c r="G57" s="172">
        <f t="shared" ref="G57:BP57" si="56">G56+G52+G48</f>
        <v>3875000</v>
      </c>
      <c r="H57" s="172">
        <f t="shared" si="56"/>
        <v>775000</v>
      </c>
      <c r="I57" s="172">
        <f t="shared" si="56"/>
        <v>3100000</v>
      </c>
      <c r="J57" s="172">
        <f t="shared" si="56"/>
        <v>0</v>
      </c>
      <c r="K57" s="172">
        <f t="shared" si="56"/>
        <v>0</v>
      </c>
      <c r="L57" s="172">
        <f t="shared" si="56"/>
        <v>0</v>
      </c>
      <c r="M57" s="172">
        <f t="shared" si="56"/>
        <v>0</v>
      </c>
      <c r="N57" s="172">
        <f t="shared" si="56"/>
        <v>0</v>
      </c>
      <c r="O57" s="172">
        <f t="shared" si="56"/>
        <v>0</v>
      </c>
      <c r="P57" s="172">
        <f t="shared" si="56"/>
        <v>0</v>
      </c>
      <c r="Q57" s="172">
        <f t="shared" si="56"/>
        <v>0</v>
      </c>
      <c r="R57" s="172">
        <f t="shared" si="56"/>
        <v>0</v>
      </c>
      <c r="S57" s="172">
        <f t="shared" si="56"/>
        <v>300.60000000000002</v>
      </c>
      <c r="T57" s="172">
        <f t="shared" si="56"/>
        <v>400.8</v>
      </c>
      <c r="U57" s="172">
        <f t="shared" si="56"/>
        <v>300.60000000000002</v>
      </c>
      <c r="V57" s="172">
        <f t="shared" si="56"/>
        <v>0</v>
      </c>
      <c r="W57" s="172">
        <f t="shared" si="56"/>
        <v>1162500</v>
      </c>
      <c r="X57" s="172">
        <f t="shared" si="56"/>
        <v>1550000</v>
      </c>
      <c r="Y57" s="172">
        <f t="shared" si="56"/>
        <v>1162500</v>
      </c>
      <c r="Z57" s="172">
        <f t="shared" si="56"/>
        <v>96</v>
      </c>
      <c r="AA57" s="172">
        <f t="shared" si="56"/>
        <v>48000</v>
      </c>
      <c r="AB57" s="172">
        <f t="shared" si="56"/>
        <v>46</v>
      </c>
      <c r="AC57" s="172">
        <f t="shared" si="56"/>
        <v>23000</v>
      </c>
      <c r="AD57" s="172">
        <f t="shared" si="56"/>
        <v>116</v>
      </c>
      <c r="AE57" s="172">
        <f t="shared" si="56"/>
        <v>58000</v>
      </c>
      <c r="AF57" s="172">
        <f t="shared" si="56"/>
        <v>178</v>
      </c>
      <c r="AG57" s="172">
        <f t="shared" si="56"/>
        <v>89000</v>
      </c>
      <c r="AH57" s="172">
        <f t="shared" si="56"/>
        <v>76</v>
      </c>
      <c r="AI57" s="172">
        <f t="shared" si="56"/>
        <v>38000</v>
      </c>
      <c r="AJ57" s="172">
        <f t="shared" si="56"/>
        <v>142</v>
      </c>
      <c r="AK57" s="172">
        <f t="shared" si="56"/>
        <v>71000</v>
      </c>
      <c r="AL57" s="172">
        <f t="shared" si="56"/>
        <v>72</v>
      </c>
      <c r="AM57" s="172">
        <f t="shared" si="56"/>
        <v>36000</v>
      </c>
      <c r="AN57" s="172">
        <f t="shared" si="56"/>
        <v>200</v>
      </c>
      <c r="AO57" s="172">
        <f t="shared" si="56"/>
        <v>100000</v>
      </c>
      <c r="AP57" s="172">
        <f t="shared" si="56"/>
        <v>16</v>
      </c>
      <c r="AQ57" s="172">
        <f t="shared" si="56"/>
        <v>8000</v>
      </c>
      <c r="AR57" s="172">
        <f t="shared" si="56"/>
        <v>64</v>
      </c>
      <c r="AS57" s="172">
        <f t="shared" si="56"/>
        <v>32000</v>
      </c>
      <c r="AT57" s="172">
        <f t="shared" si="56"/>
        <v>100</v>
      </c>
      <c r="AU57" s="172">
        <f t="shared" si="56"/>
        <v>50000</v>
      </c>
      <c r="AV57" s="172">
        <f t="shared" si="56"/>
        <v>100</v>
      </c>
      <c r="AW57" s="172">
        <f t="shared" si="56"/>
        <v>50000</v>
      </c>
      <c r="AX57" s="172">
        <f t="shared" si="56"/>
        <v>142</v>
      </c>
      <c r="AY57" s="172">
        <f t="shared" si="56"/>
        <v>71000</v>
      </c>
      <c r="AZ57" s="172">
        <f t="shared" si="56"/>
        <v>156</v>
      </c>
      <c r="BA57" s="172">
        <f t="shared" si="56"/>
        <v>78000</v>
      </c>
      <c r="BB57" s="172">
        <f t="shared" si="56"/>
        <v>150</v>
      </c>
      <c r="BC57" s="172">
        <f t="shared" si="56"/>
        <v>75000</v>
      </c>
      <c r="BD57" s="172">
        <f t="shared" si="56"/>
        <v>276</v>
      </c>
      <c r="BE57" s="172">
        <f t="shared" si="56"/>
        <v>138000</v>
      </c>
      <c r="BF57" s="172">
        <f t="shared" si="56"/>
        <v>108</v>
      </c>
      <c r="BG57" s="172">
        <f t="shared" si="56"/>
        <v>54000</v>
      </c>
      <c r="BH57" s="172">
        <f t="shared" si="56"/>
        <v>1904</v>
      </c>
      <c r="BI57" s="172">
        <f t="shared" si="56"/>
        <v>2856000</v>
      </c>
      <c r="BJ57" s="172">
        <f t="shared" si="56"/>
        <v>3942</v>
      </c>
      <c r="BK57" s="172">
        <f t="shared" si="56"/>
        <v>3875000</v>
      </c>
      <c r="BL57" s="172">
        <f t="shared" si="56"/>
        <v>0</v>
      </c>
      <c r="BM57" s="172">
        <f t="shared" si="56"/>
        <v>0</v>
      </c>
      <c r="BN57" s="172">
        <f t="shared" si="56"/>
        <v>0</v>
      </c>
      <c r="BO57" s="607">
        <f t="shared" si="56"/>
        <v>0</v>
      </c>
      <c r="BP57" s="608">
        <f t="shared" si="56"/>
        <v>0</v>
      </c>
      <c r="BQ57" s="609"/>
      <c r="BR57" s="172">
        <f t="shared" ref="BR57:BZ57" si="57">BR56+BR52+BR48</f>
        <v>0</v>
      </c>
      <c r="BS57" s="172">
        <f t="shared" si="57"/>
        <v>3875000</v>
      </c>
      <c r="BT57" s="172">
        <f t="shared" si="57"/>
        <v>0</v>
      </c>
      <c r="BU57" s="172">
        <f t="shared" si="57"/>
        <v>0</v>
      </c>
      <c r="BV57" s="172">
        <f t="shared" si="57"/>
        <v>3875000</v>
      </c>
      <c r="BW57" s="172">
        <f t="shared" si="57"/>
        <v>0</v>
      </c>
      <c r="BX57" s="172">
        <f t="shared" si="57"/>
        <v>0</v>
      </c>
      <c r="BY57" s="172">
        <f t="shared" si="57"/>
        <v>0</v>
      </c>
      <c r="BZ57" s="172">
        <f t="shared" si="57"/>
        <v>3875000</v>
      </c>
    </row>
    <row r="58" spans="1:78" ht="32.25" customHeight="1" x14ac:dyDescent="0.25">
      <c r="A58" s="830"/>
      <c r="B58" s="60"/>
      <c r="C58" s="718" t="s">
        <v>780</v>
      </c>
      <c r="D58" s="53" t="s">
        <v>17</v>
      </c>
      <c r="E58" s="158">
        <v>6600000</v>
      </c>
      <c r="F58" s="222">
        <f>BJ58</f>
        <v>1</v>
      </c>
      <c r="G58" s="158">
        <f>F58*E58</f>
        <v>6600000</v>
      </c>
      <c r="H58" s="176">
        <f>G58*0.2</f>
        <v>1320000</v>
      </c>
      <c r="I58" s="176">
        <f>G58*0.8</f>
        <v>5280000</v>
      </c>
      <c r="J58" s="158"/>
      <c r="K58" s="158"/>
      <c r="L58" s="158"/>
      <c r="M58" s="158"/>
      <c r="N58" s="158"/>
      <c r="O58" s="158"/>
      <c r="P58" s="158"/>
      <c r="Q58" s="158"/>
      <c r="R58" s="158">
        <v>1</v>
      </c>
      <c r="S58" s="158"/>
      <c r="T58" s="158"/>
      <c r="U58" s="158"/>
      <c r="V58" s="158">
        <f>R58*3300000</f>
        <v>3300000</v>
      </c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>
        <v>1</v>
      </c>
      <c r="BI58" s="158">
        <f>BH58*E58</f>
        <v>6600000</v>
      </c>
      <c r="BJ58" s="222">
        <f>Z58+AB58+AD58+AF58+AH58+AJ58+AL58+AN58+AP58+AR58+AT58+AV58+AX58+AZ58+BB58+BD58+BF58+BH58</f>
        <v>1</v>
      </c>
      <c r="BK58" s="158">
        <f>AA58+AC58+AE58+AG58+AI58+AK58+AM58+AO58+AQ58+AS58+AU58+AW58+AY58+BA58+BC58+BE58+BG58+BI58</f>
        <v>6600000</v>
      </c>
      <c r="BL58" s="158"/>
      <c r="BM58" s="158"/>
      <c r="BN58" s="158"/>
      <c r="BO58" s="384"/>
      <c r="BP58" s="329" t="s">
        <v>469</v>
      </c>
      <c r="BQ58" s="413"/>
      <c r="BR58" s="158"/>
      <c r="BS58" s="158"/>
      <c r="BT58" s="158">
        <f>BI58</f>
        <v>6600000</v>
      </c>
      <c r="BU58" s="158"/>
      <c r="BV58" s="158">
        <f>BR58+BS58+BT58+BU58</f>
        <v>6600000</v>
      </c>
      <c r="BW58" s="158"/>
      <c r="BX58" s="158"/>
      <c r="BY58" s="158"/>
      <c r="BZ58" s="158"/>
    </row>
    <row r="59" spans="1:78" ht="32.25" customHeight="1" x14ac:dyDescent="0.25">
      <c r="A59" s="830"/>
      <c r="B59" s="60"/>
      <c r="C59" s="610" t="s">
        <v>781</v>
      </c>
      <c r="D59" s="53" t="s">
        <v>17</v>
      </c>
      <c r="E59" s="158">
        <v>5000000</v>
      </c>
      <c r="F59" s="222">
        <f>BJ59</f>
        <v>1</v>
      </c>
      <c r="G59" s="158">
        <f>F59*E59</f>
        <v>5000000</v>
      </c>
      <c r="H59" s="176">
        <f>G59*0.2</f>
        <v>1000000</v>
      </c>
      <c r="I59" s="176">
        <f>G59*0.8</f>
        <v>4000000</v>
      </c>
      <c r="J59" s="158"/>
      <c r="K59" s="158"/>
      <c r="L59" s="158"/>
      <c r="M59" s="158"/>
      <c r="N59" s="158"/>
      <c r="O59" s="158"/>
      <c r="P59" s="158"/>
      <c r="Q59" s="158"/>
      <c r="R59" s="158">
        <v>1</v>
      </c>
      <c r="S59" s="158"/>
      <c r="T59" s="158"/>
      <c r="U59" s="158"/>
      <c r="V59" s="158">
        <f>R59*5000000</f>
        <v>5000000</v>
      </c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>
        <v>1</v>
      </c>
      <c r="BI59" s="158">
        <f>BH59*E59</f>
        <v>5000000</v>
      </c>
      <c r="BJ59" s="222">
        <f>Z59+AB59+AD59+AF59+AH59+AJ59+AL59+AN59+AP59+AR59+AT59+AV59+AX59+AZ59+BB59+BD59+BF59+BH59</f>
        <v>1</v>
      </c>
      <c r="BK59" s="158">
        <f>AA59+AC59+AE59+AG59+AI59+AK59+AM59+AO59+AQ59+AS59+AU59+AW59+AY59+BA59+BC59+BE59+BG59+BI59</f>
        <v>5000000</v>
      </c>
      <c r="BL59" s="158"/>
      <c r="BM59" s="158"/>
      <c r="BN59" s="158"/>
      <c r="BO59" s="384"/>
      <c r="BP59" s="329" t="s">
        <v>469</v>
      </c>
      <c r="BQ59" s="413"/>
      <c r="BR59" s="158"/>
      <c r="BS59" s="158">
        <f>BI59</f>
        <v>5000000</v>
      </c>
      <c r="BT59" s="158"/>
      <c r="BU59" s="158"/>
      <c r="BV59" s="158">
        <f>BR59+BS59+BT59+BU59</f>
        <v>5000000</v>
      </c>
      <c r="BW59" s="158"/>
      <c r="BX59" s="158"/>
      <c r="BY59" s="158"/>
      <c r="BZ59" s="158"/>
    </row>
    <row r="60" spans="1:78" s="611" customFormat="1" ht="32.25" customHeight="1" x14ac:dyDescent="0.25">
      <c r="A60" s="830"/>
      <c r="B60" s="62"/>
      <c r="C60" s="140" t="s">
        <v>36</v>
      </c>
      <c r="D60" s="140"/>
      <c r="E60" s="172"/>
      <c r="F60" s="591">
        <f t="shared" ref="F60:AK60" si="58">SUM(F58:F59)</f>
        <v>2</v>
      </c>
      <c r="G60" s="172">
        <f t="shared" si="58"/>
        <v>11600000</v>
      </c>
      <c r="H60" s="172">
        <f t="shared" si="58"/>
        <v>2320000</v>
      </c>
      <c r="I60" s="172">
        <f t="shared" si="58"/>
        <v>9280000</v>
      </c>
      <c r="J60" s="172">
        <f t="shared" si="58"/>
        <v>0</v>
      </c>
      <c r="K60" s="172">
        <f t="shared" si="58"/>
        <v>0</v>
      </c>
      <c r="L60" s="172">
        <f t="shared" si="58"/>
        <v>0</v>
      </c>
      <c r="M60" s="172">
        <f t="shared" si="58"/>
        <v>0</v>
      </c>
      <c r="N60" s="172">
        <f t="shared" si="58"/>
        <v>0</v>
      </c>
      <c r="O60" s="172">
        <f t="shared" si="58"/>
        <v>0</v>
      </c>
      <c r="P60" s="172">
        <f t="shared" si="58"/>
        <v>0</v>
      </c>
      <c r="Q60" s="172">
        <f t="shared" si="58"/>
        <v>0</v>
      </c>
      <c r="R60" s="591">
        <f t="shared" si="58"/>
        <v>2</v>
      </c>
      <c r="S60" s="591">
        <f t="shared" si="58"/>
        <v>0</v>
      </c>
      <c r="T60" s="591">
        <f t="shared" si="58"/>
        <v>0</v>
      </c>
      <c r="U60" s="591">
        <f t="shared" si="58"/>
        <v>0</v>
      </c>
      <c r="V60" s="172">
        <f t="shared" si="58"/>
        <v>8300000</v>
      </c>
      <c r="W60" s="172">
        <f t="shared" si="58"/>
        <v>0</v>
      </c>
      <c r="X60" s="172">
        <f t="shared" si="58"/>
        <v>0</v>
      </c>
      <c r="Y60" s="172">
        <f t="shared" si="58"/>
        <v>0</v>
      </c>
      <c r="Z60" s="172">
        <f t="shared" si="58"/>
        <v>0</v>
      </c>
      <c r="AA60" s="172">
        <f t="shared" si="58"/>
        <v>0</v>
      </c>
      <c r="AB60" s="172">
        <f t="shared" si="58"/>
        <v>0</v>
      </c>
      <c r="AC60" s="172">
        <f t="shared" si="58"/>
        <v>0</v>
      </c>
      <c r="AD60" s="172">
        <f t="shared" si="58"/>
        <v>0</v>
      </c>
      <c r="AE60" s="172">
        <f t="shared" si="58"/>
        <v>0</v>
      </c>
      <c r="AF60" s="172">
        <f t="shared" si="58"/>
        <v>0</v>
      </c>
      <c r="AG60" s="172">
        <f t="shared" si="58"/>
        <v>0</v>
      </c>
      <c r="AH60" s="172">
        <f t="shared" si="58"/>
        <v>0</v>
      </c>
      <c r="AI60" s="172">
        <f t="shared" si="58"/>
        <v>0</v>
      </c>
      <c r="AJ60" s="172">
        <f t="shared" si="58"/>
        <v>0</v>
      </c>
      <c r="AK60" s="172">
        <f t="shared" si="58"/>
        <v>0</v>
      </c>
      <c r="AL60" s="172">
        <f t="shared" ref="AL60:BK60" si="59">SUM(AL58:AL59)</f>
        <v>0</v>
      </c>
      <c r="AM60" s="172">
        <f t="shared" si="59"/>
        <v>0</v>
      </c>
      <c r="AN60" s="172">
        <f t="shared" si="59"/>
        <v>0</v>
      </c>
      <c r="AO60" s="172">
        <f t="shared" si="59"/>
        <v>0</v>
      </c>
      <c r="AP60" s="172">
        <f t="shared" si="59"/>
        <v>0</v>
      </c>
      <c r="AQ60" s="172">
        <f t="shared" si="59"/>
        <v>0</v>
      </c>
      <c r="AR60" s="172">
        <f t="shared" si="59"/>
        <v>0</v>
      </c>
      <c r="AS60" s="172">
        <f t="shared" si="59"/>
        <v>0</v>
      </c>
      <c r="AT60" s="172">
        <f t="shared" si="59"/>
        <v>0</v>
      </c>
      <c r="AU60" s="172">
        <f t="shared" si="59"/>
        <v>0</v>
      </c>
      <c r="AV60" s="172">
        <f t="shared" si="59"/>
        <v>0</v>
      </c>
      <c r="AW60" s="172">
        <f t="shared" si="59"/>
        <v>0</v>
      </c>
      <c r="AX60" s="172">
        <f t="shared" si="59"/>
        <v>0</v>
      </c>
      <c r="AY60" s="172">
        <f t="shared" si="59"/>
        <v>0</v>
      </c>
      <c r="AZ60" s="172">
        <f t="shared" si="59"/>
        <v>0</v>
      </c>
      <c r="BA60" s="172">
        <f t="shared" si="59"/>
        <v>0</v>
      </c>
      <c r="BB60" s="172">
        <f t="shared" si="59"/>
        <v>0</v>
      </c>
      <c r="BC60" s="172">
        <f t="shared" si="59"/>
        <v>0</v>
      </c>
      <c r="BD60" s="172">
        <f t="shared" si="59"/>
        <v>0</v>
      </c>
      <c r="BE60" s="172">
        <f t="shared" si="59"/>
        <v>0</v>
      </c>
      <c r="BF60" s="172">
        <f t="shared" si="59"/>
        <v>0</v>
      </c>
      <c r="BG60" s="172">
        <f t="shared" si="59"/>
        <v>0</v>
      </c>
      <c r="BH60" s="591">
        <f t="shared" si="59"/>
        <v>2</v>
      </c>
      <c r="BI60" s="172">
        <f t="shared" si="59"/>
        <v>11600000</v>
      </c>
      <c r="BJ60" s="591">
        <f t="shared" si="59"/>
        <v>2</v>
      </c>
      <c r="BK60" s="172">
        <f t="shared" si="59"/>
        <v>11600000</v>
      </c>
      <c r="BL60" s="140"/>
      <c r="BM60" s="140"/>
      <c r="BN60" s="140"/>
      <c r="BO60" s="593"/>
      <c r="BP60" s="592"/>
      <c r="BQ60" s="67"/>
      <c r="BR60" s="140">
        <f t="shared" ref="BR60:BY60" si="60">SUM(BR58:BR59)</f>
        <v>0</v>
      </c>
      <c r="BS60" s="140">
        <f t="shared" si="60"/>
        <v>5000000</v>
      </c>
      <c r="BT60" s="140">
        <f t="shared" si="60"/>
        <v>6600000</v>
      </c>
      <c r="BU60" s="140">
        <f t="shared" si="60"/>
        <v>0</v>
      </c>
      <c r="BV60" s="140">
        <f t="shared" si="60"/>
        <v>11600000</v>
      </c>
      <c r="BW60" s="140">
        <f t="shared" si="60"/>
        <v>0</v>
      </c>
      <c r="BX60" s="140">
        <f t="shared" si="60"/>
        <v>0</v>
      </c>
      <c r="BY60" s="140">
        <f t="shared" si="60"/>
        <v>0</v>
      </c>
      <c r="BZ60" s="140">
        <f>BV60+BY60</f>
        <v>11600000</v>
      </c>
    </row>
    <row r="61" spans="1:78" ht="32.25" customHeight="1" x14ac:dyDescent="0.25">
      <c r="A61" s="830"/>
      <c r="B61" s="221">
        <v>11600</v>
      </c>
      <c r="C61" s="578" t="s">
        <v>95</v>
      </c>
      <c r="D61" s="145"/>
      <c r="E61" s="299"/>
      <c r="F61" s="158"/>
      <c r="G61" s="158"/>
      <c r="H61" s="158"/>
      <c r="I61" s="158"/>
      <c r="J61" s="158"/>
      <c r="K61" s="158"/>
      <c r="L61" s="158"/>
      <c r="M61" s="158"/>
      <c r="N61" s="158"/>
      <c r="O61" s="299"/>
      <c r="P61" s="299"/>
      <c r="Q61" s="299"/>
      <c r="R61" s="158"/>
      <c r="S61" s="158"/>
      <c r="T61" s="158"/>
      <c r="U61" s="158"/>
      <c r="V61" s="299"/>
      <c r="W61" s="299"/>
      <c r="X61" s="169"/>
      <c r="Y61" s="169"/>
      <c r="Z61" s="158"/>
      <c r="AA61" s="169"/>
      <c r="AB61" s="158"/>
      <c r="AC61" s="169"/>
      <c r="AD61" s="158"/>
      <c r="AE61" s="169"/>
      <c r="AF61" s="158"/>
      <c r="AG61" s="169"/>
      <c r="AH61" s="158"/>
      <c r="AI61" s="169"/>
      <c r="AJ61" s="158"/>
      <c r="AK61" s="169"/>
      <c r="AL61" s="158"/>
      <c r="AM61" s="169"/>
      <c r="AN61" s="158"/>
      <c r="AO61" s="169"/>
      <c r="AP61" s="158"/>
      <c r="AQ61" s="169"/>
      <c r="AR61" s="158"/>
      <c r="AS61" s="169"/>
      <c r="AT61" s="158"/>
      <c r="AU61" s="169"/>
      <c r="AV61" s="158"/>
      <c r="AW61" s="169"/>
      <c r="AX61" s="158"/>
      <c r="AY61" s="169"/>
      <c r="AZ61" s="158"/>
      <c r="BA61" s="169"/>
      <c r="BB61" s="158"/>
      <c r="BC61" s="169"/>
      <c r="BD61" s="158"/>
      <c r="BE61" s="169"/>
      <c r="BF61" s="158"/>
      <c r="BG61" s="169"/>
      <c r="BH61" s="158"/>
      <c r="BI61" s="169"/>
      <c r="BJ61" s="222"/>
      <c r="BK61" s="158"/>
      <c r="BL61" s="85"/>
      <c r="BM61" s="85"/>
      <c r="BN61" s="85"/>
      <c r="BO61" s="117"/>
      <c r="BP61" s="85"/>
      <c r="BR61" s="113"/>
      <c r="BS61" s="113"/>
      <c r="BT61" s="113"/>
      <c r="BU61" s="113"/>
      <c r="BV61" s="113"/>
      <c r="BW61" s="113"/>
      <c r="BX61" s="113"/>
      <c r="BY61" s="113"/>
      <c r="BZ61" s="223">
        <f t="shared" si="1"/>
        <v>0</v>
      </c>
    </row>
    <row r="62" spans="1:78" s="165" customFormat="1" ht="32.25" customHeight="1" x14ac:dyDescent="0.25">
      <c r="A62" s="830"/>
      <c r="B62" s="173">
        <v>11610</v>
      </c>
      <c r="C62" s="174" t="s">
        <v>484</v>
      </c>
      <c r="D62" s="174" t="s">
        <v>485</v>
      </c>
      <c r="E62" s="174">
        <f>0.015*100000</f>
        <v>1500</v>
      </c>
      <c r="F62" s="175">
        <f t="shared" ref="F62:F67" si="61">BJ62</f>
        <v>12228</v>
      </c>
      <c r="G62" s="176">
        <f>E62*F62</f>
        <v>18342000</v>
      </c>
      <c r="H62" s="176">
        <f t="shared" ref="H62:H68" si="62">G62*0.2</f>
        <v>3668400</v>
      </c>
      <c r="I62" s="176">
        <f t="shared" ref="I62:I67" si="63">G62*0.8</f>
        <v>14673600</v>
      </c>
      <c r="J62" s="176">
        <f>G62*0</f>
        <v>0</v>
      </c>
      <c r="K62" s="176">
        <f>G62*0</f>
        <v>0</v>
      </c>
      <c r="L62" s="176">
        <f t="shared" ref="L62:L67" si="64">G62*0</f>
        <v>0</v>
      </c>
      <c r="M62" s="176">
        <f t="shared" ref="M62:M67" si="65">G62*0</f>
        <v>0</v>
      </c>
      <c r="N62" s="176">
        <f t="shared" ref="N62:N67" si="66">G62*0</f>
        <v>0</v>
      </c>
      <c r="O62" s="176">
        <f t="shared" ref="O62:O67" si="67">G62*0</f>
        <v>0</v>
      </c>
      <c r="P62" s="176">
        <f t="shared" ref="P62:P67" si="68">G62*0</f>
        <v>0</v>
      </c>
      <c r="Q62" s="176">
        <f t="shared" ref="Q62:Q67" si="69">G62*0</f>
        <v>0</v>
      </c>
      <c r="R62" s="176">
        <f>F62*0.25</f>
        <v>3057</v>
      </c>
      <c r="S62" s="176">
        <f>F62*0.25</f>
        <v>3057</v>
      </c>
      <c r="T62" s="176">
        <f>F62*0.25</f>
        <v>3057</v>
      </c>
      <c r="U62" s="176">
        <f>F62*0.25</f>
        <v>3057</v>
      </c>
      <c r="V62" s="176">
        <f>R62*E62</f>
        <v>4585500</v>
      </c>
      <c r="W62" s="176">
        <f>S62*E62</f>
        <v>4585500</v>
      </c>
      <c r="X62" s="176">
        <f>T62*E62</f>
        <v>4585500</v>
      </c>
      <c r="Y62" s="176">
        <f>U62*E62</f>
        <v>4585500</v>
      </c>
      <c r="Z62" s="176">
        <f>48*12</f>
        <v>576</v>
      </c>
      <c r="AA62" s="176">
        <f>Z62*1500</f>
        <v>864000</v>
      </c>
      <c r="AB62" s="176">
        <f>23*12</f>
        <v>276</v>
      </c>
      <c r="AC62" s="176">
        <f>AB62*1500</f>
        <v>414000</v>
      </c>
      <c r="AD62" s="176">
        <f>58*12</f>
        <v>696</v>
      </c>
      <c r="AE62" s="176">
        <f>AD62*1500</f>
        <v>1044000</v>
      </c>
      <c r="AF62" s="176">
        <f>89*12</f>
        <v>1068</v>
      </c>
      <c r="AG62" s="176">
        <f>AF62*1500</f>
        <v>1602000</v>
      </c>
      <c r="AH62" s="176">
        <f>38*12</f>
        <v>456</v>
      </c>
      <c r="AI62" s="176">
        <f>AH62*1500</f>
        <v>684000</v>
      </c>
      <c r="AJ62" s="176">
        <f>71*12</f>
        <v>852</v>
      </c>
      <c r="AK62" s="176">
        <f>AJ62*1500</f>
        <v>1278000</v>
      </c>
      <c r="AL62" s="176">
        <f>38*12</f>
        <v>456</v>
      </c>
      <c r="AM62" s="176">
        <f>AL62*1500</f>
        <v>684000</v>
      </c>
      <c r="AN62" s="176">
        <v>1200</v>
      </c>
      <c r="AO62" s="176">
        <f>AN62*1500</f>
        <v>1800000</v>
      </c>
      <c r="AP62" s="176">
        <f>8*12</f>
        <v>96</v>
      </c>
      <c r="AQ62" s="176">
        <f>AP62*1500</f>
        <v>144000</v>
      </c>
      <c r="AR62" s="176">
        <f>32*12</f>
        <v>384</v>
      </c>
      <c r="AS62" s="176">
        <f>AR62*1500</f>
        <v>576000</v>
      </c>
      <c r="AT62" s="176">
        <f>50*12</f>
        <v>600</v>
      </c>
      <c r="AU62" s="176">
        <f>AT62*1500</f>
        <v>900000</v>
      </c>
      <c r="AV62" s="176">
        <f>50*12</f>
        <v>600</v>
      </c>
      <c r="AW62" s="176">
        <f>AV62*1500</f>
        <v>900000</v>
      </c>
      <c r="AX62" s="176">
        <f>72*12</f>
        <v>864</v>
      </c>
      <c r="AY62" s="176">
        <f>AX62*1500</f>
        <v>1296000</v>
      </c>
      <c r="AZ62" s="177">
        <f>78*12</f>
        <v>936</v>
      </c>
      <c r="BA62" s="176">
        <f>AZ62*1500</f>
        <v>1404000</v>
      </c>
      <c r="BB62" s="176">
        <f>73*12</f>
        <v>876</v>
      </c>
      <c r="BC62" s="176">
        <f>BB62*1500</f>
        <v>1314000</v>
      </c>
      <c r="BD62" s="176">
        <f>137*12</f>
        <v>1644</v>
      </c>
      <c r="BE62" s="176">
        <f>BD62*1500</f>
        <v>2466000</v>
      </c>
      <c r="BF62" s="176">
        <f>54*12</f>
        <v>648</v>
      </c>
      <c r="BG62" s="176">
        <f>BF62*1500</f>
        <v>972000</v>
      </c>
      <c r="BH62" s="177">
        <v>0</v>
      </c>
      <c r="BI62" s="176">
        <f>BH62*1500</f>
        <v>0</v>
      </c>
      <c r="BJ62" s="222">
        <f t="shared" ref="BJ62:BK68" si="70">Z62+AB62+AD62+AF62+AH62+AJ62+AL62+AN62+AP62+AR62+AT62+AV62+AX62+AZ62+BB62+BD62+BF62+BH62</f>
        <v>12228</v>
      </c>
      <c r="BK62" s="158">
        <f t="shared" si="70"/>
        <v>18342000</v>
      </c>
      <c r="BL62" s="134"/>
      <c r="BN62" s="134" t="s">
        <v>72</v>
      </c>
      <c r="BO62" s="331"/>
      <c r="BP62" s="329" t="s">
        <v>469</v>
      </c>
      <c r="BR62" s="178"/>
      <c r="BS62" s="178"/>
      <c r="BT62" s="178"/>
      <c r="BU62" s="178"/>
      <c r="BV62" s="178">
        <f t="shared" ref="BV62:BV68" si="71">BR62+BS62+BT62+BU62</f>
        <v>0</v>
      </c>
      <c r="BW62" s="178">
        <v>0</v>
      </c>
      <c r="BX62" s="178">
        <f>G62</f>
        <v>18342000</v>
      </c>
      <c r="BY62" s="178">
        <f>BW62+BX62</f>
        <v>18342000</v>
      </c>
      <c r="BZ62" s="179">
        <f t="shared" si="1"/>
        <v>18342000</v>
      </c>
    </row>
    <row r="63" spans="1:78" s="699" customFormat="1" ht="32.25" customHeight="1" x14ac:dyDescent="0.25">
      <c r="A63" s="830"/>
      <c r="B63" s="697">
        <v>11620</v>
      </c>
      <c r="C63" s="665" t="s">
        <v>96</v>
      </c>
      <c r="D63" s="665" t="s">
        <v>745</v>
      </c>
      <c r="E63" s="665">
        <f>0.35*100000</f>
        <v>35000</v>
      </c>
      <c r="F63" s="698">
        <f t="shared" si="61"/>
        <v>147</v>
      </c>
      <c r="G63" s="680">
        <f>F63*E63</f>
        <v>5145000</v>
      </c>
      <c r="H63" s="680">
        <f t="shared" si="62"/>
        <v>1029000</v>
      </c>
      <c r="I63" s="680">
        <f t="shared" si="63"/>
        <v>4116000</v>
      </c>
      <c r="J63" s="680">
        <f>G63*0</f>
        <v>0</v>
      </c>
      <c r="K63" s="680">
        <f>G63*0</f>
        <v>0</v>
      </c>
      <c r="L63" s="680">
        <f t="shared" si="64"/>
        <v>0</v>
      </c>
      <c r="M63" s="680">
        <f t="shared" si="65"/>
        <v>0</v>
      </c>
      <c r="N63" s="680">
        <f t="shared" si="66"/>
        <v>0</v>
      </c>
      <c r="O63" s="680">
        <f t="shared" si="67"/>
        <v>0</v>
      </c>
      <c r="P63" s="680">
        <f t="shared" si="68"/>
        <v>0</v>
      </c>
      <c r="Q63" s="680">
        <f t="shared" si="69"/>
        <v>0</v>
      </c>
      <c r="R63" s="680">
        <v>59</v>
      </c>
      <c r="S63" s="680">
        <v>20</v>
      </c>
      <c r="T63" s="680">
        <v>19</v>
      </c>
      <c r="V63" s="680"/>
      <c r="W63" s="680">
        <f>G63*0.6</f>
        <v>3087000</v>
      </c>
      <c r="X63" s="665">
        <f>G63*0.2</f>
        <v>1029000</v>
      </c>
      <c r="Y63" s="665">
        <f>G63*0.2</f>
        <v>1029000</v>
      </c>
      <c r="Z63" s="680">
        <v>0</v>
      </c>
      <c r="AA63" s="680">
        <f>E63*Z63</f>
        <v>0</v>
      </c>
      <c r="AB63" s="680">
        <v>0</v>
      </c>
      <c r="AC63" s="680">
        <f>E63*AB63</f>
        <v>0</v>
      </c>
      <c r="AD63" s="680">
        <v>0</v>
      </c>
      <c r="AE63" s="680">
        <f>E63*AD63</f>
        <v>0</v>
      </c>
      <c r="AF63" s="680">
        <v>0</v>
      </c>
      <c r="AG63" s="680">
        <f>AF63*E63</f>
        <v>0</v>
      </c>
      <c r="AH63" s="680">
        <v>4</v>
      </c>
      <c r="AI63" s="680">
        <f>AH63*E63</f>
        <v>140000</v>
      </c>
      <c r="AJ63" s="680">
        <v>21</v>
      </c>
      <c r="AK63" s="680">
        <f>E63*AJ63</f>
        <v>735000</v>
      </c>
      <c r="AL63" s="680">
        <v>2</v>
      </c>
      <c r="AM63" s="680">
        <f>AL63*E63</f>
        <v>70000</v>
      </c>
      <c r="AN63" s="680">
        <v>25</v>
      </c>
      <c r="AO63" s="680">
        <f>AN63*35000</f>
        <v>875000</v>
      </c>
      <c r="AP63" s="680">
        <v>0</v>
      </c>
      <c r="AQ63" s="680">
        <f>AP63*E63</f>
        <v>0</v>
      </c>
      <c r="AR63" s="680">
        <v>0</v>
      </c>
      <c r="AS63" s="680">
        <f>E63*AR63</f>
        <v>0</v>
      </c>
      <c r="AT63" s="700">
        <v>0</v>
      </c>
      <c r="AU63" s="680">
        <f>E63*AT63</f>
        <v>0</v>
      </c>
      <c r="AV63" s="700">
        <v>2</v>
      </c>
      <c r="AW63" s="680">
        <f>AV63*E63</f>
        <v>70000</v>
      </c>
      <c r="AX63" s="680">
        <v>0</v>
      </c>
      <c r="AY63" s="680">
        <f>AX63*E63</f>
        <v>0</v>
      </c>
      <c r="AZ63" s="700">
        <v>0</v>
      </c>
      <c r="BA63" s="680">
        <f>E63*AZ63</f>
        <v>0</v>
      </c>
      <c r="BB63" s="680">
        <v>1</v>
      </c>
      <c r="BC63" s="680">
        <f>E63*BB63</f>
        <v>35000</v>
      </c>
      <c r="BD63" s="680">
        <v>56</v>
      </c>
      <c r="BE63" s="680">
        <f>BD63*35000</f>
        <v>1960000</v>
      </c>
      <c r="BF63" s="680">
        <v>36</v>
      </c>
      <c r="BG63" s="680">
        <f>BF63*35000</f>
        <v>1260000</v>
      </c>
      <c r="BH63" s="700"/>
      <c r="BI63" s="680"/>
      <c r="BJ63" s="700">
        <f t="shared" si="70"/>
        <v>147</v>
      </c>
      <c r="BK63" s="680">
        <f t="shared" si="70"/>
        <v>5145000</v>
      </c>
      <c r="BL63" s="701"/>
      <c r="BM63" s="701"/>
      <c r="BN63" s="701" t="s">
        <v>72</v>
      </c>
      <c r="BO63" s="702"/>
      <c r="BP63" s="703" t="s">
        <v>469</v>
      </c>
      <c r="BR63" s="704"/>
      <c r="BS63" s="704">
        <f t="shared" ref="BS63:BS68" si="72">G63</f>
        <v>5145000</v>
      </c>
      <c r="BT63" s="704"/>
      <c r="BU63" s="704"/>
      <c r="BV63" s="704">
        <f t="shared" si="71"/>
        <v>5145000</v>
      </c>
      <c r="BW63" s="704"/>
      <c r="BX63" s="704"/>
      <c r="BY63" s="704">
        <f>BW63+BX63</f>
        <v>0</v>
      </c>
      <c r="BZ63" s="705">
        <f t="shared" si="1"/>
        <v>5145000</v>
      </c>
    </row>
    <row r="64" spans="1:78" ht="32.25" customHeight="1" x14ac:dyDescent="0.25">
      <c r="A64" s="830"/>
      <c r="B64" s="221">
        <v>11630</v>
      </c>
      <c r="C64" s="169" t="s">
        <v>706</v>
      </c>
      <c r="D64" s="169" t="s">
        <v>35</v>
      </c>
      <c r="E64" s="169">
        <f>0.0075*100000</f>
        <v>750</v>
      </c>
      <c r="F64" s="220">
        <f t="shared" si="61"/>
        <v>97</v>
      </c>
      <c r="G64" s="158">
        <f>E64*F64</f>
        <v>72750</v>
      </c>
      <c r="H64" s="158">
        <f t="shared" si="62"/>
        <v>14550</v>
      </c>
      <c r="I64" s="158">
        <f t="shared" si="63"/>
        <v>58200</v>
      </c>
      <c r="J64" s="158">
        <f>G64*0</f>
        <v>0</v>
      </c>
      <c r="K64" s="158">
        <f>G64*0</f>
        <v>0</v>
      </c>
      <c r="L64" s="158">
        <f t="shared" si="64"/>
        <v>0</v>
      </c>
      <c r="M64" s="158">
        <f t="shared" si="65"/>
        <v>0</v>
      </c>
      <c r="N64" s="158">
        <f t="shared" si="66"/>
        <v>0</v>
      </c>
      <c r="O64" s="158">
        <f t="shared" si="67"/>
        <v>0</v>
      </c>
      <c r="P64" s="158">
        <f t="shared" si="68"/>
        <v>0</v>
      </c>
      <c r="Q64" s="158">
        <f t="shared" si="69"/>
        <v>0</v>
      </c>
      <c r="R64" s="158"/>
      <c r="S64" s="158">
        <f>F64*0.5</f>
        <v>48.5</v>
      </c>
      <c r="T64" s="158">
        <f>F64*0.5</f>
        <v>48.5</v>
      </c>
      <c r="U64" s="158"/>
      <c r="V64" s="158"/>
      <c r="W64" s="158">
        <f>S64*E64</f>
        <v>36375</v>
      </c>
      <c r="X64" s="158">
        <f>T64*E64</f>
        <v>36375</v>
      </c>
      <c r="Y64" s="169">
        <f>U64*E64</f>
        <v>0</v>
      </c>
      <c r="Z64" s="158">
        <v>0</v>
      </c>
      <c r="AA64" s="158">
        <f>Z64*750</f>
        <v>0</v>
      </c>
      <c r="AB64" s="158">
        <v>0</v>
      </c>
      <c r="AC64" s="158">
        <f>AB64*750</f>
        <v>0</v>
      </c>
      <c r="AD64" s="158">
        <v>0</v>
      </c>
      <c r="AE64" s="158">
        <f>AD64*750</f>
        <v>0</v>
      </c>
      <c r="AF64" s="158">
        <v>0</v>
      </c>
      <c r="AG64" s="158">
        <f>AF64*750</f>
        <v>0</v>
      </c>
      <c r="AH64" s="158">
        <v>1</v>
      </c>
      <c r="AI64" s="158">
        <f>AH64*750</f>
        <v>750</v>
      </c>
      <c r="AJ64" s="158">
        <v>0</v>
      </c>
      <c r="AK64" s="158">
        <f>AJ64*750</f>
        <v>0</v>
      </c>
      <c r="AL64" s="158">
        <v>0</v>
      </c>
      <c r="AM64" s="158">
        <f>AL64*750</f>
        <v>0</v>
      </c>
      <c r="AN64" s="158">
        <v>25</v>
      </c>
      <c r="AO64" s="158">
        <f>AN64*750</f>
        <v>18750</v>
      </c>
      <c r="AP64" s="158">
        <f>AP63*4</f>
        <v>0</v>
      </c>
      <c r="AQ64" s="158">
        <f>AP64*750</f>
        <v>0</v>
      </c>
      <c r="AR64" s="158">
        <v>0</v>
      </c>
      <c r="AS64" s="158">
        <f>AR64*750</f>
        <v>0</v>
      </c>
      <c r="AT64" s="158">
        <v>0</v>
      </c>
      <c r="AU64" s="158">
        <f>AT64*750</f>
        <v>0</v>
      </c>
      <c r="AV64" s="158">
        <v>2</v>
      </c>
      <c r="AW64" s="158">
        <f>AV64*750</f>
        <v>1500</v>
      </c>
      <c r="AX64" s="158">
        <v>0</v>
      </c>
      <c r="AY64" s="158">
        <f>AX64*750</f>
        <v>0</v>
      </c>
      <c r="AZ64" s="222">
        <v>0</v>
      </c>
      <c r="BA64" s="158">
        <f>AZ64*750</f>
        <v>0</v>
      </c>
      <c r="BB64" s="158">
        <v>13</v>
      </c>
      <c r="BC64" s="158">
        <f>BB64*750</f>
        <v>9750</v>
      </c>
      <c r="BD64" s="158">
        <v>56</v>
      </c>
      <c r="BE64" s="158">
        <f>BD64*750</f>
        <v>42000</v>
      </c>
      <c r="BF64" s="158">
        <v>0</v>
      </c>
      <c r="BG64" s="158">
        <f>BF64*E64</f>
        <v>0</v>
      </c>
      <c r="BH64" s="222">
        <f>BH63*4</f>
        <v>0</v>
      </c>
      <c r="BI64" s="158">
        <f>BH64*750</f>
        <v>0</v>
      </c>
      <c r="BJ64" s="222">
        <f t="shared" si="70"/>
        <v>97</v>
      </c>
      <c r="BK64" s="158">
        <f t="shared" si="70"/>
        <v>72750</v>
      </c>
      <c r="BL64" s="85" t="s">
        <v>591</v>
      </c>
      <c r="BM64" s="85"/>
      <c r="BN64" s="85"/>
      <c r="BO64" s="117"/>
      <c r="BP64" s="330" t="s">
        <v>469</v>
      </c>
      <c r="BR64" s="113"/>
      <c r="BS64" s="113">
        <f t="shared" si="72"/>
        <v>72750</v>
      </c>
      <c r="BT64" s="113"/>
      <c r="BU64" s="113"/>
      <c r="BV64" s="113">
        <f t="shared" si="71"/>
        <v>72750</v>
      </c>
      <c r="BW64" s="113"/>
      <c r="BX64" s="113"/>
      <c r="BY64" s="113">
        <f>BW64+BX64</f>
        <v>0</v>
      </c>
      <c r="BZ64" s="223">
        <f t="shared" si="1"/>
        <v>72750</v>
      </c>
    </row>
    <row r="65" spans="1:78" s="165" customFormat="1" ht="32.25" customHeight="1" x14ac:dyDescent="0.25">
      <c r="A65" s="830"/>
      <c r="B65" s="173">
        <v>11640</v>
      </c>
      <c r="C65" s="174" t="s">
        <v>707</v>
      </c>
      <c r="D65" s="174" t="s">
        <v>35</v>
      </c>
      <c r="E65" s="174">
        <v>375</v>
      </c>
      <c r="F65" s="175">
        <f t="shared" si="61"/>
        <v>4408</v>
      </c>
      <c r="G65" s="176">
        <f>E65*F65</f>
        <v>1653000</v>
      </c>
      <c r="H65" s="176">
        <f t="shared" si="62"/>
        <v>330600</v>
      </c>
      <c r="I65" s="176">
        <f t="shared" si="63"/>
        <v>1322400</v>
      </c>
      <c r="J65" s="176">
        <f>G65*0</f>
        <v>0</v>
      </c>
      <c r="K65" s="176">
        <f>G65*0</f>
        <v>0</v>
      </c>
      <c r="L65" s="176">
        <f t="shared" si="64"/>
        <v>0</v>
      </c>
      <c r="M65" s="176">
        <f t="shared" si="65"/>
        <v>0</v>
      </c>
      <c r="N65" s="176">
        <f t="shared" si="66"/>
        <v>0</v>
      </c>
      <c r="O65" s="176">
        <f t="shared" si="67"/>
        <v>0</v>
      </c>
      <c r="P65" s="176">
        <f t="shared" si="68"/>
        <v>0</v>
      </c>
      <c r="Q65" s="176">
        <f t="shared" si="69"/>
        <v>0</v>
      </c>
      <c r="R65" s="176"/>
      <c r="S65" s="99"/>
      <c r="T65" s="176">
        <f>F65*0.5</f>
        <v>2204</v>
      </c>
      <c r="U65" s="176">
        <f>F65*0.5</f>
        <v>2204</v>
      </c>
      <c r="V65" s="176"/>
      <c r="W65" s="176"/>
      <c r="X65" s="176">
        <f>T65*E65</f>
        <v>826500</v>
      </c>
      <c r="Y65" s="174">
        <f>U65*E65</f>
        <v>826500</v>
      </c>
      <c r="Z65" s="176">
        <f>Z73*4</f>
        <v>192</v>
      </c>
      <c r="AA65" s="176">
        <f>Z65*375</f>
        <v>72000</v>
      </c>
      <c r="AB65" s="176">
        <f>23*4</f>
        <v>92</v>
      </c>
      <c r="AC65" s="176">
        <f>AB65*375</f>
        <v>34500</v>
      </c>
      <c r="AD65" s="176">
        <f>80*4</f>
        <v>320</v>
      </c>
      <c r="AE65" s="176">
        <f>AD65*375</f>
        <v>120000</v>
      </c>
      <c r="AF65" s="176">
        <f>105*4</f>
        <v>420</v>
      </c>
      <c r="AG65" s="176">
        <f>AF65*375</f>
        <v>157500</v>
      </c>
      <c r="AH65" s="176">
        <f>43*4</f>
        <v>172</v>
      </c>
      <c r="AI65" s="176">
        <f>AH65*375</f>
        <v>64500</v>
      </c>
      <c r="AJ65" s="176">
        <f>75*4</f>
        <v>300</v>
      </c>
      <c r="AK65" s="176">
        <f>AJ65*375</f>
        <v>112500</v>
      </c>
      <c r="AL65" s="176">
        <f>41*4</f>
        <v>164</v>
      </c>
      <c r="AM65" s="176">
        <f>AL65*375</f>
        <v>61500</v>
      </c>
      <c r="AN65" s="176">
        <v>400</v>
      </c>
      <c r="AO65" s="176">
        <f>AN65*375</f>
        <v>150000</v>
      </c>
      <c r="AP65" s="176">
        <f>8*4</f>
        <v>32</v>
      </c>
      <c r="AQ65" s="176">
        <f>AP65*375</f>
        <v>12000</v>
      </c>
      <c r="AR65" s="176">
        <f>33*4</f>
        <v>132</v>
      </c>
      <c r="AS65" s="176">
        <f>AR65*375</f>
        <v>49500</v>
      </c>
      <c r="AT65" s="176">
        <f>53*4</f>
        <v>212</v>
      </c>
      <c r="AU65" s="176">
        <f>AT65*375</f>
        <v>79500</v>
      </c>
      <c r="AV65" s="176">
        <f>52*4</f>
        <v>208</v>
      </c>
      <c r="AW65" s="176">
        <f>AV65*375</f>
        <v>78000</v>
      </c>
      <c r="AX65" s="176">
        <f>76*4</f>
        <v>304</v>
      </c>
      <c r="AY65" s="176">
        <f>AX65*375</f>
        <v>114000</v>
      </c>
      <c r="AZ65" s="177">
        <f>82*4</f>
        <v>328</v>
      </c>
      <c r="BA65" s="176">
        <f>AZ65*375</f>
        <v>123000</v>
      </c>
      <c r="BB65" s="176">
        <f>92*4</f>
        <v>368</v>
      </c>
      <c r="BC65" s="176">
        <f>BB65*375</f>
        <v>138000</v>
      </c>
      <c r="BD65" s="176">
        <f>137*4</f>
        <v>548</v>
      </c>
      <c r="BE65" s="176">
        <f>BD65*375</f>
        <v>205500</v>
      </c>
      <c r="BF65" s="176">
        <f>54*4</f>
        <v>216</v>
      </c>
      <c r="BG65" s="176">
        <f>BF65*375</f>
        <v>81000</v>
      </c>
      <c r="BH65" s="177">
        <f>BH63*2</f>
        <v>0</v>
      </c>
      <c r="BI65" s="176">
        <f>BH65*750</f>
        <v>0</v>
      </c>
      <c r="BJ65" s="222">
        <f t="shared" si="70"/>
        <v>4408</v>
      </c>
      <c r="BK65" s="158">
        <f t="shared" si="70"/>
        <v>1653000</v>
      </c>
      <c r="BL65" s="134" t="s">
        <v>592</v>
      </c>
      <c r="BM65" s="134"/>
      <c r="BN65" s="134"/>
      <c r="BO65" s="331"/>
      <c r="BP65" s="329" t="s">
        <v>469</v>
      </c>
      <c r="BR65" s="178"/>
      <c r="BS65" s="178">
        <f t="shared" si="72"/>
        <v>1653000</v>
      </c>
      <c r="BT65" s="178"/>
      <c r="BU65" s="178"/>
      <c r="BV65" s="178">
        <f t="shared" si="71"/>
        <v>1653000</v>
      </c>
      <c r="BW65" s="178"/>
      <c r="BX65" s="178"/>
      <c r="BY65" s="178">
        <f>BW65+BX65</f>
        <v>0</v>
      </c>
      <c r="BZ65" s="179">
        <f t="shared" si="1"/>
        <v>1653000</v>
      </c>
    </row>
    <row r="66" spans="1:78" s="165" customFormat="1" ht="32.25" customHeight="1" x14ac:dyDescent="0.25">
      <c r="A66" s="830"/>
      <c r="B66" s="173">
        <v>11650</v>
      </c>
      <c r="C66" s="169" t="s">
        <v>708</v>
      </c>
      <c r="D66" s="174" t="s">
        <v>35</v>
      </c>
      <c r="E66" s="174">
        <f>0.0075*100000</f>
        <v>750</v>
      </c>
      <c r="F66" s="175">
        <f t="shared" si="61"/>
        <v>2204</v>
      </c>
      <c r="G66" s="176">
        <f>E66*F66</f>
        <v>1653000</v>
      </c>
      <c r="H66" s="176">
        <f t="shared" si="62"/>
        <v>330600</v>
      </c>
      <c r="I66" s="176">
        <f t="shared" si="63"/>
        <v>1322400</v>
      </c>
      <c r="J66" s="599">
        <f>G66*0</f>
        <v>0</v>
      </c>
      <c r="K66" s="599">
        <f>G66*0</f>
        <v>0</v>
      </c>
      <c r="L66" s="176">
        <f t="shared" si="64"/>
        <v>0</v>
      </c>
      <c r="M66" s="599">
        <f t="shared" si="65"/>
        <v>0</v>
      </c>
      <c r="N66" s="599">
        <f t="shared" si="66"/>
        <v>0</v>
      </c>
      <c r="O66" s="176">
        <f t="shared" si="67"/>
        <v>0</v>
      </c>
      <c r="P66" s="176">
        <f t="shared" si="68"/>
        <v>0</v>
      </c>
      <c r="Q66" s="176">
        <f t="shared" si="69"/>
        <v>0</v>
      </c>
      <c r="R66" s="176">
        <f>F66*0.5</f>
        <v>1102</v>
      </c>
      <c r="S66" s="176">
        <f>F66*0.5</f>
        <v>1102</v>
      </c>
      <c r="T66" s="136"/>
      <c r="V66" s="599"/>
      <c r="W66" s="599"/>
      <c r="X66" s="176">
        <f>R66*E66</f>
        <v>826500</v>
      </c>
      <c r="Y66" s="174">
        <f>S66*E66</f>
        <v>826500</v>
      </c>
      <c r="Z66" s="176">
        <f>Z74*2</f>
        <v>96</v>
      </c>
      <c r="AA66" s="176">
        <f>Z66*750</f>
        <v>72000</v>
      </c>
      <c r="AB66" s="176">
        <f>23*2</f>
        <v>46</v>
      </c>
      <c r="AC66" s="176">
        <f>AB66*750</f>
        <v>34500</v>
      </c>
      <c r="AD66" s="176">
        <f>80*2</f>
        <v>160</v>
      </c>
      <c r="AE66" s="176">
        <f>AD66*750</f>
        <v>120000</v>
      </c>
      <c r="AF66" s="176">
        <f>105*2</f>
        <v>210</v>
      </c>
      <c r="AG66" s="176">
        <f>AF66*750</f>
        <v>157500</v>
      </c>
      <c r="AH66" s="176">
        <f>43*2</f>
        <v>86</v>
      </c>
      <c r="AI66" s="176">
        <f>AH66*750</f>
        <v>64500</v>
      </c>
      <c r="AJ66" s="176">
        <f>75*2</f>
        <v>150</v>
      </c>
      <c r="AK66" s="176">
        <f>AJ66*750</f>
        <v>112500</v>
      </c>
      <c r="AL66" s="176">
        <f>41*2</f>
        <v>82</v>
      </c>
      <c r="AM66" s="176">
        <f>AL66*750</f>
        <v>61500</v>
      </c>
      <c r="AN66" s="176">
        <v>200</v>
      </c>
      <c r="AO66" s="176">
        <f>AN66*750</f>
        <v>150000</v>
      </c>
      <c r="AP66" s="176">
        <f>8*2</f>
        <v>16</v>
      </c>
      <c r="AQ66" s="176">
        <f>AP66*750</f>
        <v>12000</v>
      </c>
      <c r="AR66" s="176">
        <f>33*2</f>
        <v>66</v>
      </c>
      <c r="AS66" s="176">
        <f>AR66*750</f>
        <v>49500</v>
      </c>
      <c r="AT66" s="176">
        <f>53*2</f>
        <v>106</v>
      </c>
      <c r="AU66" s="176">
        <f>AT66*750</f>
        <v>79500</v>
      </c>
      <c r="AV66" s="176">
        <f>52*2</f>
        <v>104</v>
      </c>
      <c r="AW66" s="176">
        <f>AV66*750</f>
        <v>78000</v>
      </c>
      <c r="AX66" s="176">
        <f>76*2</f>
        <v>152</v>
      </c>
      <c r="AY66" s="176">
        <f>AX66*750</f>
        <v>114000</v>
      </c>
      <c r="AZ66" s="177">
        <f>82*2</f>
        <v>164</v>
      </c>
      <c r="BA66" s="176">
        <f>AZ66*750</f>
        <v>123000</v>
      </c>
      <c r="BB66" s="176">
        <f>92*2</f>
        <v>184</v>
      </c>
      <c r="BC66" s="176">
        <f>BB66*750</f>
        <v>138000</v>
      </c>
      <c r="BD66" s="176">
        <f>137*2</f>
        <v>274</v>
      </c>
      <c r="BE66" s="176">
        <f>BD66*750</f>
        <v>205500</v>
      </c>
      <c r="BF66" s="176">
        <f>54*2</f>
        <v>108</v>
      </c>
      <c r="BG66" s="176">
        <f>BF66*750</f>
        <v>81000</v>
      </c>
      <c r="BH66" s="177">
        <f>BH64*2</f>
        <v>0</v>
      </c>
      <c r="BI66" s="176">
        <f>BH66*750</f>
        <v>0</v>
      </c>
      <c r="BJ66" s="222">
        <f t="shared" si="70"/>
        <v>2204</v>
      </c>
      <c r="BK66" s="158">
        <f t="shared" si="70"/>
        <v>1653000</v>
      </c>
      <c r="BL66" s="134"/>
      <c r="BM66" s="134"/>
      <c r="BN66" s="134"/>
      <c r="BO66" s="331"/>
      <c r="BP66" s="329" t="s">
        <v>469</v>
      </c>
      <c r="BR66" s="178"/>
      <c r="BS66" s="178">
        <f t="shared" si="72"/>
        <v>1653000</v>
      </c>
      <c r="BT66" s="178"/>
      <c r="BU66" s="178"/>
      <c r="BV66" s="178">
        <f t="shared" si="71"/>
        <v>1653000</v>
      </c>
      <c r="BW66" s="178"/>
      <c r="BX66" s="178"/>
      <c r="BY66" s="178">
        <f>BW66+BX66</f>
        <v>0</v>
      </c>
      <c r="BZ66" s="179">
        <f t="shared" si="1"/>
        <v>1653000</v>
      </c>
    </row>
    <row r="67" spans="1:78" s="165" customFormat="1" ht="32.25" customHeight="1" x14ac:dyDescent="0.25">
      <c r="A67" s="830"/>
      <c r="B67" s="173"/>
      <c r="C67" s="169" t="s">
        <v>755</v>
      </c>
      <c r="D67" s="174" t="s">
        <v>778</v>
      </c>
      <c r="E67" s="174">
        <v>5000</v>
      </c>
      <c r="F67" s="175">
        <f t="shared" si="61"/>
        <v>2014</v>
      </c>
      <c r="G67" s="176">
        <f>E67*F67</f>
        <v>10070000</v>
      </c>
      <c r="H67" s="176">
        <f t="shared" si="62"/>
        <v>2014000</v>
      </c>
      <c r="I67" s="176">
        <f t="shared" si="63"/>
        <v>8056000</v>
      </c>
      <c r="J67" s="599"/>
      <c r="K67" s="599"/>
      <c r="L67" s="176">
        <f t="shared" si="64"/>
        <v>0</v>
      </c>
      <c r="M67" s="599">
        <f t="shared" si="65"/>
        <v>0</v>
      </c>
      <c r="N67" s="599">
        <f t="shared" si="66"/>
        <v>0</v>
      </c>
      <c r="O67" s="176">
        <f t="shared" si="67"/>
        <v>0</v>
      </c>
      <c r="P67" s="176">
        <f t="shared" si="68"/>
        <v>0</v>
      </c>
      <c r="Q67" s="176">
        <f t="shared" si="69"/>
        <v>0</v>
      </c>
      <c r="R67" s="176"/>
      <c r="S67" s="176">
        <v>1008</v>
      </c>
      <c r="T67" s="176"/>
      <c r="U67" s="176">
        <v>1008</v>
      </c>
      <c r="V67" s="599"/>
      <c r="W67" s="176">
        <f>S67*E67</f>
        <v>5040000</v>
      </c>
      <c r="X67" s="176"/>
      <c r="Y67" s="174">
        <f>U67*E67</f>
        <v>5040000</v>
      </c>
      <c r="Z67" s="176">
        <v>96</v>
      </c>
      <c r="AA67" s="176">
        <f>Z67*E67</f>
        <v>480000</v>
      </c>
      <c r="AB67" s="176">
        <v>46</v>
      </c>
      <c r="AC67" s="176">
        <f>AB67*E67</f>
        <v>230000</v>
      </c>
      <c r="AD67" s="176">
        <v>116</v>
      </c>
      <c r="AE67" s="176">
        <f>AD67*E67</f>
        <v>580000</v>
      </c>
      <c r="AF67" s="176">
        <v>178</v>
      </c>
      <c r="AG67" s="176">
        <f>AF67*E67</f>
        <v>890000</v>
      </c>
      <c r="AH67" s="176">
        <v>68</v>
      </c>
      <c r="AI67" s="176">
        <f>AH67*E67</f>
        <v>340000</v>
      </c>
      <c r="AJ67" s="176">
        <v>142</v>
      </c>
      <c r="AK67" s="176">
        <f>AJ67*E67</f>
        <v>710000</v>
      </c>
      <c r="AL67" s="176">
        <v>68</v>
      </c>
      <c r="AM67" s="176">
        <f>AL67*E67</f>
        <v>340000</v>
      </c>
      <c r="AN67" s="176">
        <v>200</v>
      </c>
      <c r="AO67" s="176">
        <f>AN67*E67</f>
        <v>1000000</v>
      </c>
      <c r="AP67" s="176">
        <v>16</v>
      </c>
      <c r="AQ67" s="176">
        <f>AP67*E67</f>
        <v>80000</v>
      </c>
      <c r="AR67" s="176">
        <v>64</v>
      </c>
      <c r="AS67" s="176">
        <f>AR67*E67</f>
        <v>320000</v>
      </c>
      <c r="AT67" s="176">
        <v>100</v>
      </c>
      <c r="AU67" s="176">
        <f>AT67*E67</f>
        <v>500000</v>
      </c>
      <c r="AV67" s="176">
        <v>100</v>
      </c>
      <c r="AW67" s="176">
        <f>AV67*E67</f>
        <v>500000</v>
      </c>
      <c r="AX67" s="176">
        <v>144</v>
      </c>
      <c r="AY67" s="176">
        <f>AX67*E67</f>
        <v>720000</v>
      </c>
      <c r="AZ67" s="177">
        <v>150</v>
      </c>
      <c r="BA67" s="176">
        <f>AZ67*E67</f>
        <v>750000</v>
      </c>
      <c r="BB67" s="176">
        <v>144</v>
      </c>
      <c r="BC67" s="176">
        <f>BB67*E67</f>
        <v>720000</v>
      </c>
      <c r="BD67" s="176">
        <v>274</v>
      </c>
      <c r="BE67" s="176">
        <f>BD67*E67</f>
        <v>1370000</v>
      </c>
      <c r="BF67" s="176">
        <v>108</v>
      </c>
      <c r="BG67" s="176">
        <f>BF67*E67</f>
        <v>540000</v>
      </c>
      <c r="BH67" s="177">
        <v>0</v>
      </c>
      <c r="BI67" s="176"/>
      <c r="BJ67" s="222">
        <f t="shared" si="70"/>
        <v>2014</v>
      </c>
      <c r="BK67" s="158">
        <f t="shared" si="70"/>
        <v>10070000</v>
      </c>
      <c r="BL67" s="134"/>
      <c r="BM67" s="134"/>
      <c r="BN67" s="134"/>
      <c r="BO67" s="331"/>
      <c r="BP67" s="329" t="s">
        <v>469</v>
      </c>
      <c r="BR67" s="178"/>
      <c r="BS67" s="178">
        <f t="shared" si="72"/>
        <v>10070000</v>
      </c>
      <c r="BT67" s="178"/>
      <c r="BU67" s="178"/>
      <c r="BV67" s="178">
        <f t="shared" si="71"/>
        <v>10070000</v>
      </c>
      <c r="BW67" s="178"/>
      <c r="BX67" s="178"/>
      <c r="BY67" s="178"/>
      <c r="BZ67" s="179">
        <f t="shared" si="1"/>
        <v>10070000</v>
      </c>
    </row>
    <row r="68" spans="1:78" s="165" customFormat="1" ht="32.25" customHeight="1" x14ac:dyDescent="0.25">
      <c r="A68" s="830"/>
      <c r="B68" s="173"/>
      <c r="C68" s="169" t="s">
        <v>842</v>
      </c>
      <c r="D68" s="174" t="s">
        <v>843</v>
      </c>
      <c r="E68" s="174">
        <v>750</v>
      </c>
      <c r="F68" s="175">
        <f>1008*3*5</f>
        <v>15120</v>
      </c>
      <c r="G68" s="176">
        <f>E68*F68</f>
        <v>11340000</v>
      </c>
      <c r="H68" s="176">
        <f t="shared" si="62"/>
        <v>2268000</v>
      </c>
      <c r="I68" s="176">
        <f>G68*0.8</f>
        <v>9072000</v>
      </c>
      <c r="J68" s="599"/>
      <c r="K68" s="599"/>
      <c r="L68" s="176"/>
      <c r="M68" s="599"/>
      <c r="N68" s="599"/>
      <c r="O68" s="176"/>
      <c r="P68" s="176"/>
      <c r="Q68" s="176"/>
      <c r="R68" s="176">
        <f>F68/4</f>
        <v>3780</v>
      </c>
      <c r="S68" s="176">
        <v>3780</v>
      </c>
      <c r="T68" s="176">
        <v>3780</v>
      </c>
      <c r="U68" s="176">
        <v>3780</v>
      </c>
      <c r="V68" s="176">
        <f>R68*E68</f>
        <v>2835000</v>
      </c>
      <c r="W68" s="176">
        <f>S68*E68</f>
        <v>2835000</v>
      </c>
      <c r="X68" s="176">
        <f>T68*E68</f>
        <v>2835000</v>
      </c>
      <c r="Y68" s="174">
        <f>U68*E68</f>
        <v>2835000</v>
      </c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7"/>
      <c r="BA68" s="176"/>
      <c r="BB68" s="176"/>
      <c r="BC68" s="176"/>
      <c r="BD68" s="176"/>
      <c r="BE68" s="176"/>
      <c r="BF68" s="176"/>
      <c r="BG68" s="176"/>
      <c r="BH68" s="177">
        <v>15120</v>
      </c>
      <c r="BI68" s="176">
        <f>BH68*E68</f>
        <v>11340000</v>
      </c>
      <c r="BJ68" s="222">
        <f t="shared" si="70"/>
        <v>15120</v>
      </c>
      <c r="BK68" s="158">
        <f t="shared" si="70"/>
        <v>11340000</v>
      </c>
      <c r="BL68" s="134"/>
      <c r="BM68" s="134"/>
      <c r="BN68" s="134"/>
      <c r="BO68" s="331"/>
      <c r="BP68" s="329" t="s">
        <v>469</v>
      </c>
      <c r="BR68" s="178"/>
      <c r="BS68" s="178">
        <f t="shared" si="72"/>
        <v>11340000</v>
      </c>
      <c r="BT68" s="178"/>
      <c r="BU68" s="178"/>
      <c r="BV68" s="178">
        <f t="shared" si="71"/>
        <v>11340000</v>
      </c>
      <c r="BW68" s="178"/>
      <c r="BX68" s="178"/>
      <c r="BY68" s="178"/>
      <c r="BZ68" s="179">
        <f t="shared" si="1"/>
        <v>11340000</v>
      </c>
    </row>
    <row r="69" spans="1:78" s="595" customFormat="1" ht="32.25" customHeight="1" x14ac:dyDescent="0.25">
      <c r="A69" s="830"/>
      <c r="B69" s="62"/>
      <c r="C69" s="140" t="s">
        <v>36</v>
      </c>
      <c r="D69" s="140"/>
      <c r="E69" s="172"/>
      <c r="F69" s="591">
        <f>SUM(F62:F68)</f>
        <v>36218</v>
      </c>
      <c r="G69" s="591">
        <f t="shared" ref="G69:BK69" si="73">SUM(G62:G68)</f>
        <v>48275750</v>
      </c>
      <c r="H69" s="591">
        <f t="shared" si="73"/>
        <v>9655150</v>
      </c>
      <c r="I69" s="591">
        <f t="shared" si="73"/>
        <v>38620600</v>
      </c>
      <c r="J69" s="591">
        <f t="shared" si="73"/>
        <v>0</v>
      </c>
      <c r="K69" s="591">
        <f t="shared" si="73"/>
        <v>0</v>
      </c>
      <c r="L69" s="591">
        <f t="shared" si="73"/>
        <v>0</v>
      </c>
      <c r="M69" s="591">
        <f t="shared" si="73"/>
        <v>0</v>
      </c>
      <c r="N69" s="591">
        <f t="shared" si="73"/>
        <v>0</v>
      </c>
      <c r="O69" s="591">
        <f t="shared" si="73"/>
        <v>0</v>
      </c>
      <c r="P69" s="591">
        <f t="shared" si="73"/>
        <v>0</v>
      </c>
      <c r="Q69" s="591">
        <f t="shared" si="73"/>
        <v>0</v>
      </c>
      <c r="R69" s="591">
        <f t="shared" si="73"/>
        <v>7998</v>
      </c>
      <c r="S69" s="591">
        <f t="shared" si="73"/>
        <v>9015.5</v>
      </c>
      <c r="T69" s="591">
        <f t="shared" si="73"/>
        <v>9108.5</v>
      </c>
      <c r="U69" s="591">
        <f t="shared" si="73"/>
        <v>10049</v>
      </c>
      <c r="V69" s="591">
        <f t="shared" si="73"/>
        <v>7420500</v>
      </c>
      <c r="W69" s="591">
        <f t="shared" si="73"/>
        <v>15583875</v>
      </c>
      <c r="X69" s="591">
        <f t="shared" si="73"/>
        <v>10138875</v>
      </c>
      <c r="Y69" s="591">
        <f t="shared" si="73"/>
        <v>15142500</v>
      </c>
      <c r="Z69" s="591">
        <f t="shared" si="73"/>
        <v>960</v>
      </c>
      <c r="AA69" s="591">
        <f t="shared" si="73"/>
        <v>1488000</v>
      </c>
      <c r="AB69" s="591">
        <f t="shared" si="73"/>
        <v>460</v>
      </c>
      <c r="AC69" s="591">
        <f t="shared" si="73"/>
        <v>713000</v>
      </c>
      <c r="AD69" s="591">
        <f t="shared" si="73"/>
        <v>1292</v>
      </c>
      <c r="AE69" s="591">
        <f t="shared" si="73"/>
        <v>1864000</v>
      </c>
      <c r="AF69" s="591">
        <f t="shared" si="73"/>
        <v>1876</v>
      </c>
      <c r="AG69" s="591">
        <f t="shared" si="73"/>
        <v>2807000</v>
      </c>
      <c r="AH69" s="591">
        <f t="shared" si="73"/>
        <v>787</v>
      </c>
      <c r="AI69" s="591">
        <f t="shared" si="73"/>
        <v>1293750</v>
      </c>
      <c r="AJ69" s="591">
        <f t="shared" si="73"/>
        <v>1465</v>
      </c>
      <c r="AK69" s="591">
        <f t="shared" si="73"/>
        <v>2948000</v>
      </c>
      <c r="AL69" s="591">
        <f t="shared" si="73"/>
        <v>772</v>
      </c>
      <c r="AM69" s="591">
        <f t="shared" si="73"/>
        <v>1217000</v>
      </c>
      <c r="AN69" s="591">
        <f t="shared" si="73"/>
        <v>2050</v>
      </c>
      <c r="AO69" s="591">
        <f t="shared" si="73"/>
        <v>3993750</v>
      </c>
      <c r="AP69" s="591">
        <f t="shared" si="73"/>
        <v>160</v>
      </c>
      <c r="AQ69" s="591">
        <f t="shared" si="73"/>
        <v>248000</v>
      </c>
      <c r="AR69" s="591">
        <f t="shared" si="73"/>
        <v>646</v>
      </c>
      <c r="AS69" s="591">
        <f t="shared" si="73"/>
        <v>995000</v>
      </c>
      <c r="AT69" s="591">
        <f t="shared" si="73"/>
        <v>1018</v>
      </c>
      <c r="AU69" s="591">
        <f t="shared" si="73"/>
        <v>1559000</v>
      </c>
      <c r="AV69" s="591">
        <f t="shared" si="73"/>
        <v>1016</v>
      </c>
      <c r="AW69" s="591">
        <f t="shared" si="73"/>
        <v>1627500</v>
      </c>
      <c r="AX69" s="591">
        <f t="shared" si="73"/>
        <v>1464</v>
      </c>
      <c r="AY69" s="591">
        <f t="shared" si="73"/>
        <v>2244000</v>
      </c>
      <c r="AZ69" s="591">
        <f t="shared" si="73"/>
        <v>1578</v>
      </c>
      <c r="BA69" s="591">
        <f t="shared" si="73"/>
        <v>2400000</v>
      </c>
      <c r="BB69" s="591">
        <f t="shared" si="73"/>
        <v>1586</v>
      </c>
      <c r="BC69" s="591">
        <f t="shared" si="73"/>
        <v>2354750</v>
      </c>
      <c r="BD69" s="591">
        <f t="shared" si="73"/>
        <v>2852</v>
      </c>
      <c r="BE69" s="591">
        <f t="shared" si="73"/>
        <v>6249000</v>
      </c>
      <c r="BF69" s="591">
        <f t="shared" si="73"/>
        <v>1116</v>
      </c>
      <c r="BG69" s="591">
        <f t="shared" si="73"/>
        <v>2934000</v>
      </c>
      <c r="BH69" s="591">
        <f t="shared" si="73"/>
        <v>15120</v>
      </c>
      <c r="BI69" s="591">
        <f t="shared" si="73"/>
        <v>11340000</v>
      </c>
      <c r="BJ69" s="591">
        <f t="shared" si="73"/>
        <v>36218</v>
      </c>
      <c r="BK69" s="591">
        <f t="shared" si="73"/>
        <v>48275750</v>
      </c>
      <c r="BL69" s="140"/>
      <c r="BM69" s="592"/>
      <c r="BN69" s="140"/>
      <c r="BO69" s="593"/>
      <c r="BP69" s="352"/>
      <c r="BR69" s="582">
        <f t="shared" ref="BR69:BY69" si="74">SUM(BR62:BR66)</f>
        <v>0</v>
      </c>
      <c r="BS69" s="582">
        <f>SUM(BS63:BS68)</f>
        <v>29933750</v>
      </c>
      <c r="BT69" s="582">
        <f>SUM(BT63:BT68)</f>
        <v>0</v>
      </c>
      <c r="BU69" s="582">
        <f>SUM(BU63:BU68)</f>
        <v>0</v>
      </c>
      <c r="BV69" s="582">
        <f>SUM(BV63:BV68)</f>
        <v>29933750</v>
      </c>
      <c r="BW69" s="582">
        <f t="shared" si="74"/>
        <v>0</v>
      </c>
      <c r="BX69" s="582">
        <f t="shared" si="74"/>
        <v>18342000</v>
      </c>
      <c r="BY69" s="582">
        <f t="shared" si="74"/>
        <v>18342000</v>
      </c>
      <c r="BZ69" s="582">
        <f>SUM(BZ62:BZ68)</f>
        <v>48275750</v>
      </c>
    </row>
    <row r="70" spans="1:78" ht="32.25" customHeight="1" x14ac:dyDescent="0.25">
      <c r="A70" s="830"/>
      <c r="B70" s="221">
        <v>11700</v>
      </c>
      <c r="C70" s="169" t="s">
        <v>97</v>
      </c>
      <c r="D70" s="169" t="s">
        <v>35</v>
      </c>
      <c r="E70" s="169">
        <f>2*100000</f>
        <v>200000</v>
      </c>
      <c r="F70" s="664">
        <f>BJ70</f>
        <v>112</v>
      </c>
      <c r="G70" s="158">
        <f>E70*F70</f>
        <v>22400000</v>
      </c>
      <c r="H70" s="158">
        <f>G70*0</f>
        <v>0</v>
      </c>
      <c r="I70" s="158">
        <f>G70*1</f>
        <v>22400000</v>
      </c>
      <c r="J70" s="158">
        <f>G70*0</f>
        <v>0</v>
      </c>
      <c r="K70" s="158">
        <f>G70*0</f>
        <v>0</v>
      </c>
      <c r="L70" s="158">
        <f>G70*0</f>
        <v>0</v>
      </c>
      <c r="M70" s="158">
        <f>G70*0</f>
        <v>0</v>
      </c>
      <c r="N70" s="158">
        <f>G70*0</f>
        <v>0</v>
      </c>
      <c r="O70" s="158">
        <f>G70*0</f>
        <v>0</v>
      </c>
      <c r="P70" s="158">
        <f>G70*0</f>
        <v>0</v>
      </c>
      <c r="Q70" s="158">
        <f>G70*0</f>
        <v>0</v>
      </c>
      <c r="R70" s="158"/>
      <c r="S70" s="158">
        <f>F70*0.5</f>
        <v>56</v>
      </c>
      <c r="T70" s="158">
        <f>F70*0.5</f>
        <v>56</v>
      </c>
      <c r="U70" s="158">
        <v>0</v>
      </c>
      <c r="V70" s="158"/>
      <c r="W70" s="158">
        <f>S70*E70</f>
        <v>11200000</v>
      </c>
      <c r="X70" s="169">
        <f>T70*E70</f>
        <v>11200000</v>
      </c>
      <c r="Y70" s="169"/>
      <c r="Z70" s="158">
        <v>0</v>
      </c>
      <c r="AA70" s="158">
        <f>(Z70*200000)</f>
        <v>0</v>
      </c>
      <c r="AB70" s="158">
        <v>0</v>
      </c>
      <c r="AC70" s="158">
        <f>(AB70*200000)</f>
        <v>0</v>
      </c>
      <c r="AD70" s="158">
        <v>0</v>
      </c>
      <c r="AE70" s="158">
        <f>(AD70*200000)</f>
        <v>0</v>
      </c>
      <c r="AF70" s="158">
        <v>0</v>
      </c>
      <c r="AG70" s="158">
        <f>(AF70*200000)</f>
        <v>0</v>
      </c>
      <c r="AH70" s="158">
        <v>4</v>
      </c>
      <c r="AI70" s="158">
        <f>(AH70*200000)</f>
        <v>800000</v>
      </c>
      <c r="AJ70" s="158">
        <v>0</v>
      </c>
      <c r="AK70" s="158">
        <f>(AJ70*200000)</f>
        <v>0</v>
      </c>
      <c r="AL70" s="158">
        <v>3</v>
      </c>
      <c r="AM70" s="158">
        <f>(AL70*200000)</f>
        <v>600000</v>
      </c>
      <c r="AN70" s="158">
        <v>26</v>
      </c>
      <c r="AO70" s="158">
        <f>(AN70*200000)</f>
        <v>5200000</v>
      </c>
      <c r="AP70" s="158">
        <v>0</v>
      </c>
      <c r="AQ70" s="158"/>
      <c r="AR70" s="158">
        <v>0</v>
      </c>
      <c r="AS70" s="158">
        <f>(AR70*200000)</f>
        <v>0</v>
      </c>
      <c r="AT70" s="158">
        <v>2</v>
      </c>
      <c r="AU70" s="158">
        <f>(AT70*200000)</f>
        <v>400000</v>
      </c>
      <c r="AV70" s="158">
        <v>2</v>
      </c>
      <c r="AW70" s="158">
        <f>(AV70*200000)</f>
        <v>400000</v>
      </c>
      <c r="AX70" s="158">
        <v>1</v>
      </c>
      <c r="AY70" s="158">
        <f>(AX70*200000)</f>
        <v>200000</v>
      </c>
      <c r="AZ70" s="158">
        <v>0</v>
      </c>
      <c r="BA70" s="158">
        <f>(AZ70*200000)</f>
        <v>0</v>
      </c>
      <c r="BB70" s="158">
        <v>18</v>
      </c>
      <c r="BC70" s="158">
        <f>(BB70*200000)</f>
        <v>3600000</v>
      </c>
      <c r="BD70" s="158">
        <v>56</v>
      </c>
      <c r="BE70" s="158">
        <f>(BD70*200000)</f>
        <v>11200000</v>
      </c>
      <c r="BF70" s="158">
        <v>0</v>
      </c>
      <c r="BG70" s="158">
        <f>(BF70*200000)</f>
        <v>0</v>
      </c>
      <c r="BH70" s="222">
        <v>0</v>
      </c>
      <c r="BI70" s="158">
        <v>0</v>
      </c>
      <c r="BJ70" s="222">
        <f>Z70+AB70+AD70+AF70+AH70+AJ70+AL70+AN70+AP70+AR70+AT70+AV70+AX70+AZ70+BB70+BD70+BF70+BH70</f>
        <v>112</v>
      </c>
      <c r="BK70" s="158">
        <f>AA70+AC70+AE70+AG70+AI70+AK70+AM70+AO70+AQ70+AS70+AU70+AW70+AY70+BA70+BC70+BE70+BG70+BI70</f>
        <v>22400000</v>
      </c>
      <c r="BL70" s="85"/>
      <c r="BM70" s="85" t="s">
        <v>72</v>
      </c>
      <c r="BN70" s="85" t="s">
        <v>745</v>
      </c>
      <c r="BO70" s="117"/>
      <c r="BP70" s="330" t="s">
        <v>471</v>
      </c>
      <c r="BR70" s="113">
        <f>G70</f>
        <v>22400000</v>
      </c>
      <c r="BS70" s="113"/>
      <c r="BT70" s="113"/>
      <c r="BU70" s="113"/>
      <c r="BV70" s="113">
        <f>BR70+BS70+BT70+BU70</f>
        <v>22400000</v>
      </c>
      <c r="BW70" s="113"/>
      <c r="BX70" s="113"/>
      <c r="BY70" s="113">
        <f>BW70+BX70</f>
        <v>0</v>
      </c>
      <c r="BZ70" s="223">
        <f t="shared" si="1"/>
        <v>22400000</v>
      </c>
    </row>
    <row r="71" spans="1:78" s="595" customFormat="1" ht="32.25" customHeight="1" x14ac:dyDescent="0.25">
      <c r="A71" s="830"/>
      <c r="B71" s="62"/>
      <c r="C71" s="140" t="s">
        <v>36</v>
      </c>
      <c r="D71" s="140"/>
      <c r="E71" s="172"/>
      <c r="F71" s="591">
        <f>SUM(F70)</f>
        <v>112</v>
      </c>
      <c r="G71" s="172">
        <f>SUM(G70)</f>
        <v>22400000</v>
      </c>
      <c r="H71" s="172">
        <f t="shared" ref="H71:Q71" si="75">SUM(H70)</f>
        <v>0</v>
      </c>
      <c r="I71" s="172">
        <f t="shared" si="75"/>
        <v>22400000</v>
      </c>
      <c r="J71" s="172">
        <f t="shared" si="75"/>
        <v>0</v>
      </c>
      <c r="K71" s="172">
        <f t="shared" si="75"/>
        <v>0</v>
      </c>
      <c r="L71" s="172">
        <f t="shared" si="75"/>
        <v>0</v>
      </c>
      <c r="M71" s="172">
        <f t="shared" si="75"/>
        <v>0</v>
      </c>
      <c r="N71" s="172">
        <f t="shared" si="75"/>
        <v>0</v>
      </c>
      <c r="O71" s="172">
        <f t="shared" si="75"/>
        <v>0</v>
      </c>
      <c r="P71" s="172">
        <f t="shared" si="75"/>
        <v>0</v>
      </c>
      <c r="Q71" s="172">
        <f t="shared" si="75"/>
        <v>0</v>
      </c>
      <c r="R71" s="172">
        <f>SUM(R70)</f>
        <v>0</v>
      </c>
      <c r="S71" s="172">
        <f t="shared" ref="S71:Y71" si="76">SUM(S70)</f>
        <v>56</v>
      </c>
      <c r="T71" s="172">
        <f t="shared" si="76"/>
        <v>56</v>
      </c>
      <c r="U71" s="172">
        <f t="shared" si="76"/>
        <v>0</v>
      </c>
      <c r="V71" s="172">
        <f t="shared" si="76"/>
        <v>0</v>
      </c>
      <c r="W71" s="172">
        <f t="shared" si="76"/>
        <v>11200000</v>
      </c>
      <c r="X71" s="172">
        <f t="shared" si="76"/>
        <v>11200000</v>
      </c>
      <c r="Y71" s="172">
        <f t="shared" si="76"/>
        <v>0</v>
      </c>
      <c r="Z71" s="172">
        <f t="shared" ref="Z71:BK71" si="77">SUM(Z70)</f>
        <v>0</v>
      </c>
      <c r="AA71" s="172">
        <f t="shared" si="77"/>
        <v>0</v>
      </c>
      <c r="AB71" s="172">
        <f t="shared" si="77"/>
        <v>0</v>
      </c>
      <c r="AC71" s="172">
        <f t="shared" si="77"/>
        <v>0</v>
      </c>
      <c r="AD71" s="172">
        <f t="shared" si="77"/>
        <v>0</v>
      </c>
      <c r="AE71" s="172">
        <f t="shared" si="77"/>
        <v>0</v>
      </c>
      <c r="AF71" s="172">
        <f t="shared" si="77"/>
        <v>0</v>
      </c>
      <c r="AG71" s="172">
        <f t="shared" si="77"/>
        <v>0</v>
      </c>
      <c r="AH71" s="172">
        <f t="shared" si="77"/>
        <v>4</v>
      </c>
      <c r="AI71" s="172">
        <f t="shared" si="77"/>
        <v>800000</v>
      </c>
      <c r="AJ71" s="172">
        <f t="shared" si="77"/>
        <v>0</v>
      </c>
      <c r="AK71" s="172">
        <f t="shared" si="77"/>
        <v>0</v>
      </c>
      <c r="AL71" s="172">
        <f t="shared" si="77"/>
        <v>3</v>
      </c>
      <c r="AM71" s="172">
        <f t="shared" si="77"/>
        <v>600000</v>
      </c>
      <c r="AN71" s="172">
        <f t="shared" si="77"/>
        <v>26</v>
      </c>
      <c r="AO71" s="172">
        <f t="shared" si="77"/>
        <v>5200000</v>
      </c>
      <c r="AP71" s="172">
        <f t="shared" si="77"/>
        <v>0</v>
      </c>
      <c r="AQ71" s="172">
        <f t="shared" si="77"/>
        <v>0</v>
      </c>
      <c r="AR71" s="172">
        <f t="shared" si="77"/>
        <v>0</v>
      </c>
      <c r="AS71" s="172">
        <f t="shared" si="77"/>
        <v>0</v>
      </c>
      <c r="AT71" s="172">
        <f t="shared" si="77"/>
        <v>2</v>
      </c>
      <c r="AU71" s="172">
        <f t="shared" si="77"/>
        <v>400000</v>
      </c>
      <c r="AV71" s="172">
        <f t="shared" si="77"/>
        <v>2</v>
      </c>
      <c r="AW71" s="172">
        <f t="shared" si="77"/>
        <v>400000</v>
      </c>
      <c r="AX71" s="172">
        <f t="shared" si="77"/>
        <v>1</v>
      </c>
      <c r="AY71" s="172">
        <f t="shared" si="77"/>
        <v>200000</v>
      </c>
      <c r="AZ71" s="172">
        <f t="shared" si="77"/>
        <v>0</v>
      </c>
      <c r="BA71" s="172">
        <f t="shared" si="77"/>
        <v>0</v>
      </c>
      <c r="BB71" s="172">
        <f t="shared" si="77"/>
        <v>18</v>
      </c>
      <c r="BC71" s="172">
        <f t="shared" si="77"/>
        <v>3600000</v>
      </c>
      <c r="BD71" s="172">
        <f t="shared" si="77"/>
        <v>56</v>
      </c>
      <c r="BE71" s="172">
        <f t="shared" si="77"/>
        <v>11200000</v>
      </c>
      <c r="BF71" s="172">
        <f t="shared" si="77"/>
        <v>0</v>
      </c>
      <c r="BG71" s="172">
        <f t="shared" si="77"/>
        <v>0</v>
      </c>
      <c r="BH71" s="591">
        <f t="shared" si="77"/>
        <v>0</v>
      </c>
      <c r="BI71" s="172">
        <f t="shared" si="77"/>
        <v>0</v>
      </c>
      <c r="BJ71" s="591">
        <f t="shared" si="77"/>
        <v>112</v>
      </c>
      <c r="BK71" s="172">
        <f t="shared" si="77"/>
        <v>22400000</v>
      </c>
      <c r="BL71" s="140"/>
      <c r="BM71" s="592"/>
      <c r="BN71" s="140"/>
      <c r="BO71" s="593"/>
      <c r="BP71" s="140"/>
      <c r="BR71" s="582">
        <f t="shared" ref="BR71:BY71" si="78">SUM(BR70)</f>
        <v>22400000</v>
      </c>
      <c r="BS71" s="582">
        <f t="shared" si="78"/>
        <v>0</v>
      </c>
      <c r="BT71" s="582">
        <f t="shared" si="78"/>
        <v>0</v>
      </c>
      <c r="BU71" s="582">
        <f t="shared" si="78"/>
        <v>0</v>
      </c>
      <c r="BV71" s="582">
        <f t="shared" si="78"/>
        <v>22400000</v>
      </c>
      <c r="BW71" s="582">
        <f t="shared" si="78"/>
        <v>0</v>
      </c>
      <c r="BX71" s="582">
        <f t="shared" si="78"/>
        <v>0</v>
      </c>
      <c r="BY71" s="582">
        <f t="shared" si="78"/>
        <v>0</v>
      </c>
      <c r="BZ71" s="582">
        <f t="shared" si="1"/>
        <v>22400000</v>
      </c>
    </row>
    <row r="72" spans="1:78" ht="32.25" customHeight="1" x14ac:dyDescent="0.25">
      <c r="A72" s="831"/>
      <c r="B72" s="612"/>
      <c r="C72" s="613" t="s">
        <v>42</v>
      </c>
      <c r="D72" s="613"/>
      <c r="E72" s="614"/>
      <c r="F72" s="614">
        <f>F71+F69+F57+F44+F34+F29+F12</f>
        <v>47003</v>
      </c>
      <c r="G72" s="614">
        <f>G71+G60+G69+G57+G44+G34+G29+G12</f>
        <v>200490250</v>
      </c>
      <c r="H72" s="614">
        <f t="shared" ref="H72:BK72" si="79">H71+H60+H69+H57+H44+H34+H29+H12</f>
        <v>67564450</v>
      </c>
      <c r="I72" s="614">
        <f t="shared" si="79"/>
        <v>132925800</v>
      </c>
      <c r="J72" s="614">
        <f t="shared" si="79"/>
        <v>0</v>
      </c>
      <c r="K72" s="614">
        <f t="shared" si="79"/>
        <v>0</v>
      </c>
      <c r="L72" s="614">
        <f t="shared" si="79"/>
        <v>0</v>
      </c>
      <c r="M72" s="614">
        <f t="shared" si="79"/>
        <v>0</v>
      </c>
      <c r="N72" s="614">
        <f t="shared" si="79"/>
        <v>0</v>
      </c>
      <c r="O72" s="614">
        <f t="shared" si="79"/>
        <v>0</v>
      </c>
      <c r="P72" s="614">
        <f t="shared" si="79"/>
        <v>0</v>
      </c>
      <c r="Q72" s="614">
        <f t="shared" si="79"/>
        <v>0</v>
      </c>
      <c r="R72" s="614">
        <f t="shared" si="79"/>
        <v>9743.25</v>
      </c>
      <c r="S72" s="614">
        <f t="shared" si="79"/>
        <v>11990.35</v>
      </c>
      <c r="T72" s="614">
        <f t="shared" si="79"/>
        <v>10920.55</v>
      </c>
      <c r="U72" s="614">
        <f t="shared" si="79"/>
        <v>11363.85</v>
      </c>
      <c r="V72" s="614">
        <f t="shared" si="79"/>
        <v>44154000</v>
      </c>
      <c r="W72" s="614">
        <f t="shared" si="79"/>
        <v>56929175</v>
      </c>
      <c r="X72" s="614">
        <f t="shared" si="79"/>
        <v>51391725</v>
      </c>
      <c r="Y72" s="614">
        <f t="shared" si="79"/>
        <v>44725350</v>
      </c>
      <c r="Z72" s="614">
        <f t="shared" si="79"/>
        <v>1273</v>
      </c>
      <c r="AA72" s="614">
        <f t="shared" si="79"/>
        <v>7921500</v>
      </c>
      <c r="AB72" s="614">
        <f t="shared" si="79"/>
        <v>669</v>
      </c>
      <c r="AC72" s="614">
        <f t="shared" si="79"/>
        <v>7106650</v>
      </c>
      <c r="AD72" s="614">
        <f t="shared" si="79"/>
        <v>1625</v>
      </c>
      <c r="AE72" s="614">
        <f t="shared" si="79"/>
        <v>8307500</v>
      </c>
      <c r="AF72" s="614">
        <f t="shared" si="79"/>
        <v>2397</v>
      </c>
      <c r="AG72" s="614">
        <f t="shared" si="79"/>
        <v>9316150</v>
      </c>
      <c r="AH72" s="614">
        <f t="shared" si="79"/>
        <v>1036</v>
      </c>
      <c r="AI72" s="614">
        <f t="shared" si="79"/>
        <v>8504050</v>
      </c>
      <c r="AJ72" s="614">
        <f t="shared" si="79"/>
        <v>1824</v>
      </c>
      <c r="AK72" s="614">
        <f t="shared" si="79"/>
        <v>9404500</v>
      </c>
      <c r="AL72" s="614">
        <f t="shared" si="79"/>
        <v>1016</v>
      </c>
      <c r="AM72" s="614">
        <f t="shared" si="79"/>
        <v>8225300</v>
      </c>
      <c r="AN72" s="614">
        <f t="shared" si="79"/>
        <v>2633</v>
      </c>
      <c r="AO72" s="614">
        <f t="shared" si="79"/>
        <v>15715250</v>
      </c>
      <c r="AP72" s="614">
        <f t="shared" si="79"/>
        <v>249</v>
      </c>
      <c r="AQ72" s="614">
        <f t="shared" si="79"/>
        <v>6601900</v>
      </c>
      <c r="AR72" s="614">
        <f t="shared" si="79"/>
        <v>915</v>
      </c>
      <c r="AS72" s="614">
        <f t="shared" si="79"/>
        <v>7409200</v>
      </c>
      <c r="AT72" s="614">
        <f t="shared" si="79"/>
        <v>1337</v>
      </c>
      <c r="AU72" s="614">
        <f t="shared" si="79"/>
        <v>8394500</v>
      </c>
      <c r="AV72" s="614">
        <f t="shared" si="79"/>
        <v>1335</v>
      </c>
      <c r="AW72" s="614">
        <f t="shared" si="79"/>
        <v>8463000</v>
      </c>
      <c r="AX72" s="614">
        <f t="shared" si="79"/>
        <v>1824</v>
      </c>
      <c r="AY72" s="614">
        <f t="shared" si="79"/>
        <v>8900500</v>
      </c>
      <c r="AZ72" s="614">
        <f t="shared" si="79"/>
        <v>1951</v>
      </c>
      <c r="BA72" s="614">
        <f t="shared" si="79"/>
        <v>8863500</v>
      </c>
      <c r="BB72" s="614">
        <f t="shared" si="79"/>
        <v>2076</v>
      </c>
      <c r="BC72" s="614">
        <f t="shared" si="79"/>
        <v>12442250</v>
      </c>
      <c r="BD72" s="614">
        <f t="shared" si="79"/>
        <v>3611</v>
      </c>
      <c r="BE72" s="614">
        <f t="shared" si="79"/>
        <v>24026500</v>
      </c>
      <c r="BF72" s="614">
        <f t="shared" si="79"/>
        <v>1441</v>
      </c>
      <c r="BG72" s="614">
        <f t="shared" si="79"/>
        <v>9373500</v>
      </c>
      <c r="BH72" s="614">
        <f t="shared" si="79"/>
        <v>19793</v>
      </c>
      <c r="BI72" s="614">
        <f t="shared" si="79"/>
        <v>31514500</v>
      </c>
      <c r="BJ72" s="614">
        <f t="shared" si="79"/>
        <v>47005</v>
      </c>
      <c r="BK72" s="614">
        <f t="shared" si="79"/>
        <v>200490250</v>
      </c>
      <c r="BL72" s="85"/>
      <c r="BM72" s="85"/>
      <c r="BN72" s="85"/>
      <c r="BO72" s="117"/>
      <c r="BP72" s="145"/>
      <c r="BR72" s="568">
        <f>BR71+BR69+BR57+BR44+BR34+BR29+BR12+BR60</f>
        <v>22400000</v>
      </c>
      <c r="BS72" s="568">
        <f t="shared" ref="BS72:BY72" si="80">BS71+BS69+BS57+BS44+BS34+BS29+BS12+BS60</f>
        <v>46660250</v>
      </c>
      <c r="BT72" s="568">
        <f t="shared" si="80"/>
        <v>113088000</v>
      </c>
      <c r="BU72" s="568">
        <f t="shared" si="80"/>
        <v>0</v>
      </c>
      <c r="BV72" s="568">
        <f t="shared" si="80"/>
        <v>182148250</v>
      </c>
      <c r="BW72" s="568">
        <f t="shared" si="80"/>
        <v>0</v>
      </c>
      <c r="BX72" s="568">
        <f t="shared" si="80"/>
        <v>18342000</v>
      </c>
      <c r="BY72" s="568">
        <f t="shared" si="80"/>
        <v>18342000</v>
      </c>
      <c r="BZ72" s="568">
        <f t="shared" si="1"/>
        <v>200490250</v>
      </c>
    </row>
    <row r="73" spans="1:78" s="165" customFormat="1" ht="31.5" hidden="1" customHeight="1" x14ac:dyDescent="0.25">
      <c r="B73" s="615"/>
      <c r="E73" s="616"/>
      <c r="F73" s="616"/>
      <c r="G73" s="617">
        <f>G12+G29+G34+G44+G57+G69+G71</f>
        <v>188890250</v>
      </c>
      <c r="H73" s="617"/>
      <c r="I73" s="617"/>
      <c r="J73" s="617"/>
      <c r="K73" s="617"/>
      <c r="L73" s="617"/>
      <c r="M73" s="617"/>
      <c r="N73" s="617"/>
      <c r="Z73" s="165">
        <v>48</v>
      </c>
      <c r="AA73" s="617"/>
      <c r="AB73" s="165">
        <v>23</v>
      </c>
      <c r="AD73" s="165">
        <v>80</v>
      </c>
      <c r="AF73" s="165">
        <v>40</v>
      </c>
      <c r="AH73" s="165">
        <v>36</v>
      </c>
      <c r="AJ73" s="165">
        <v>40</v>
      </c>
      <c r="AL73" s="165">
        <v>16</v>
      </c>
      <c r="AN73" s="165">
        <v>34</v>
      </c>
      <c r="AP73" s="165">
        <v>8</v>
      </c>
      <c r="AR73" s="165">
        <v>20</v>
      </c>
      <c r="AT73" s="165">
        <v>26</v>
      </c>
      <c r="AV73" s="165">
        <v>22</v>
      </c>
      <c r="AX73" s="165">
        <v>32</v>
      </c>
      <c r="AZ73" s="165">
        <v>34</v>
      </c>
      <c r="BB73" s="165">
        <v>40</v>
      </c>
      <c r="BD73" s="165">
        <v>36</v>
      </c>
      <c r="BF73" s="165">
        <v>36</v>
      </c>
      <c r="BJ73" s="618">
        <f>Z73+AB73+AD73+AF73+AH73+AJ73+AL73+AN73+AP73+AR73+AT73+AV73+AX73+AZ73+BB73+BD73+BF73+BH73</f>
        <v>571</v>
      </c>
      <c r="BP73" s="565"/>
    </row>
    <row r="74" spans="1:78" s="619" customFormat="1" ht="15.75" hidden="1" customHeight="1" x14ac:dyDescent="0.25">
      <c r="B74" s="620"/>
      <c r="C74" s="619" t="s">
        <v>594</v>
      </c>
      <c r="E74" s="621"/>
      <c r="F74" s="828"/>
      <c r="G74" s="828"/>
      <c r="H74" s="622"/>
      <c r="I74" s="622"/>
      <c r="J74" s="622"/>
      <c r="K74" s="622"/>
      <c r="L74" s="622"/>
      <c r="M74" s="622"/>
      <c r="N74" s="622"/>
      <c r="Z74" s="619">
        <v>48</v>
      </c>
      <c r="AA74" s="623"/>
      <c r="AB74" s="619">
        <v>23</v>
      </c>
      <c r="AD74" s="619">
        <v>58</v>
      </c>
      <c r="AF74" s="619">
        <v>89</v>
      </c>
      <c r="AH74" s="619">
        <v>38</v>
      </c>
      <c r="AJ74" s="619">
        <v>71</v>
      </c>
      <c r="AL74" s="619">
        <v>34</v>
      </c>
      <c r="AN74" s="619">
        <v>75</v>
      </c>
      <c r="AP74" s="619">
        <v>8</v>
      </c>
      <c r="AR74" s="619">
        <v>32</v>
      </c>
      <c r="AT74" s="619">
        <v>50</v>
      </c>
      <c r="AV74" s="619">
        <v>50</v>
      </c>
      <c r="AX74" s="619">
        <v>71</v>
      </c>
      <c r="AZ74" s="619">
        <v>78</v>
      </c>
      <c r="BB74" s="619">
        <v>75</v>
      </c>
      <c r="BD74" s="619">
        <v>138</v>
      </c>
      <c r="BF74" s="619">
        <v>54</v>
      </c>
      <c r="BG74" s="619">
        <f>SUM(Z74:BF74)</f>
        <v>992</v>
      </c>
      <c r="BH74" s="619">
        <v>1004</v>
      </c>
      <c r="BP74" s="624"/>
    </row>
    <row r="75" spans="1:78" ht="15.75" hidden="1" customHeight="1" x14ac:dyDescent="0.25">
      <c r="B75" s="625"/>
      <c r="F75" s="262"/>
      <c r="G75" s="262"/>
      <c r="H75" s="262"/>
      <c r="I75" s="262"/>
      <c r="J75" s="262"/>
      <c r="K75" s="262"/>
      <c r="L75" s="262"/>
      <c r="M75" s="262"/>
      <c r="N75" s="262"/>
      <c r="Z75" s="39">
        <v>48</v>
      </c>
      <c r="AB75" s="39">
        <v>23</v>
      </c>
      <c r="AD75" s="39">
        <v>80</v>
      </c>
      <c r="AF75" s="39">
        <v>105</v>
      </c>
      <c r="AH75" s="39">
        <v>43</v>
      </c>
      <c r="AJ75" s="39">
        <v>76</v>
      </c>
      <c r="AL75" s="39">
        <v>41</v>
      </c>
      <c r="AN75" s="39">
        <v>101</v>
      </c>
      <c r="AP75" s="39">
        <v>8</v>
      </c>
      <c r="AR75" s="39">
        <v>33</v>
      </c>
      <c r="AT75" s="39">
        <v>53</v>
      </c>
      <c r="AV75" s="39">
        <v>52</v>
      </c>
      <c r="AX75" s="39">
        <v>76</v>
      </c>
      <c r="AZ75" s="39">
        <v>82</v>
      </c>
      <c r="BB75" s="39">
        <v>107</v>
      </c>
      <c r="BD75" s="39">
        <v>158</v>
      </c>
      <c r="BF75" s="39">
        <v>54</v>
      </c>
      <c r="BG75" s="39">
        <f>SUM(Z75:BF75)</f>
        <v>1140</v>
      </c>
    </row>
    <row r="76" spans="1:78" s="67" customFormat="1" ht="15.75" hidden="1" customHeight="1" x14ac:dyDescent="0.25">
      <c r="B76" s="626"/>
      <c r="C76" s="67" t="s">
        <v>593</v>
      </c>
      <c r="E76" s="627"/>
      <c r="F76" s="825"/>
      <c r="G76" s="825"/>
      <c r="H76" s="628"/>
      <c r="I76" s="628"/>
      <c r="J76" s="628"/>
      <c r="K76" s="628"/>
      <c r="L76" s="628"/>
      <c r="M76" s="628"/>
      <c r="N76" s="628"/>
      <c r="Z76" s="629">
        <v>24</v>
      </c>
      <c r="AB76" s="629">
        <v>10</v>
      </c>
      <c r="AD76" s="629">
        <v>18</v>
      </c>
      <c r="AF76" s="629">
        <v>20</v>
      </c>
      <c r="AH76" s="629">
        <v>18</v>
      </c>
      <c r="AJ76" s="629">
        <v>20</v>
      </c>
      <c r="AL76" s="629">
        <v>8</v>
      </c>
      <c r="AN76" s="629">
        <v>17</v>
      </c>
      <c r="AP76" s="629">
        <v>8</v>
      </c>
      <c r="AR76" s="629">
        <v>15</v>
      </c>
      <c r="AT76" s="629">
        <v>13</v>
      </c>
      <c r="AV76" s="629">
        <v>11</v>
      </c>
      <c r="AX76" s="629">
        <v>16</v>
      </c>
      <c r="AZ76" s="629">
        <v>17</v>
      </c>
      <c r="BB76" s="629">
        <v>20</v>
      </c>
      <c r="BD76" s="629">
        <v>17.5</v>
      </c>
      <c r="BF76" s="629">
        <v>17</v>
      </c>
      <c r="BG76" s="67">
        <v>270</v>
      </c>
      <c r="BH76" s="67">
        <v>255</v>
      </c>
    </row>
    <row r="77" spans="1:78" s="264" customFormat="1" ht="15.75" hidden="1" customHeight="1" x14ac:dyDescent="0.25">
      <c r="B77" s="630"/>
      <c r="E77" s="631"/>
      <c r="F77" s="632"/>
      <c r="G77" s="632"/>
      <c r="H77" s="632"/>
      <c r="I77" s="632"/>
      <c r="J77" s="632"/>
      <c r="K77" s="632"/>
      <c r="L77" s="632"/>
      <c r="M77" s="632"/>
      <c r="N77" s="632"/>
      <c r="Z77" s="633">
        <v>16</v>
      </c>
      <c r="AB77" s="633">
        <v>10</v>
      </c>
      <c r="AD77" s="633">
        <v>19</v>
      </c>
      <c r="AF77" s="633">
        <v>20</v>
      </c>
      <c r="AH77" s="633">
        <v>18</v>
      </c>
      <c r="AJ77" s="633">
        <v>20</v>
      </c>
      <c r="AL77" s="633">
        <v>8</v>
      </c>
      <c r="AN77" s="633">
        <v>17</v>
      </c>
      <c r="AP77" s="633">
        <v>4</v>
      </c>
      <c r="AR77" s="633">
        <v>10</v>
      </c>
      <c r="AT77" s="633">
        <v>13</v>
      </c>
      <c r="AV77" s="633">
        <v>11</v>
      </c>
      <c r="AX77" s="633">
        <v>16</v>
      </c>
      <c r="AZ77" s="633">
        <v>17</v>
      </c>
      <c r="BB77" s="633">
        <v>20</v>
      </c>
      <c r="BD77" s="633">
        <v>18</v>
      </c>
      <c r="BF77" s="633">
        <v>18</v>
      </c>
      <c r="BG77" s="633">
        <f>SUM(Z77:BF77)</f>
        <v>255</v>
      </c>
    </row>
    <row r="78" spans="1:78" ht="15.75" hidden="1" customHeight="1" x14ac:dyDescent="0.25">
      <c r="C78" s="39" t="s">
        <v>595</v>
      </c>
      <c r="Z78" s="39">
        <v>32</v>
      </c>
      <c r="AB78" s="39">
        <v>20</v>
      </c>
      <c r="AD78" s="39">
        <v>35</v>
      </c>
      <c r="AF78" s="39">
        <v>40</v>
      </c>
      <c r="AH78" s="39">
        <v>36</v>
      </c>
      <c r="AJ78" s="39">
        <v>40</v>
      </c>
      <c r="AL78" s="39">
        <v>16</v>
      </c>
      <c r="AN78" s="39">
        <v>35</v>
      </c>
      <c r="AP78" s="39">
        <v>8</v>
      </c>
      <c r="AR78" s="39">
        <v>21</v>
      </c>
      <c r="AT78" s="39">
        <v>26</v>
      </c>
      <c r="AV78" s="39">
        <v>22</v>
      </c>
      <c r="AX78" s="39">
        <v>32</v>
      </c>
      <c r="AZ78" s="39">
        <v>35</v>
      </c>
      <c r="BB78" s="39">
        <v>40</v>
      </c>
      <c r="BD78" s="39">
        <v>35</v>
      </c>
      <c r="BF78" s="39">
        <v>35</v>
      </c>
    </row>
    <row r="79" spans="1:78" s="634" customFormat="1" ht="15.75" hidden="1" customHeight="1" x14ac:dyDescent="0.25">
      <c r="B79" s="635"/>
      <c r="C79" s="634" t="s">
        <v>677</v>
      </c>
      <c r="E79" s="635"/>
      <c r="F79" s="635"/>
      <c r="G79" s="636">
        <v>51056700</v>
      </c>
      <c r="H79" s="636"/>
      <c r="I79" s="636"/>
      <c r="J79" s="636"/>
      <c r="K79" s="636"/>
      <c r="L79" s="636"/>
      <c r="M79" s="636"/>
      <c r="N79" s="636"/>
      <c r="Z79" s="634">
        <v>48</v>
      </c>
      <c r="AA79" s="636"/>
      <c r="AB79" s="634">
        <v>23</v>
      </c>
      <c r="AD79" s="634">
        <v>80</v>
      </c>
      <c r="AF79" s="634">
        <v>105</v>
      </c>
      <c r="AH79" s="634">
        <v>43</v>
      </c>
      <c r="AJ79" s="634">
        <v>75</v>
      </c>
      <c r="AL79" s="634">
        <v>41</v>
      </c>
      <c r="AN79" s="634">
        <v>101</v>
      </c>
      <c r="AP79" s="634">
        <v>8</v>
      </c>
      <c r="AR79" s="634">
        <v>33</v>
      </c>
      <c r="AT79" s="634">
        <v>53</v>
      </c>
      <c r="AV79" s="634">
        <v>52</v>
      </c>
      <c r="AX79" s="634">
        <v>76</v>
      </c>
      <c r="AZ79" s="634">
        <v>82</v>
      </c>
      <c r="BB79" s="634">
        <v>104</v>
      </c>
      <c r="BD79" s="634">
        <v>147</v>
      </c>
      <c r="BF79" s="634">
        <v>54</v>
      </c>
      <c r="BP79" s="637"/>
    </row>
    <row r="80" spans="1:78" ht="15.75" hidden="1" customHeight="1" x14ac:dyDescent="0.25">
      <c r="C80" s="39" t="s">
        <v>113</v>
      </c>
      <c r="G80" s="82">
        <f>G72+G79</f>
        <v>251546950</v>
      </c>
      <c r="Z80" s="40">
        <v>30</v>
      </c>
      <c r="AB80" s="40">
        <v>21</v>
      </c>
      <c r="AC80" s="82"/>
      <c r="AD80" s="40">
        <v>30</v>
      </c>
      <c r="AE80" s="82"/>
      <c r="AF80" s="40">
        <v>51</v>
      </c>
      <c r="AG80" s="82"/>
      <c r="AH80" s="40">
        <v>22</v>
      </c>
      <c r="AI80" s="82"/>
      <c r="AJ80" s="40">
        <v>30</v>
      </c>
      <c r="AK80" s="82"/>
      <c r="AL80" s="40">
        <v>22</v>
      </c>
      <c r="AM80" s="82"/>
      <c r="AN80" s="40">
        <v>50</v>
      </c>
      <c r="AO80" s="82"/>
      <c r="AP80" s="40">
        <v>6</v>
      </c>
      <c r="AQ80" s="82"/>
      <c r="AR80" s="40">
        <v>28</v>
      </c>
      <c r="AS80" s="82"/>
      <c r="AT80" s="40">
        <v>30</v>
      </c>
      <c r="AU80" s="82"/>
      <c r="AV80" s="40">
        <v>30</v>
      </c>
      <c r="AW80" s="82"/>
      <c r="AX80" s="40">
        <v>30</v>
      </c>
      <c r="AY80" s="82"/>
      <c r="AZ80" s="40">
        <v>30</v>
      </c>
      <c r="BA80" s="82"/>
      <c r="BB80" s="40">
        <v>45</v>
      </c>
      <c r="BC80" s="82"/>
      <c r="BD80" s="40">
        <v>60</v>
      </c>
      <c r="BE80" s="82"/>
      <c r="BF80" s="40">
        <v>30</v>
      </c>
      <c r="BG80" s="82"/>
      <c r="BH80" s="40">
        <f>SUM(Z80:BG80)</f>
        <v>545</v>
      </c>
      <c r="BI80" s="82"/>
    </row>
    <row r="81" spans="3:63" ht="24" hidden="1" customHeight="1" x14ac:dyDescent="0.25">
      <c r="Z81" s="40">
        <f>Z74-Z77</f>
        <v>32</v>
      </c>
      <c r="AA81" s="40">
        <f t="shared" ref="AA81:BG81" si="81">AA74-AA77</f>
        <v>0</v>
      </c>
      <c r="AB81" s="40">
        <f t="shared" si="81"/>
        <v>13</v>
      </c>
      <c r="AC81" s="40">
        <f t="shared" si="81"/>
        <v>0</v>
      </c>
      <c r="AD81" s="40">
        <f t="shared" si="81"/>
        <v>39</v>
      </c>
      <c r="AE81" s="40">
        <f t="shared" si="81"/>
        <v>0</v>
      </c>
      <c r="AF81" s="40">
        <f t="shared" si="81"/>
        <v>69</v>
      </c>
      <c r="AG81" s="40">
        <f t="shared" si="81"/>
        <v>0</v>
      </c>
      <c r="AH81" s="40">
        <f t="shared" si="81"/>
        <v>20</v>
      </c>
      <c r="AI81" s="40">
        <f t="shared" si="81"/>
        <v>0</v>
      </c>
      <c r="AJ81" s="40">
        <f t="shared" si="81"/>
        <v>51</v>
      </c>
      <c r="AK81" s="40">
        <f t="shared" si="81"/>
        <v>0</v>
      </c>
      <c r="AL81" s="40">
        <f t="shared" si="81"/>
        <v>26</v>
      </c>
      <c r="AM81" s="40">
        <f t="shared" si="81"/>
        <v>0</v>
      </c>
      <c r="AN81" s="40">
        <f t="shared" si="81"/>
        <v>58</v>
      </c>
      <c r="AO81" s="40">
        <f t="shared" si="81"/>
        <v>0</v>
      </c>
      <c r="AP81" s="40">
        <f t="shared" si="81"/>
        <v>4</v>
      </c>
      <c r="AQ81" s="40">
        <f t="shared" si="81"/>
        <v>0</v>
      </c>
      <c r="AR81" s="40">
        <f t="shared" si="81"/>
        <v>22</v>
      </c>
      <c r="AS81" s="40">
        <f t="shared" si="81"/>
        <v>0</v>
      </c>
      <c r="AT81" s="40">
        <f t="shared" si="81"/>
        <v>37</v>
      </c>
      <c r="AU81" s="40">
        <f t="shared" si="81"/>
        <v>0</v>
      </c>
      <c r="AV81" s="40">
        <f t="shared" si="81"/>
        <v>39</v>
      </c>
      <c r="AW81" s="40">
        <f t="shared" si="81"/>
        <v>0</v>
      </c>
      <c r="AX81" s="40">
        <f t="shared" si="81"/>
        <v>55</v>
      </c>
      <c r="AY81" s="40">
        <f t="shared" si="81"/>
        <v>0</v>
      </c>
      <c r="AZ81" s="40">
        <f t="shared" si="81"/>
        <v>61</v>
      </c>
      <c r="BA81" s="40">
        <f t="shared" si="81"/>
        <v>0</v>
      </c>
      <c r="BB81" s="40">
        <f t="shared" si="81"/>
        <v>55</v>
      </c>
      <c r="BC81" s="40">
        <f t="shared" si="81"/>
        <v>0</v>
      </c>
      <c r="BD81" s="40">
        <f t="shared" si="81"/>
        <v>120</v>
      </c>
      <c r="BE81" s="40">
        <f t="shared" si="81"/>
        <v>0</v>
      </c>
      <c r="BF81" s="40">
        <f t="shared" si="81"/>
        <v>36</v>
      </c>
      <c r="BG81" s="40">
        <f t="shared" si="81"/>
        <v>737</v>
      </c>
    </row>
    <row r="82" spans="3:63" ht="24" customHeight="1" x14ac:dyDescent="0.25">
      <c r="C82" s="39" t="s">
        <v>507</v>
      </c>
      <c r="AA82" s="82">
        <f>AA71+AA69+AA60+AA57+AA48+AA44+AA34+AA29+AA12</f>
        <v>7921500</v>
      </c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BG82" s="82">
        <f>BG71+BG69+BG60+BG57+BG44+BG34+BG29+BG12</f>
        <v>9373500</v>
      </c>
      <c r="BI82" s="82">
        <f>BI71+BI69+BI60+BI57+BI44+BI34+BI29+BI12</f>
        <v>31514500</v>
      </c>
      <c r="BK82" s="82">
        <f>BK71+BK69+BK60+BK57+BK44+BK34+BK29+BK12</f>
        <v>200490250</v>
      </c>
    </row>
    <row r="83" spans="3:63" ht="15.75" customHeight="1" x14ac:dyDescent="0.25">
      <c r="C83" s="39" t="s">
        <v>508</v>
      </c>
    </row>
    <row r="84" spans="3:63" ht="15.75" customHeight="1" x14ac:dyDescent="0.25">
      <c r="C84" s="39" t="s">
        <v>509</v>
      </c>
    </row>
    <row r="85" spans="3:63" ht="15.75" customHeight="1" x14ac:dyDescent="0.25">
      <c r="C85" s="39" t="s">
        <v>510</v>
      </c>
    </row>
    <row r="86" spans="3:63" ht="15.75" customHeight="1" x14ac:dyDescent="0.25">
      <c r="C86" s="39" t="s">
        <v>511</v>
      </c>
    </row>
    <row r="87" spans="3:63" ht="15.75" customHeight="1" x14ac:dyDescent="0.25">
      <c r="C87" s="39" t="s">
        <v>512</v>
      </c>
    </row>
    <row r="88" spans="3:63" ht="15.75" customHeight="1" x14ac:dyDescent="0.25">
      <c r="C88" s="39" t="s">
        <v>513</v>
      </c>
    </row>
    <row r="89" spans="3:63" ht="15.75" customHeight="1" x14ac:dyDescent="0.25">
      <c r="C89" s="39" t="s">
        <v>514</v>
      </c>
    </row>
    <row r="90" spans="3:63" ht="15.75" customHeight="1" x14ac:dyDescent="0.25">
      <c r="C90" s="39" t="s">
        <v>515</v>
      </c>
    </row>
    <row r="91" spans="3:63" ht="15.75" customHeight="1" x14ac:dyDescent="0.25">
      <c r="C91" s="39" t="s">
        <v>516</v>
      </c>
    </row>
    <row r="92" spans="3:63" ht="15.75" customHeight="1" x14ac:dyDescent="0.25">
      <c r="C92" s="39" t="s">
        <v>517</v>
      </c>
    </row>
    <row r="93" spans="3:63" ht="15.75" customHeight="1" x14ac:dyDescent="0.25">
      <c r="C93" s="39" t="s">
        <v>518</v>
      </c>
    </row>
    <row r="94" spans="3:63" ht="15.75" customHeight="1" x14ac:dyDescent="0.25">
      <c r="C94" s="39" t="s">
        <v>519</v>
      </c>
    </row>
    <row r="95" spans="3:63" ht="15.75" customHeight="1" x14ac:dyDescent="0.25">
      <c r="C95" s="39" t="s">
        <v>520</v>
      </c>
    </row>
    <row r="96" spans="3:63" ht="15.75" customHeight="1" x14ac:dyDescent="0.25">
      <c r="C96" s="39" t="s">
        <v>521</v>
      </c>
    </row>
    <row r="97" spans="3:3" ht="15.75" customHeight="1" x14ac:dyDescent="0.25">
      <c r="C97" s="39" t="s">
        <v>522</v>
      </c>
    </row>
    <row r="98" spans="3:3" ht="15.75" customHeight="1" x14ac:dyDescent="0.25">
      <c r="C98" s="39" t="s">
        <v>855</v>
      </c>
    </row>
  </sheetData>
  <mergeCells count="41">
    <mergeCell ref="BW7:BY7"/>
    <mergeCell ref="BZ7:BZ8"/>
    <mergeCell ref="H7:Q7"/>
    <mergeCell ref="BJ7:BK7"/>
    <mergeCell ref="R7:U7"/>
    <mergeCell ref="AD7:AE7"/>
    <mergeCell ref="AL7:AM7"/>
    <mergeCell ref="AF7:AG7"/>
    <mergeCell ref="BB7:BC7"/>
    <mergeCell ref="AZ7:BA7"/>
    <mergeCell ref="Z7:AA7"/>
    <mergeCell ref="AB7:AC7"/>
    <mergeCell ref="V7:Y7"/>
    <mergeCell ref="BF7:BG7"/>
    <mergeCell ref="BR7:BV7"/>
    <mergeCell ref="AR7:AS7"/>
    <mergeCell ref="AT7:AU7"/>
    <mergeCell ref="AV7:AW7"/>
    <mergeCell ref="AX7:AY7"/>
    <mergeCell ref="BH7:BI7"/>
    <mergeCell ref="AH7:AI7"/>
    <mergeCell ref="AJ7:AK7"/>
    <mergeCell ref="AN7:AO7"/>
    <mergeCell ref="AP7:AQ7"/>
    <mergeCell ref="BD7:BE7"/>
    <mergeCell ref="F76:G76"/>
    <mergeCell ref="A1:Q1"/>
    <mergeCell ref="C2:Q2"/>
    <mergeCell ref="C3:Q3"/>
    <mergeCell ref="C4:Q4"/>
    <mergeCell ref="C5:Q5"/>
    <mergeCell ref="A2:B2"/>
    <mergeCell ref="A3:B3"/>
    <mergeCell ref="A4:B4"/>
    <mergeCell ref="A5:B5"/>
    <mergeCell ref="F74:G74"/>
    <mergeCell ref="A9:A72"/>
    <mergeCell ref="A6:B6"/>
    <mergeCell ref="C6:Q6"/>
    <mergeCell ref="A7:E7"/>
    <mergeCell ref="F7:G7"/>
  </mergeCells>
  <pageMargins left="0.17" right="0.17" top="0.5" bottom="0.75" header="0.3" footer="0.3"/>
  <pageSetup paperSize="9" scale="14" orientation="landscape" r:id="rId1"/>
  <ignoredErrors>
    <ignoredError sqref="AG64 AI64 AK64 AM66 AU64 AW64 AY64 AM64 AO64:AQ64 BE64 BH64 BH65 AS64 BA64 BC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KQ90"/>
  <sheetViews>
    <sheetView zoomScale="90" zoomScaleNormal="90" workbookViewId="0">
      <pane xSplit="7" ySplit="7" topLeftCell="H59" activePane="bottomRight" state="frozen"/>
      <selection activeCell="C1" sqref="C1"/>
      <selection pane="topRight" activeCell="H1" sqref="H1"/>
      <selection pane="bottomLeft" activeCell="C8" sqref="C8"/>
      <selection pane="bottomRight" activeCell="K66" sqref="K66"/>
    </sheetView>
  </sheetViews>
  <sheetFormatPr defaultColWidth="12.28515625" defaultRowHeight="33.75" customHeight="1" x14ac:dyDescent="0.25"/>
  <cols>
    <col min="1" max="1" width="12.28515625" style="39"/>
    <col min="2" max="2" width="12.28515625" style="106"/>
    <col min="3" max="3" width="31.7109375" style="106" customWidth="1"/>
    <col min="4" max="6" width="12.28515625" style="585"/>
    <col min="7" max="7" width="14.7109375" style="585" customWidth="1"/>
    <col min="8" max="8" width="12.28515625" style="585"/>
    <col min="9" max="9" width="15.7109375" style="585" customWidth="1"/>
    <col min="10" max="17" width="12.28515625" style="585"/>
    <col min="18" max="23" width="12.28515625" style="39"/>
    <col min="24" max="24" width="14.28515625" style="39" customWidth="1"/>
    <col min="25" max="25" width="13.5703125" style="39" customWidth="1"/>
    <col min="26" max="28" width="12.28515625" style="39"/>
    <col min="29" max="29" width="15.140625" style="39" customWidth="1"/>
    <col min="30" max="30" width="12.28515625" style="39"/>
    <col min="31" max="31" width="15.140625" style="39" customWidth="1"/>
    <col min="32" max="32" width="12.28515625" style="39"/>
    <col min="33" max="33" width="14.140625" style="39" customWidth="1"/>
    <col min="34" max="48" width="12.28515625" style="39"/>
    <col min="49" max="49" width="16.42578125" style="39" customWidth="1"/>
    <col min="50" max="50" width="12.28515625" style="39"/>
    <col min="51" max="51" width="15.28515625" style="39" customWidth="1"/>
    <col min="52" max="52" width="12.28515625" style="39"/>
    <col min="53" max="53" width="14" style="39" customWidth="1"/>
    <col min="54" max="56" width="12.28515625" style="39"/>
    <col min="57" max="57" width="14.28515625" style="39" customWidth="1"/>
    <col min="58" max="58" width="0" style="39" hidden="1" customWidth="1"/>
    <col min="59" max="59" width="15.140625" style="39" hidden="1" customWidth="1"/>
    <col min="60" max="60" width="0" style="39" hidden="1" customWidth="1"/>
    <col min="61" max="61" width="14.5703125" style="39" hidden="1" customWidth="1"/>
    <col min="62" max="62" width="12.28515625" style="39"/>
    <col min="63" max="63" width="14.5703125" style="39" customWidth="1"/>
    <col min="64" max="64" width="22.42578125" style="39" customWidth="1"/>
    <col min="65" max="66" width="12.28515625" style="39"/>
    <col min="67" max="67" width="15.140625" style="39" customWidth="1"/>
    <col min="68" max="68" width="16.28515625" style="39" customWidth="1"/>
    <col min="69" max="69" width="16" style="39" customWidth="1"/>
    <col min="70" max="70" width="16.7109375" style="39" customWidth="1"/>
    <col min="71" max="73" width="12.28515625" style="39"/>
    <col min="74" max="74" width="18.140625" style="39" customWidth="1"/>
    <col min="75" max="16384" width="12.28515625" style="39"/>
  </cols>
  <sheetData>
    <row r="1" spans="1:979" ht="24.75" customHeight="1" x14ac:dyDescent="0.25">
      <c r="A1" s="825" t="s">
        <v>409</v>
      </c>
      <c r="B1" s="825"/>
      <c r="C1" s="827" t="s">
        <v>403</v>
      </c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67"/>
      <c r="S1" s="67"/>
      <c r="T1" s="67"/>
      <c r="U1" s="67"/>
      <c r="V1" s="67"/>
      <c r="W1" s="67"/>
      <c r="X1" s="67"/>
      <c r="Y1" s="67"/>
    </row>
    <row r="2" spans="1:979" ht="18.75" customHeight="1" x14ac:dyDescent="0.25">
      <c r="A2" s="825" t="s">
        <v>405</v>
      </c>
      <c r="B2" s="825"/>
      <c r="C2" s="827" t="s">
        <v>404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67"/>
      <c r="S2" s="67"/>
      <c r="T2" s="67"/>
      <c r="U2" s="67"/>
      <c r="V2" s="67"/>
      <c r="W2" s="67"/>
      <c r="X2" s="67"/>
      <c r="Y2" s="67"/>
      <c r="Z2" s="361" t="s">
        <v>787</v>
      </c>
      <c r="AA2" s="361">
        <v>8.34</v>
      </c>
      <c r="AB2" s="361"/>
      <c r="AC2" s="361">
        <v>2.85</v>
      </c>
      <c r="AD2" s="361"/>
      <c r="AE2" s="361">
        <v>8.3800000000000008</v>
      </c>
      <c r="AF2" s="361"/>
      <c r="AG2" s="361">
        <v>7.49</v>
      </c>
      <c r="AH2" s="361"/>
      <c r="AI2" s="361">
        <v>3.33</v>
      </c>
      <c r="AJ2" s="361"/>
      <c r="AK2" s="361">
        <v>6.64</v>
      </c>
      <c r="AL2" s="361"/>
      <c r="AM2" s="361">
        <v>3.67</v>
      </c>
      <c r="AN2" s="361"/>
      <c r="AO2" s="361">
        <v>5.0599999999999996</v>
      </c>
      <c r="AP2" s="361"/>
      <c r="AQ2" s="361">
        <v>5.94</v>
      </c>
      <c r="AR2" s="361"/>
      <c r="AS2" s="361">
        <v>6.85</v>
      </c>
      <c r="AT2" s="361"/>
      <c r="AU2" s="361">
        <v>7.45</v>
      </c>
      <c r="AV2" s="361"/>
      <c r="AW2" s="361">
        <v>5.13</v>
      </c>
      <c r="AX2" s="361"/>
      <c r="AY2" s="361">
        <v>4.8600000000000003</v>
      </c>
      <c r="AZ2" s="361"/>
      <c r="BA2" s="361">
        <v>5.79</v>
      </c>
      <c r="BB2" s="361"/>
      <c r="BC2" s="361">
        <v>5.3</v>
      </c>
      <c r="BD2" s="361"/>
      <c r="BE2" s="361">
        <v>3.47</v>
      </c>
      <c r="BF2" s="361"/>
      <c r="BG2" s="361">
        <v>9.42</v>
      </c>
      <c r="BH2" s="361"/>
      <c r="BI2" s="361"/>
      <c r="BJ2" s="361"/>
      <c r="BK2" s="361"/>
    </row>
    <row r="3" spans="1:979" ht="18.75" customHeight="1" x14ac:dyDescent="0.25">
      <c r="A3" s="825" t="s">
        <v>406</v>
      </c>
      <c r="B3" s="825"/>
      <c r="C3" s="827" t="s">
        <v>752</v>
      </c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67"/>
      <c r="S3" s="67"/>
      <c r="T3" s="67"/>
      <c r="U3" s="67"/>
      <c r="V3" s="67"/>
      <c r="W3" s="67"/>
      <c r="X3" s="67"/>
      <c r="Y3" s="67"/>
      <c r="Z3" s="361" t="s">
        <v>785</v>
      </c>
      <c r="AA3" s="361">
        <v>48</v>
      </c>
      <c r="AB3" s="361"/>
      <c r="AC3" s="361">
        <v>23</v>
      </c>
      <c r="AD3" s="361"/>
      <c r="AE3" s="361">
        <v>80</v>
      </c>
      <c r="AF3" s="361"/>
      <c r="AG3" s="361">
        <v>105</v>
      </c>
      <c r="AH3" s="361"/>
      <c r="AI3" s="361">
        <v>43</v>
      </c>
      <c r="AJ3" s="361"/>
      <c r="AK3" s="361">
        <v>75</v>
      </c>
      <c r="AL3" s="361"/>
      <c r="AM3" s="361">
        <v>41</v>
      </c>
      <c r="AN3" s="361"/>
      <c r="AO3" s="361">
        <v>101</v>
      </c>
      <c r="AP3" s="361"/>
      <c r="AQ3" s="361">
        <v>8</v>
      </c>
      <c r="AR3" s="361"/>
      <c r="AS3" s="361">
        <v>33</v>
      </c>
      <c r="AT3" s="361"/>
      <c r="AU3" s="361">
        <v>53</v>
      </c>
      <c r="AV3" s="361"/>
      <c r="AW3" s="361">
        <v>52</v>
      </c>
      <c r="AX3" s="361"/>
      <c r="AY3" s="361">
        <v>76</v>
      </c>
      <c r="AZ3" s="361"/>
      <c r="BA3" s="361">
        <v>82</v>
      </c>
      <c r="BB3" s="361"/>
      <c r="BC3" s="361">
        <v>104</v>
      </c>
      <c r="BD3" s="361"/>
      <c r="BE3" s="361">
        <v>147</v>
      </c>
      <c r="BF3" s="361"/>
      <c r="BG3" s="361">
        <v>54</v>
      </c>
      <c r="BH3" s="361"/>
      <c r="BI3" s="361"/>
      <c r="BJ3" s="361"/>
      <c r="BK3" s="361"/>
    </row>
    <row r="4" spans="1:979" ht="18.75" customHeight="1" x14ac:dyDescent="0.25">
      <c r="A4" s="825" t="s">
        <v>407</v>
      </c>
      <c r="B4" s="825"/>
      <c r="C4" s="827" t="s">
        <v>0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67"/>
      <c r="S4" s="67"/>
      <c r="T4" s="67"/>
      <c r="U4" s="67"/>
      <c r="V4" s="67"/>
      <c r="W4" s="67"/>
      <c r="X4" s="67"/>
      <c r="Y4" s="67"/>
      <c r="Z4" s="361" t="s">
        <v>786</v>
      </c>
      <c r="AA4" s="453">
        <f>AA3/1125*100</f>
        <v>4.2666666666666666</v>
      </c>
      <c r="AB4" s="453">
        <f t="shared" ref="AB4:BG4" si="0">AB3/1125*100</f>
        <v>0</v>
      </c>
      <c r="AC4" s="453">
        <f t="shared" si="0"/>
        <v>2.0444444444444447</v>
      </c>
      <c r="AD4" s="453">
        <f t="shared" si="0"/>
        <v>0</v>
      </c>
      <c r="AE4" s="453">
        <f t="shared" si="0"/>
        <v>7.1111111111111107</v>
      </c>
      <c r="AF4" s="453">
        <f t="shared" si="0"/>
        <v>0</v>
      </c>
      <c r="AG4" s="453">
        <f t="shared" si="0"/>
        <v>9.3333333333333339</v>
      </c>
      <c r="AH4" s="453">
        <f t="shared" si="0"/>
        <v>0</v>
      </c>
      <c r="AI4" s="453">
        <f t="shared" si="0"/>
        <v>3.822222222222222</v>
      </c>
      <c r="AJ4" s="453">
        <f t="shared" si="0"/>
        <v>0</v>
      </c>
      <c r="AK4" s="453">
        <f t="shared" si="0"/>
        <v>6.666666666666667</v>
      </c>
      <c r="AL4" s="453">
        <f t="shared" si="0"/>
        <v>0</v>
      </c>
      <c r="AM4" s="453">
        <f t="shared" si="0"/>
        <v>3.6444444444444448</v>
      </c>
      <c r="AN4" s="453">
        <f t="shared" si="0"/>
        <v>0</v>
      </c>
      <c r="AO4" s="453">
        <f t="shared" si="0"/>
        <v>8.9777777777777779</v>
      </c>
      <c r="AP4" s="453">
        <f t="shared" si="0"/>
        <v>0</v>
      </c>
      <c r="AQ4" s="453">
        <f t="shared" si="0"/>
        <v>0.71111111111111114</v>
      </c>
      <c r="AR4" s="453">
        <f t="shared" si="0"/>
        <v>0</v>
      </c>
      <c r="AS4" s="453">
        <f t="shared" si="0"/>
        <v>2.9333333333333331</v>
      </c>
      <c r="AT4" s="453">
        <f t="shared" si="0"/>
        <v>0</v>
      </c>
      <c r="AU4" s="453">
        <f t="shared" si="0"/>
        <v>4.7111111111111112</v>
      </c>
      <c r="AV4" s="453">
        <f t="shared" si="0"/>
        <v>0</v>
      </c>
      <c r="AW4" s="453">
        <f t="shared" si="0"/>
        <v>4.6222222222222218</v>
      </c>
      <c r="AX4" s="453">
        <f t="shared" si="0"/>
        <v>0</v>
      </c>
      <c r="AY4" s="453">
        <f t="shared" si="0"/>
        <v>6.7555555555555546</v>
      </c>
      <c r="AZ4" s="453">
        <f t="shared" si="0"/>
        <v>0</v>
      </c>
      <c r="BA4" s="453">
        <f t="shared" si="0"/>
        <v>7.2888888888888896</v>
      </c>
      <c r="BB4" s="453">
        <f t="shared" si="0"/>
        <v>0</v>
      </c>
      <c r="BC4" s="453">
        <f t="shared" si="0"/>
        <v>9.2444444444444436</v>
      </c>
      <c r="BD4" s="453">
        <f t="shared" si="0"/>
        <v>0</v>
      </c>
      <c r="BE4" s="453">
        <f t="shared" si="0"/>
        <v>13.066666666666665</v>
      </c>
      <c r="BF4" s="453">
        <f t="shared" si="0"/>
        <v>0</v>
      </c>
      <c r="BG4" s="453">
        <f t="shared" si="0"/>
        <v>4.8</v>
      </c>
      <c r="BH4" s="361"/>
      <c r="BI4" s="361"/>
      <c r="BJ4" s="361"/>
      <c r="BK4" s="361"/>
    </row>
    <row r="5" spans="1:979" ht="18.75" customHeight="1" x14ac:dyDescent="0.25">
      <c r="A5" s="825" t="s">
        <v>431</v>
      </c>
      <c r="B5" s="825"/>
      <c r="C5" s="827" t="s">
        <v>430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67"/>
      <c r="S5" s="67"/>
      <c r="T5" s="67"/>
      <c r="U5" s="67"/>
      <c r="V5" s="67"/>
      <c r="W5" s="67"/>
      <c r="X5" s="67"/>
      <c r="Y5" s="67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</row>
    <row r="6" spans="1:979" ht="33.75" customHeight="1" x14ac:dyDescent="0.25">
      <c r="A6" s="569"/>
      <c r="B6" s="569"/>
      <c r="C6" s="569"/>
      <c r="D6" s="569"/>
      <c r="E6" s="570"/>
      <c r="F6" s="848" t="s">
        <v>11</v>
      </c>
      <c r="G6" s="849"/>
      <c r="H6" s="832" t="s">
        <v>402</v>
      </c>
      <c r="I6" s="833"/>
      <c r="J6" s="833"/>
      <c r="K6" s="833"/>
      <c r="L6" s="833"/>
      <c r="M6" s="833"/>
      <c r="N6" s="833"/>
      <c r="O6" s="833"/>
      <c r="P6" s="833"/>
      <c r="Q6" s="834"/>
      <c r="R6" s="859" t="s">
        <v>67</v>
      </c>
      <c r="S6" s="860"/>
      <c r="T6" s="860"/>
      <c r="U6" s="861"/>
      <c r="V6" s="865" t="s">
        <v>6</v>
      </c>
      <c r="W6" s="860"/>
      <c r="X6" s="860"/>
      <c r="Y6" s="861"/>
      <c r="Z6" s="842" t="s">
        <v>434</v>
      </c>
      <c r="AA6" s="842"/>
      <c r="AB6" s="842" t="s">
        <v>435</v>
      </c>
      <c r="AC6" s="842"/>
      <c r="AD6" s="842" t="s">
        <v>436</v>
      </c>
      <c r="AE6" s="842"/>
      <c r="AF6" s="842" t="s">
        <v>437</v>
      </c>
      <c r="AG6" s="842"/>
      <c r="AH6" s="842" t="s">
        <v>438</v>
      </c>
      <c r="AI6" s="842"/>
      <c r="AJ6" s="842" t="s">
        <v>439</v>
      </c>
      <c r="AK6" s="842"/>
      <c r="AL6" s="842" t="s">
        <v>440</v>
      </c>
      <c r="AM6" s="842"/>
      <c r="AN6" s="842" t="s">
        <v>441</v>
      </c>
      <c r="AO6" s="842"/>
      <c r="AP6" s="842" t="s">
        <v>442</v>
      </c>
      <c r="AQ6" s="842"/>
      <c r="AR6" s="842" t="s">
        <v>443</v>
      </c>
      <c r="AS6" s="842"/>
      <c r="AT6" s="842" t="s">
        <v>444</v>
      </c>
      <c r="AU6" s="842"/>
      <c r="AV6" s="850" t="s">
        <v>445</v>
      </c>
      <c r="AW6" s="851"/>
      <c r="AX6" s="850" t="s">
        <v>446</v>
      </c>
      <c r="AY6" s="851"/>
      <c r="AZ6" s="842" t="s">
        <v>447</v>
      </c>
      <c r="BA6" s="842"/>
      <c r="BB6" s="850" t="s">
        <v>448</v>
      </c>
      <c r="BC6" s="851"/>
      <c r="BD6" s="850" t="s">
        <v>449</v>
      </c>
      <c r="BE6" s="851"/>
      <c r="BF6" s="850" t="s">
        <v>450</v>
      </c>
      <c r="BG6" s="851"/>
      <c r="BH6" s="843" t="s">
        <v>451</v>
      </c>
      <c r="BI6" s="843"/>
      <c r="BJ6" s="843" t="s">
        <v>18</v>
      </c>
      <c r="BK6" s="843"/>
      <c r="BL6" s="47"/>
    </row>
    <row r="7" spans="1:979" ht="42" customHeight="1" x14ac:dyDescent="0.25">
      <c r="A7" s="844" t="s">
        <v>14</v>
      </c>
      <c r="B7" s="846" t="s">
        <v>47</v>
      </c>
      <c r="C7" s="844" t="s">
        <v>12</v>
      </c>
      <c r="D7" s="571" t="s">
        <v>15</v>
      </c>
      <c r="E7" s="572" t="s">
        <v>19</v>
      </c>
      <c r="F7" s="572" t="s">
        <v>20</v>
      </c>
      <c r="G7" s="572" t="s">
        <v>16</v>
      </c>
      <c r="H7" s="145" t="s">
        <v>457</v>
      </c>
      <c r="I7" s="145" t="s">
        <v>458</v>
      </c>
      <c r="J7" s="145" t="s">
        <v>459</v>
      </c>
      <c r="K7" s="145" t="s">
        <v>460</v>
      </c>
      <c r="L7" s="145" t="s">
        <v>461</v>
      </c>
      <c r="M7" s="145" t="s">
        <v>462</v>
      </c>
      <c r="N7" s="145" t="s">
        <v>463</v>
      </c>
      <c r="O7" s="145" t="s">
        <v>464</v>
      </c>
      <c r="P7" s="145" t="s">
        <v>465</v>
      </c>
      <c r="Q7" s="145" t="s">
        <v>466</v>
      </c>
      <c r="R7" s="862"/>
      <c r="S7" s="863"/>
      <c r="T7" s="863"/>
      <c r="U7" s="864"/>
      <c r="V7" s="862"/>
      <c r="W7" s="863"/>
      <c r="X7" s="863"/>
      <c r="Y7" s="864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842"/>
      <c r="AN7" s="842"/>
      <c r="AO7" s="842"/>
      <c r="AP7" s="842"/>
      <c r="AQ7" s="842"/>
      <c r="AR7" s="842"/>
      <c r="AS7" s="842"/>
      <c r="AT7" s="842"/>
      <c r="AU7" s="842"/>
      <c r="AV7" s="852"/>
      <c r="AW7" s="853"/>
      <c r="AX7" s="852"/>
      <c r="AY7" s="853"/>
      <c r="AZ7" s="842"/>
      <c r="BA7" s="842"/>
      <c r="BB7" s="852"/>
      <c r="BC7" s="853"/>
      <c r="BD7" s="852"/>
      <c r="BE7" s="853"/>
      <c r="BF7" s="852"/>
      <c r="BG7" s="853"/>
      <c r="BH7" s="843"/>
      <c r="BI7" s="843"/>
      <c r="BJ7" s="843"/>
      <c r="BK7" s="843"/>
      <c r="BL7" s="841" t="s">
        <v>498</v>
      </c>
      <c r="BN7" s="856" t="s">
        <v>496</v>
      </c>
      <c r="BO7" s="857"/>
      <c r="BP7" s="857"/>
      <c r="BQ7" s="857"/>
      <c r="BR7" s="858"/>
      <c r="BS7" s="840" t="s">
        <v>497</v>
      </c>
      <c r="BT7" s="840"/>
      <c r="BU7" s="840"/>
      <c r="BV7" s="841" t="s">
        <v>18</v>
      </c>
    </row>
    <row r="8" spans="1:979" ht="54" customHeight="1" x14ac:dyDescent="0.25">
      <c r="A8" s="845"/>
      <c r="B8" s="847"/>
      <c r="C8" s="845"/>
      <c r="D8" s="573"/>
      <c r="E8" s="574"/>
      <c r="F8" s="574"/>
      <c r="G8" s="574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145" t="s">
        <v>7</v>
      </c>
      <c r="S8" s="145" t="s">
        <v>8</v>
      </c>
      <c r="T8" s="145" t="s">
        <v>9</v>
      </c>
      <c r="U8" s="145" t="s">
        <v>10</v>
      </c>
      <c r="V8" s="145" t="s">
        <v>7</v>
      </c>
      <c r="W8" s="145" t="s">
        <v>8</v>
      </c>
      <c r="X8" s="145" t="s">
        <v>9</v>
      </c>
      <c r="Y8" s="145" t="s">
        <v>10</v>
      </c>
      <c r="Z8" s="145" t="s">
        <v>15</v>
      </c>
      <c r="AA8" s="145" t="s">
        <v>16</v>
      </c>
      <c r="AB8" s="145" t="s">
        <v>15</v>
      </c>
      <c r="AC8" s="145" t="s">
        <v>16</v>
      </c>
      <c r="AD8" s="145" t="s">
        <v>15</v>
      </c>
      <c r="AE8" s="145" t="s">
        <v>16</v>
      </c>
      <c r="AF8" s="145" t="s">
        <v>15</v>
      </c>
      <c r="AG8" s="145" t="s">
        <v>16</v>
      </c>
      <c r="AH8" s="145" t="s">
        <v>15</v>
      </c>
      <c r="AI8" s="145" t="s">
        <v>16</v>
      </c>
      <c r="AJ8" s="145" t="s">
        <v>15</v>
      </c>
      <c r="AK8" s="145" t="s">
        <v>16</v>
      </c>
      <c r="AL8" s="145" t="s">
        <v>15</v>
      </c>
      <c r="AM8" s="145" t="s">
        <v>16</v>
      </c>
      <c r="AN8" s="145" t="s">
        <v>15</v>
      </c>
      <c r="AO8" s="145" t="s">
        <v>16</v>
      </c>
      <c r="AP8" s="145" t="s">
        <v>15</v>
      </c>
      <c r="AQ8" s="145" t="s">
        <v>16</v>
      </c>
      <c r="AR8" s="145" t="s">
        <v>15</v>
      </c>
      <c r="AS8" s="145" t="s">
        <v>16</v>
      </c>
      <c r="AT8" s="145" t="s">
        <v>15</v>
      </c>
      <c r="AU8" s="145" t="s">
        <v>16</v>
      </c>
      <c r="AV8" s="145" t="s">
        <v>15</v>
      </c>
      <c r="AW8" s="145" t="s">
        <v>16</v>
      </c>
      <c r="AX8" s="145" t="s">
        <v>15</v>
      </c>
      <c r="AY8" s="145" t="s">
        <v>16</v>
      </c>
      <c r="AZ8" s="145" t="s">
        <v>15</v>
      </c>
      <c r="BA8" s="145" t="s">
        <v>16</v>
      </c>
      <c r="BB8" s="145" t="s">
        <v>15</v>
      </c>
      <c r="BC8" s="145" t="s">
        <v>16</v>
      </c>
      <c r="BD8" s="145" t="s">
        <v>15</v>
      </c>
      <c r="BE8" s="145" t="s">
        <v>16</v>
      </c>
      <c r="BF8" s="145" t="s">
        <v>15</v>
      </c>
      <c r="BG8" s="145" t="s">
        <v>16</v>
      </c>
      <c r="BH8" s="145" t="s">
        <v>15</v>
      </c>
      <c r="BI8" s="145" t="s">
        <v>16</v>
      </c>
      <c r="BJ8" s="145" t="s">
        <v>15</v>
      </c>
      <c r="BK8" s="145" t="s">
        <v>16</v>
      </c>
      <c r="BL8" s="841"/>
      <c r="BN8" s="118" t="s">
        <v>487</v>
      </c>
      <c r="BO8" s="367" t="s">
        <v>488</v>
      </c>
      <c r="BP8" s="367" t="s">
        <v>489</v>
      </c>
      <c r="BQ8" s="368" t="s">
        <v>490</v>
      </c>
      <c r="BR8" s="369" t="s">
        <v>491</v>
      </c>
      <c r="BS8" s="367" t="s">
        <v>492</v>
      </c>
      <c r="BT8" s="367" t="s">
        <v>493</v>
      </c>
      <c r="BU8" s="369" t="s">
        <v>494</v>
      </c>
      <c r="BV8" s="841"/>
    </row>
    <row r="9" spans="1:979" ht="24" customHeight="1" x14ac:dyDescent="0.25">
      <c r="A9" s="854" t="s">
        <v>145</v>
      </c>
      <c r="B9" s="575">
        <v>12000</v>
      </c>
      <c r="C9" s="299" t="s">
        <v>98</v>
      </c>
      <c r="D9" s="576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145"/>
      <c r="S9" s="145"/>
      <c r="T9" s="145"/>
      <c r="U9" s="145"/>
      <c r="V9" s="145"/>
      <c r="W9" s="145"/>
      <c r="X9" s="145"/>
      <c r="Y9" s="14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41"/>
      <c r="BN9" s="113"/>
      <c r="BO9" s="113"/>
      <c r="BP9" s="113"/>
      <c r="BQ9" s="113"/>
      <c r="BR9" s="113"/>
      <c r="BS9" s="113"/>
      <c r="BT9" s="113"/>
      <c r="BU9" s="113"/>
      <c r="BV9" s="181">
        <f>BR9+BU9</f>
        <v>0</v>
      </c>
    </row>
    <row r="10" spans="1:979" ht="32.25" customHeight="1" x14ac:dyDescent="0.25">
      <c r="A10" s="855"/>
      <c r="B10" s="454">
        <v>12100</v>
      </c>
      <c r="C10" s="578" t="s">
        <v>99</v>
      </c>
      <c r="D10" s="576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145"/>
      <c r="S10" s="145"/>
      <c r="T10" s="145"/>
      <c r="U10" s="145"/>
      <c r="V10" s="145"/>
      <c r="W10" s="145"/>
      <c r="X10" s="145"/>
      <c r="Y10" s="14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47"/>
      <c r="BN10" s="113">
        <v>0</v>
      </c>
      <c r="BO10" s="113">
        <v>0</v>
      </c>
      <c r="BP10" s="113">
        <v>0</v>
      </c>
      <c r="BQ10" s="113">
        <v>0</v>
      </c>
      <c r="BR10" s="113">
        <f>BN10+BO10+BP10+BQ10</f>
        <v>0</v>
      </c>
      <c r="BS10" s="113">
        <v>0</v>
      </c>
      <c r="BT10" s="113">
        <v>0</v>
      </c>
      <c r="BU10" s="113">
        <f>BS10+BT10</f>
        <v>0</v>
      </c>
      <c r="BV10" s="181">
        <f t="shared" ref="BV10:BV66" si="1">BR10+BU10</f>
        <v>0</v>
      </c>
    </row>
    <row r="11" spans="1:979" s="170" customFormat="1" ht="36.75" customHeight="1" x14ac:dyDescent="0.25">
      <c r="A11" s="855"/>
      <c r="B11" s="454">
        <v>12110</v>
      </c>
      <c r="C11" s="169" t="s">
        <v>100</v>
      </c>
      <c r="D11" s="12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85"/>
      <c r="BK11" s="85"/>
      <c r="BL11" s="47"/>
      <c r="BM11" s="39"/>
      <c r="BN11" s="113">
        <v>0</v>
      </c>
      <c r="BO11" s="113">
        <v>0</v>
      </c>
      <c r="BP11" s="113">
        <v>0</v>
      </c>
      <c r="BQ11" s="113">
        <v>0</v>
      </c>
      <c r="BR11" s="113">
        <f>BN11+BO11+BP11+BQ11</f>
        <v>0</v>
      </c>
      <c r="BS11" s="113">
        <v>0</v>
      </c>
      <c r="BT11" s="113">
        <v>0</v>
      </c>
      <c r="BU11" s="113">
        <f>BS11+BT11</f>
        <v>0</v>
      </c>
      <c r="BV11" s="181">
        <f t="shared" si="1"/>
        <v>0</v>
      </c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</row>
    <row r="12" spans="1:979" s="170" customFormat="1" ht="31.5" x14ac:dyDescent="0.25">
      <c r="A12" s="855"/>
      <c r="B12" s="168"/>
      <c r="C12" s="169" t="s">
        <v>101</v>
      </c>
      <c r="D12" s="169" t="s">
        <v>102</v>
      </c>
      <c r="E12" s="169">
        <f>0.001*100000</f>
        <v>100</v>
      </c>
      <c r="F12" s="174">
        <f>BJ12</f>
        <v>0</v>
      </c>
      <c r="G12" s="69">
        <f>E12*F12</f>
        <v>0</v>
      </c>
      <c r="H12" s="69">
        <f>G12*0.07</f>
        <v>0</v>
      </c>
      <c r="I12" s="69">
        <f>G12*0.904</f>
        <v>0</v>
      </c>
      <c r="J12" s="69">
        <f>G12*0</f>
        <v>0</v>
      </c>
      <c r="K12" s="69">
        <f>G12*0</f>
        <v>0</v>
      </c>
      <c r="L12" s="69">
        <f>G12*0</f>
        <v>0</v>
      </c>
      <c r="M12" s="69">
        <f>G12*0</f>
        <v>0</v>
      </c>
      <c r="N12" s="69">
        <f>G12*0</f>
        <v>0</v>
      </c>
      <c r="O12" s="69">
        <f>G12*0</f>
        <v>0</v>
      </c>
      <c r="P12" s="69">
        <f>G12*0</f>
        <v>0</v>
      </c>
      <c r="Q12" s="69">
        <f>G12*0</f>
        <v>0</v>
      </c>
      <c r="R12" s="69"/>
      <c r="S12" s="69"/>
      <c r="T12" s="69"/>
      <c r="U12" s="69"/>
      <c r="V12" s="69">
        <f>R12*E12</f>
        <v>0</v>
      </c>
      <c r="W12" s="69">
        <f>S12*E12</f>
        <v>0</v>
      </c>
      <c r="X12" s="69">
        <f>T12*E12</f>
        <v>0</v>
      </c>
      <c r="Y12" s="69">
        <f>U12*E12</f>
        <v>0</v>
      </c>
      <c r="Z12" s="69">
        <v>0</v>
      </c>
      <c r="AA12" s="69">
        <f>Z12*100</f>
        <v>0</v>
      </c>
      <c r="AB12" s="69">
        <v>0</v>
      </c>
      <c r="AC12" s="69">
        <f>AB12*100</f>
        <v>0</v>
      </c>
      <c r="AD12" s="69">
        <v>0</v>
      </c>
      <c r="AE12" s="69">
        <f>AD12*100</f>
        <v>0</v>
      </c>
      <c r="AF12" s="69">
        <v>0</v>
      </c>
      <c r="AG12" s="69">
        <f>AF12*100</f>
        <v>0</v>
      </c>
      <c r="AH12" s="69">
        <v>0</v>
      </c>
      <c r="AI12" s="69">
        <f>AH12*100</f>
        <v>0</v>
      </c>
      <c r="AJ12" s="69">
        <v>0</v>
      </c>
      <c r="AK12" s="69">
        <f>AJ12*100</f>
        <v>0</v>
      </c>
      <c r="AL12" s="69">
        <v>0</v>
      </c>
      <c r="AM12" s="69">
        <f>AL12*100</f>
        <v>0</v>
      </c>
      <c r="AN12" s="69">
        <v>0</v>
      </c>
      <c r="AO12" s="69">
        <f>AN12*100</f>
        <v>0</v>
      </c>
      <c r="AP12" s="69">
        <v>0</v>
      </c>
      <c r="AQ12" s="69">
        <f>AP12*100</f>
        <v>0</v>
      </c>
      <c r="AR12" s="69">
        <v>0</v>
      </c>
      <c r="AS12" s="69">
        <f>AR12*100</f>
        <v>0</v>
      </c>
      <c r="AT12" s="69">
        <v>0</v>
      </c>
      <c r="AU12" s="69">
        <f>AT12*100</f>
        <v>0</v>
      </c>
      <c r="AV12" s="69">
        <v>0</v>
      </c>
      <c r="AW12" s="69">
        <f>AV12*100</f>
        <v>0</v>
      </c>
      <c r="AX12" s="69">
        <v>0</v>
      </c>
      <c r="AY12" s="69">
        <f>AX12*100</f>
        <v>0</v>
      </c>
      <c r="AZ12" s="69">
        <v>0</v>
      </c>
      <c r="BA12" s="69">
        <f>AZ12*100</f>
        <v>0</v>
      </c>
      <c r="BB12" s="69">
        <v>0</v>
      </c>
      <c r="BC12" s="69">
        <f>BB12*100</f>
        <v>0</v>
      </c>
      <c r="BD12" s="69">
        <v>0</v>
      </c>
      <c r="BE12" s="69">
        <f>BD12*100</f>
        <v>0</v>
      </c>
      <c r="BF12" s="69">
        <v>0</v>
      </c>
      <c r="BG12" s="69">
        <f>BF12*100</f>
        <v>0</v>
      </c>
      <c r="BH12" s="69">
        <v>0</v>
      </c>
      <c r="BI12" s="69">
        <f>BH12*100</f>
        <v>0</v>
      </c>
      <c r="BJ12" s="85">
        <f>Z12+AB12+AD12+AF12+AH12+AJ12+AL12+AN12+AP12+AR12+AT12+AV12+AX12+AZ12+BB12+BD12+BF12+BH12</f>
        <v>0</v>
      </c>
      <c r="BK12" s="85">
        <f>AA12+AC12+AE12+AG12+AI12+AK12+AM12+AO12+AQ12+AS12+AU12+AW12+AY12+BA12+BC12+BE12+BG12+BI12</f>
        <v>0</v>
      </c>
      <c r="BL12" s="333" t="s">
        <v>469</v>
      </c>
      <c r="BM12" s="39"/>
      <c r="BN12" s="113">
        <v>0</v>
      </c>
      <c r="BO12" s="113">
        <v>0</v>
      </c>
      <c r="BP12" s="113">
        <v>0</v>
      </c>
      <c r="BQ12" s="113">
        <v>0</v>
      </c>
      <c r="BR12" s="113">
        <f>BN12+BO12+BP12+BQ12</f>
        <v>0</v>
      </c>
      <c r="BS12" s="113">
        <v>0</v>
      </c>
      <c r="BT12" s="113">
        <v>0</v>
      </c>
      <c r="BU12" s="113">
        <f>BS12+BT12</f>
        <v>0</v>
      </c>
      <c r="BV12" s="181">
        <f t="shared" si="1"/>
        <v>0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</row>
    <row r="13" spans="1:979" s="170" customFormat="1" ht="36.75" customHeight="1" x14ac:dyDescent="0.25">
      <c r="A13" s="855"/>
      <c r="B13" s="168"/>
      <c r="C13" s="169" t="s">
        <v>821</v>
      </c>
      <c r="D13" s="169" t="s">
        <v>102</v>
      </c>
      <c r="E13" s="169">
        <f>0.1*100000</f>
        <v>10000</v>
      </c>
      <c r="F13" s="174">
        <f>BJ13</f>
        <v>119</v>
      </c>
      <c r="G13" s="69">
        <f>E13*F13</f>
        <v>1190000</v>
      </c>
      <c r="H13" s="69">
        <f>G13*0.2</f>
        <v>238000</v>
      </c>
      <c r="I13" s="69">
        <f>G13*0.8</f>
        <v>952000</v>
      </c>
      <c r="J13" s="69">
        <f>G13*0</f>
        <v>0</v>
      </c>
      <c r="K13" s="69">
        <f>G13*0</f>
        <v>0</v>
      </c>
      <c r="L13" s="69">
        <f>G13*0</f>
        <v>0</v>
      </c>
      <c r="M13" s="69">
        <f>G13*0</f>
        <v>0</v>
      </c>
      <c r="N13" s="69">
        <f>G13*0</f>
        <v>0</v>
      </c>
      <c r="O13" s="69">
        <f>G13*0</f>
        <v>0</v>
      </c>
      <c r="P13" s="69">
        <f>G13*0</f>
        <v>0</v>
      </c>
      <c r="Q13" s="69">
        <f>G13*0</f>
        <v>0</v>
      </c>
      <c r="R13" s="155">
        <v>40</v>
      </c>
      <c r="S13" s="155">
        <v>40</v>
      </c>
      <c r="T13" s="155">
        <v>39</v>
      </c>
      <c r="U13" s="155">
        <v>0</v>
      </c>
      <c r="V13" s="69">
        <f>R13*E13</f>
        <v>400000</v>
      </c>
      <c r="W13" s="69">
        <f>S13*E13</f>
        <v>400000</v>
      </c>
      <c r="X13" s="69">
        <f>T13*E13</f>
        <v>390000</v>
      </c>
      <c r="Y13" s="69">
        <f>U13*E13</f>
        <v>0</v>
      </c>
      <c r="Z13" s="69">
        <v>7</v>
      </c>
      <c r="AA13" s="69">
        <f>Z13*10000</f>
        <v>70000</v>
      </c>
      <c r="AB13" s="69">
        <v>7</v>
      </c>
      <c r="AC13" s="69">
        <f>AB13*10000</f>
        <v>70000</v>
      </c>
      <c r="AD13" s="69">
        <v>7</v>
      </c>
      <c r="AE13" s="69">
        <f>AD13*10000</f>
        <v>70000</v>
      </c>
      <c r="AF13" s="69">
        <v>7</v>
      </c>
      <c r="AG13" s="69">
        <f>AF13*10000</f>
        <v>70000</v>
      </c>
      <c r="AH13" s="69">
        <v>7</v>
      </c>
      <c r="AI13" s="69">
        <f>AH13*10000</f>
        <v>70000</v>
      </c>
      <c r="AJ13" s="69">
        <v>7</v>
      </c>
      <c r="AK13" s="69">
        <f>AJ13*10000</f>
        <v>70000</v>
      </c>
      <c r="AL13" s="69">
        <v>7</v>
      </c>
      <c r="AM13" s="69">
        <f>AL13*10000</f>
        <v>70000</v>
      </c>
      <c r="AN13" s="69">
        <v>7</v>
      </c>
      <c r="AO13" s="69">
        <f>AN13*10000</f>
        <v>70000</v>
      </c>
      <c r="AP13" s="69">
        <v>7</v>
      </c>
      <c r="AQ13" s="69">
        <f>AP13*10000</f>
        <v>70000</v>
      </c>
      <c r="AR13" s="69">
        <v>7</v>
      </c>
      <c r="AS13" s="69">
        <f>AR13*10000</f>
        <v>70000</v>
      </c>
      <c r="AT13" s="69">
        <v>7</v>
      </c>
      <c r="AU13" s="69">
        <f>AT13*10000</f>
        <v>70000</v>
      </c>
      <c r="AV13" s="69">
        <v>7</v>
      </c>
      <c r="AW13" s="69">
        <f>AV13*10000</f>
        <v>70000</v>
      </c>
      <c r="AX13" s="69">
        <v>7</v>
      </c>
      <c r="AY13" s="69">
        <f>AX13*10000</f>
        <v>70000</v>
      </c>
      <c r="AZ13" s="69">
        <v>7</v>
      </c>
      <c r="BA13" s="69">
        <f>AZ13*10000</f>
        <v>70000</v>
      </c>
      <c r="BB13" s="69">
        <v>7</v>
      </c>
      <c r="BC13" s="69">
        <f>BB13*10000</f>
        <v>70000</v>
      </c>
      <c r="BD13" s="69">
        <v>7</v>
      </c>
      <c r="BE13" s="69">
        <f>BD13*10000</f>
        <v>70000</v>
      </c>
      <c r="BF13" s="69">
        <v>7</v>
      </c>
      <c r="BG13" s="69">
        <f>BF13*10000</f>
        <v>70000</v>
      </c>
      <c r="BH13" s="69">
        <v>0</v>
      </c>
      <c r="BI13" s="69">
        <f>BH13*10000</f>
        <v>0</v>
      </c>
      <c r="BJ13" s="85">
        <f>Z13+AB13+AD13+AF13+AH13+AJ13+AL13+AN13+AP13+AR13+AT13+AV13+AX13+AZ13+BB13+BD13+BF13+BH13</f>
        <v>119</v>
      </c>
      <c r="BK13" s="85">
        <f>AA13+AC13+AE13+AG13+AI13+AK13+AM13+AO13+AQ13+AS13+AU13+AW13+AY13+BA13+BC13+BE13+BG13+BI13</f>
        <v>1190000</v>
      </c>
      <c r="BL13" s="333" t="s">
        <v>469</v>
      </c>
      <c r="BM13" s="39"/>
      <c r="BN13" s="113">
        <v>0</v>
      </c>
      <c r="BO13" s="113">
        <f>G13</f>
        <v>1190000</v>
      </c>
      <c r="BP13" s="113">
        <v>0</v>
      </c>
      <c r="BQ13" s="113">
        <v>0</v>
      </c>
      <c r="BR13" s="113">
        <f>BN13+BO13+BP13+BQ13</f>
        <v>1190000</v>
      </c>
      <c r="BS13" s="113">
        <v>0</v>
      </c>
      <c r="BT13" s="113">
        <v>0</v>
      </c>
      <c r="BU13" s="113">
        <f>BS13+BT13</f>
        <v>0</v>
      </c>
      <c r="BV13" s="181">
        <f t="shared" si="1"/>
        <v>1190000</v>
      </c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</row>
    <row r="14" spans="1:979" s="170" customFormat="1" ht="24" customHeight="1" x14ac:dyDescent="0.25">
      <c r="A14" s="855"/>
      <c r="B14" s="579"/>
      <c r="C14" s="580"/>
      <c r="D14" s="140"/>
      <c r="E14" s="140"/>
      <c r="F14" s="140">
        <f>SUM(F12:F13)</f>
        <v>119</v>
      </c>
      <c r="G14" s="140">
        <f>SUM(G12:G13)</f>
        <v>1190000</v>
      </c>
      <c r="H14" s="140">
        <f t="shared" ref="H14:Q14" si="2">SUM(H12:H13)</f>
        <v>238000</v>
      </c>
      <c r="I14" s="140">
        <f t="shared" si="2"/>
        <v>952000</v>
      </c>
      <c r="J14" s="140">
        <f t="shared" si="2"/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 t="shared" si="2"/>
        <v>0</v>
      </c>
      <c r="Q14" s="140">
        <f t="shared" si="2"/>
        <v>0</v>
      </c>
      <c r="R14" s="140">
        <f t="shared" ref="R14:Y14" si="3">SUM(R13)</f>
        <v>40</v>
      </c>
      <c r="S14" s="140">
        <f t="shared" si="3"/>
        <v>40</v>
      </c>
      <c r="T14" s="140">
        <f t="shared" si="3"/>
        <v>39</v>
      </c>
      <c r="U14" s="140">
        <f t="shared" si="3"/>
        <v>0</v>
      </c>
      <c r="V14" s="140">
        <f t="shared" si="3"/>
        <v>400000</v>
      </c>
      <c r="W14" s="140">
        <f t="shared" si="3"/>
        <v>400000</v>
      </c>
      <c r="X14" s="140">
        <f t="shared" si="3"/>
        <v>390000</v>
      </c>
      <c r="Y14" s="140">
        <f t="shared" si="3"/>
        <v>0</v>
      </c>
      <c r="Z14" s="140">
        <f t="shared" ref="Z14:BK14" si="4">SUM(Z12:Z13)</f>
        <v>7</v>
      </c>
      <c r="AA14" s="140">
        <f t="shared" si="4"/>
        <v>70000</v>
      </c>
      <c r="AB14" s="140">
        <f t="shared" si="4"/>
        <v>7</v>
      </c>
      <c r="AC14" s="140">
        <f t="shared" si="4"/>
        <v>70000</v>
      </c>
      <c r="AD14" s="140">
        <f t="shared" si="4"/>
        <v>7</v>
      </c>
      <c r="AE14" s="140">
        <f t="shared" si="4"/>
        <v>70000</v>
      </c>
      <c r="AF14" s="140">
        <f t="shared" si="4"/>
        <v>7</v>
      </c>
      <c r="AG14" s="140">
        <f t="shared" si="4"/>
        <v>70000</v>
      </c>
      <c r="AH14" s="140">
        <f t="shared" si="4"/>
        <v>7</v>
      </c>
      <c r="AI14" s="140">
        <f t="shared" si="4"/>
        <v>70000</v>
      </c>
      <c r="AJ14" s="140">
        <f t="shared" si="4"/>
        <v>7</v>
      </c>
      <c r="AK14" s="140">
        <f t="shared" si="4"/>
        <v>70000</v>
      </c>
      <c r="AL14" s="140">
        <f t="shared" si="4"/>
        <v>7</v>
      </c>
      <c r="AM14" s="140">
        <f t="shared" si="4"/>
        <v>70000</v>
      </c>
      <c r="AN14" s="140">
        <f t="shared" si="4"/>
        <v>7</v>
      </c>
      <c r="AO14" s="140">
        <f t="shared" si="4"/>
        <v>70000</v>
      </c>
      <c r="AP14" s="140">
        <f t="shared" si="4"/>
        <v>7</v>
      </c>
      <c r="AQ14" s="140">
        <f t="shared" si="4"/>
        <v>70000</v>
      </c>
      <c r="AR14" s="140">
        <f t="shared" si="4"/>
        <v>7</v>
      </c>
      <c r="AS14" s="140">
        <f t="shared" si="4"/>
        <v>70000</v>
      </c>
      <c r="AT14" s="140">
        <f t="shared" si="4"/>
        <v>7</v>
      </c>
      <c r="AU14" s="140">
        <f t="shared" si="4"/>
        <v>70000</v>
      </c>
      <c r="AV14" s="140">
        <f t="shared" si="4"/>
        <v>7</v>
      </c>
      <c r="AW14" s="140">
        <f t="shared" si="4"/>
        <v>70000</v>
      </c>
      <c r="AX14" s="140">
        <f t="shared" si="4"/>
        <v>7</v>
      </c>
      <c r="AY14" s="140">
        <f t="shared" si="4"/>
        <v>70000</v>
      </c>
      <c r="AZ14" s="140">
        <f t="shared" si="4"/>
        <v>7</v>
      </c>
      <c r="BA14" s="140">
        <f t="shared" si="4"/>
        <v>70000</v>
      </c>
      <c r="BB14" s="140">
        <f t="shared" si="4"/>
        <v>7</v>
      </c>
      <c r="BC14" s="140">
        <f t="shared" si="4"/>
        <v>70000</v>
      </c>
      <c r="BD14" s="140">
        <f t="shared" si="4"/>
        <v>7</v>
      </c>
      <c r="BE14" s="140">
        <f t="shared" si="4"/>
        <v>70000</v>
      </c>
      <c r="BF14" s="140">
        <f t="shared" si="4"/>
        <v>7</v>
      </c>
      <c r="BG14" s="140">
        <f t="shared" si="4"/>
        <v>70000</v>
      </c>
      <c r="BH14" s="140">
        <f t="shared" si="4"/>
        <v>0</v>
      </c>
      <c r="BI14" s="140">
        <f t="shared" si="4"/>
        <v>0</v>
      </c>
      <c r="BJ14" s="140">
        <f t="shared" si="4"/>
        <v>119</v>
      </c>
      <c r="BK14" s="140">
        <f t="shared" si="4"/>
        <v>1190000</v>
      </c>
      <c r="BL14" s="47"/>
      <c r="BM14" s="39"/>
      <c r="BN14" s="140">
        <f t="shared" ref="BN14:BU14" si="5">SUM(BN12:BN13)</f>
        <v>0</v>
      </c>
      <c r="BO14" s="140">
        <f t="shared" si="5"/>
        <v>1190000</v>
      </c>
      <c r="BP14" s="140">
        <f t="shared" si="5"/>
        <v>0</v>
      </c>
      <c r="BQ14" s="140">
        <f t="shared" si="5"/>
        <v>0</v>
      </c>
      <c r="BR14" s="140">
        <f t="shared" si="5"/>
        <v>1190000</v>
      </c>
      <c r="BS14" s="140">
        <f t="shared" si="5"/>
        <v>0</v>
      </c>
      <c r="BT14" s="140">
        <f t="shared" si="5"/>
        <v>0</v>
      </c>
      <c r="BU14" s="140">
        <f t="shared" si="5"/>
        <v>0</v>
      </c>
      <c r="BV14" s="485">
        <f t="shared" si="1"/>
        <v>1190000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</row>
    <row r="15" spans="1:979" ht="48.75" customHeight="1" x14ac:dyDescent="0.25">
      <c r="A15" s="855"/>
      <c r="B15" s="454">
        <v>12120</v>
      </c>
      <c r="C15" s="169" t="s">
        <v>784</v>
      </c>
      <c r="D15" s="169" t="s">
        <v>102</v>
      </c>
      <c r="E15" s="169">
        <v>650</v>
      </c>
      <c r="F15" s="174">
        <f>BJ15</f>
        <v>2588</v>
      </c>
      <c r="G15" s="69">
        <f>E15*F15</f>
        <v>1682200</v>
      </c>
      <c r="H15" s="69">
        <f>G15*0.2</f>
        <v>336440</v>
      </c>
      <c r="I15" s="69">
        <f>G15*0.8</f>
        <v>1345760</v>
      </c>
      <c r="J15" s="69">
        <f>G15*0</f>
        <v>0</v>
      </c>
      <c r="K15" s="69">
        <f>G15*0</f>
        <v>0</v>
      </c>
      <c r="L15" s="69">
        <f>G15*0</f>
        <v>0</v>
      </c>
      <c r="M15" s="69">
        <f>G15*0</f>
        <v>0</v>
      </c>
      <c r="N15" s="69">
        <f>G15*0</f>
        <v>0</v>
      </c>
      <c r="O15" s="69">
        <f>G15*0</f>
        <v>0</v>
      </c>
      <c r="P15" s="69">
        <f>G15*0</f>
        <v>0</v>
      </c>
      <c r="Q15" s="69">
        <f>G15*0</f>
        <v>0</v>
      </c>
      <c r="R15" s="155">
        <v>647</v>
      </c>
      <c r="S15" s="155">
        <v>647</v>
      </c>
      <c r="T15" s="155">
        <v>647</v>
      </c>
      <c r="U15" s="155">
        <v>647</v>
      </c>
      <c r="V15" s="69">
        <f>R15*E15</f>
        <v>420550</v>
      </c>
      <c r="W15" s="69">
        <f>S15*E15</f>
        <v>420550</v>
      </c>
      <c r="X15" s="69">
        <f>T15*E15</f>
        <v>420550</v>
      </c>
      <c r="Y15" s="69">
        <f>U15*E15</f>
        <v>420550</v>
      </c>
      <c r="Z15" s="69">
        <v>119</v>
      </c>
      <c r="AA15" s="69">
        <f>Z15*E15</f>
        <v>77350</v>
      </c>
      <c r="AB15" s="69">
        <v>45</v>
      </c>
      <c r="AC15" s="69">
        <f>AB15*E15</f>
        <v>29250</v>
      </c>
      <c r="AD15" s="69">
        <v>97</v>
      </c>
      <c r="AE15" s="69">
        <f>AD15*E15</f>
        <v>63050</v>
      </c>
      <c r="AF15" s="69">
        <v>150</v>
      </c>
      <c r="AG15" s="69">
        <f>AF15*E15</f>
        <v>97500</v>
      </c>
      <c r="AH15" s="69">
        <v>77</v>
      </c>
      <c r="AI15" s="69">
        <f>AH15*E15</f>
        <v>50050</v>
      </c>
      <c r="AJ15" s="69">
        <v>101</v>
      </c>
      <c r="AK15" s="69">
        <f>AJ15*E15</f>
        <v>65650</v>
      </c>
      <c r="AL15" s="69">
        <v>109</v>
      </c>
      <c r="AM15" s="69">
        <f>AL15*E15</f>
        <v>70850</v>
      </c>
      <c r="AN15" s="69">
        <v>215</v>
      </c>
      <c r="AO15" s="69">
        <f>AN15*E15</f>
        <v>139750</v>
      </c>
      <c r="AP15" s="69">
        <v>42</v>
      </c>
      <c r="AQ15" s="69">
        <f>AP15*E15</f>
        <v>27300</v>
      </c>
      <c r="AR15" s="69">
        <v>113</v>
      </c>
      <c r="AS15" s="69">
        <f>AR15*E15</f>
        <v>73450</v>
      </c>
      <c r="AT15" s="69">
        <v>160</v>
      </c>
      <c r="AU15" s="69">
        <f>AT15*E15</f>
        <v>104000</v>
      </c>
      <c r="AV15" s="69">
        <v>222</v>
      </c>
      <c r="AW15" s="69">
        <f>AV15*E15</f>
        <v>144300</v>
      </c>
      <c r="AX15" s="69">
        <v>367</v>
      </c>
      <c r="AY15" s="69">
        <f>AX15*E15</f>
        <v>238550</v>
      </c>
      <c r="AZ15" s="69">
        <v>209</v>
      </c>
      <c r="BA15" s="69">
        <f>AZ15*E15</f>
        <v>135850</v>
      </c>
      <c r="BB15" s="69">
        <v>80</v>
      </c>
      <c r="BC15" s="69">
        <f>BB15*E15</f>
        <v>52000</v>
      </c>
      <c r="BD15" s="69">
        <v>305</v>
      </c>
      <c r="BE15" s="69">
        <f>BD15*E15</f>
        <v>198250</v>
      </c>
      <c r="BF15" s="69">
        <v>177</v>
      </c>
      <c r="BG15" s="69">
        <f>BF15*E15</f>
        <v>115050</v>
      </c>
      <c r="BH15" s="69">
        <v>0</v>
      </c>
      <c r="BI15" s="69">
        <f>BH15*1950</f>
        <v>0</v>
      </c>
      <c r="BJ15" s="85">
        <f>Z15+AB15+AD15+AF15+AH15+AJ15+AL15+AN15+AP15+AR15+AT15+AV15+AX15+AZ15+BB15+BD15+BF15+BH15</f>
        <v>2588</v>
      </c>
      <c r="BK15" s="85">
        <f>AA15+AC15+AE15+AG15+AI15+AK15+AM15+AO15+AQ15+AS15+AU15+AW15+AY15+BA15+BC15+BE15+BG15+BI15</f>
        <v>1682200</v>
      </c>
      <c r="BL15" s="333" t="s">
        <v>469</v>
      </c>
      <c r="BN15" s="113"/>
      <c r="BO15" s="113"/>
      <c r="BP15" s="113">
        <f>G15</f>
        <v>1682200</v>
      </c>
      <c r="BQ15" s="113"/>
      <c r="BR15" s="113">
        <f>BN15+BO15+BP15+BQ15</f>
        <v>1682200</v>
      </c>
      <c r="BS15" s="113"/>
      <c r="BT15" s="113"/>
      <c r="BU15" s="113"/>
      <c r="BV15" s="181">
        <f t="shared" si="1"/>
        <v>1682200</v>
      </c>
    </row>
    <row r="16" spans="1:979" ht="24" customHeight="1" x14ac:dyDescent="0.25">
      <c r="A16" s="855"/>
      <c r="B16" s="579"/>
      <c r="C16" s="580"/>
      <c r="D16" s="140"/>
      <c r="E16" s="140"/>
      <c r="F16" s="140">
        <f>SUM(F15)</f>
        <v>2588</v>
      </c>
      <c r="G16" s="140">
        <f>SUM(G15)</f>
        <v>1682200</v>
      </c>
      <c r="H16" s="140">
        <f t="shared" ref="H16:R16" si="6">SUM(H15)</f>
        <v>336440</v>
      </c>
      <c r="I16" s="140">
        <f t="shared" si="6"/>
        <v>1345760</v>
      </c>
      <c r="J16" s="140">
        <f t="shared" si="6"/>
        <v>0</v>
      </c>
      <c r="K16" s="140">
        <f t="shared" si="6"/>
        <v>0</v>
      </c>
      <c r="L16" s="140">
        <f t="shared" si="6"/>
        <v>0</v>
      </c>
      <c r="M16" s="140">
        <f t="shared" si="6"/>
        <v>0</v>
      </c>
      <c r="N16" s="140">
        <f t="shared" si="6"/>
        <v>0</v>
      </c>
      <c r="O16" s="140">
        <f t="shared" si="6"/>
        <v>0</v>
      </c>
      <c r="P16" s="140">
        <f t="shared" si="6"/>
        <v>0</v>
      </c>
      <c r="Q16" s="140">
        <f t="shared" si="6"/>
        <v>0</v>
      </c>
      <c r="R16" s="140">
        <f t="shared" si="6"/>
        <v>647</v>
      </c>
      <c r="S16" s="479">
        <f>SUM(S15)</f>
        <v>647</v>
      </c>
      <c r="T16" s="479">
        <f t="shared" ref="T16:Y16" si="7">SUM(T15)</f>
        <v>647</v>
      </c>
      <c r="U16" s="479">
        <f t="shared" si="7"/>
        <v>647</v>
      </c>
      <c r="V16" s="140">
        <f t="shared" si="7"/>
        <v>420550</v>
      </c>
      <c r="W16" s="140">
        <f t="shared" si="7"/>
        <v>420550</v>
      </c>
      <c r="X16" s="140">
        <f t="shared" si="7"/>
        <v>420550</v>
      </c>
      <c r="Y16" s="140">
        <f t="shared" si="7"/>
        <v>420550</v>
      </c>
      <c r="Z16" s="140">
        <f t="shared" ref="Z16:BI16" si="8">SUM(Z15)</f>
        <v>119</v>
      </c>
      <c r="AA16" s="140">
        <f t="shared" si="8"/>
        <v>77350</v>
      </c>
      <c r="AB16" s="140">
        <f t="shared" si="8"/>
        <v>45</v>
      </c>
      <c r="AC16" s="140">
        <f t="shared" si="8"/>
        <v>29250</v>
      </c>
      <c r="AD16" s="140">
        <f t="shared" si="8"/>
        <v>97</v>
      </c>
      <c r="AE16" s="140">
        <f t="shared" si="8"/>
        <v>63050</v>
      </c>
      <c r="AF16" s="140">
        <f t="shared" si="8"/>
        <v>150</v>
      </c>
      <c r="AG16" s="140">
        <f t="shared" si="8"/>
        <v>97500</v>
      </c>
      <c r="AH16" s="140">
        <f t="shared" si="8"/>
        <v>77</v>
      </c>
      <c r="AI16" s="140">
        <f t="shared" si="8"/>
        <v>50050</v>
      </c>
      <c r="AJ16" s="140">
        <f t="shared" si="8"/>
        <v>101</v>
      </c>
      <c r="AK16" s="140">
        <f t="shared" si="8"/>
        <v>65650</v>
      </c>
      <c r="AL16" s="140">
        <f t="shared" si="8"/>
        <v>109</v>
      </c>
      <c r="AM16" s="140">
        <f t="shared" si="8"/>
        <v>70850</v>
      </c>
      <c r="AN16" s="140">
        <f t="shared" si="8"/>
        <v>215</v>
      </c>
      <c r="AO16" s="140">
        <f t="shared" si="8"/>
        <v>139750</v>
      </c>
      <c r="AP16" s="140">
        <f t="shared" si="8"/>
        <v>42</v>
      </c>
      <c r="AQ16" s="140">
        <f t="shared" si="8"/>
        <v>27300</v>
      </c>
      <c r="AR16" s="140">
        <f t="shared" si="8"/>
        <v>113</v>
      </c>
      <c r="AS16" s="140">
        <f t="shared" si="8"/>
        <v>73450</v>
      </c>
      <c r="AT16" s="140">
        <f t="shared" si="8"/>
        <v>160</v>
      </c>
      <c r="AU16" s="140">
        <f t="shared" si="8"/>
        <v>104000</v>
      </c>
      <c r="AV16" s="140">
        <f t="shared" si="8"/>
        <v>222</v>
      </c>
      <c r="AW16" s="140">
        <f t="shared" si="8"/>
        <v>144300</v>
      </c>
      <c r="AX16" s="140">
        <f t="shared" si="8"/>
        <v>367</v>
      </c>
      <c r="AY16" s="140">
        <f t="shared" si="8"/>
        <v>238550</v>
      </c>
      <c r="AZ16" s="140">
        <f t="shared" si="8"/>
        <v>209</v>
      </c>
      <c r="BA16" s="140">
        <f t="shared" si="8"/>
        <v>135850</v>
      </c>
      <c r="BB16" s="140">
        <f t="shared" si="8"/>
        <v>80</v>
      </c>
      <c r="BC16" s="140">
        <f t="shared" si="8"/>
        <v>52000</v>
      </c>
      <c r="BD16" s="140">
        <f t="shared" si="8"/>
        <v>305</v>
      </c>
      <c r="BE16" s="140">
        <f t="shared" si="8"/>
        <v>198250</v>
      </c>
      <c r="BF16" s="140">
        <f t="shared" si="8"/>
        <v>177</v>
      </c>
      <c r="BG16" s="140">
        <f t="shared" si="8"/>
        <v>115050</v>
      </c>
      <c r="BH16" s="140">
        <f t="shared" si="8"/>
        <v>0</v>
      </c>
      <c r="BI16" s="140">
        <f t="shared" si="8"/>
        <v>0</v>
      </c>
      <c r="BJ16" s="140">
        <f>SUM(BJ15)</f>
        <v>2588</v>
      </c>
      <c r="BK16" s="140">
        <f>SUM(BK15)</f>
        <v>1682200</v>
      </c>
      <c r="BL16" s="47"/>
      <c r="BN16" s="140">
        <f t="shared" ref="BN16:BU16" si="9">SUM(BN15)</f>
        <v>0</v>
      </c>
      <c r="BO16" s="140">
        <f t="shared" si="9"/>
        <v>0</v>
      </c>
      <c r="BP16" s="140">
        <f t="shared" si="9"/>
        <v>1682200</v>
      </c>
      <c r="BQ16" s="140">
        <f t="shared" si="9"/>
        <v>0</v>
      </c>
      <c r="BR16" s="140">
        <f t="shared" si="9"/>
        <v>1682200</v>
      </c>
      <c r="BS16" s="140">
        <f t="shared" si="9"/>
        <v>0</v>
      </c>
      <c r="BT16" s="140">
        <f t="shared" si="9"/>
        <v>0</v>
      </c>
      <c r="BU16" s="140">
        <f t="shared" si="9"/>
        <v>0</v>
      </c>
      <c r="BV16" s="485">
        <f t="shared" si="1"/>
        <v>1682200</v>
      </c>
    </row>
    <row r="17" spans="1:979" s="67" customFormat="1" ht="24" customHeight="1" x14ac:dyDescent="0.25">
      <c r="A17" s="855"/>
      <c r="B17" s="182"/>
      <c r="C17" s="183"/>
      <c r="D17" s="183"/>
      <c r="E17" s="184"/>
      <c r="F17" s="184">
        <f>F16+F14</f>
        <v>2707</v>
      </c>
      <c r="G17" s="184">
        <f t="shared" ref="G17:BK17" si="10">G16+G14</f>
        <v>2872200</v>
      </c>
      <c r="H17" s="184">
        <f t="shared" si="10"/>
        <v>574440</v>
      </c>
      <c r="I17" s="184">
        <f t="shared" si="10"/>
        <v>2297760</v>
      </c>
      <c r="J17" s="184">
        <f t="shared" si="10"/>
        <v>0</v>
      </c>
      <c r="K17" s="184">
        <f t="shared" si="10"/>
        <v>0</v>
      </c>
      <c r="L17" s="184">
        <f t="shared" si="10"/>
        <v>0</v>
      </c>
      <c r="M17" s="184">
        <f t="shared" si="10"/>
        <v>0</v>
      </c>
      <c r="N17" s="184">
        <f t="shared" si="10"/>
        <v>0</v>
      </c>
      <c r="O17" s="184">
        <f t="shared" si="10"/>
        <v>0</v>
      </c>
      <c r="P17" s="184">
        <f t="shared" si="10"/>
        <v>0</v>
      </c>
      <c r="Q17" s="184">
        <f t="shared" si="10"/>
        <v>0</v>
      </c>
      <c r="R17" s="185">
        <f t="shared" si="10"/>
        <v>687</v>
      </c>
      <c r="S17" s="185">
        <f t="shared" si="10"/>
        <v>687</v>
      </c>
      <c r="T17" s="185">
        <f t="shared" si="10"/>
        <v>686</v>
      </c>
      <c r="U17" s="185">
        <f t="shared" si="10"/>
        <v>647</v>
      </c>
      <c r="V17" s="184">
        <f t="shared" si="10"/>
        <v>820550</v>
      </c>
      <c r="W17" s="184">
        <f t="shared" si="10"/>
        <v>820550</v>
      </c>
      <c r="X17" s="184">
        <f t="shared" si="10"/>
        <v>810550</v>
      </c>
      <c r="Y17" s="184">
        <f t="shared" si="10"/>
        <v>420550</v>
      </c>
      <c r="Z17" s="184">
        <f t="shared" si="10"/>
        <v>126</v>
      </c>
      <c r="AA17" s="184">
        <f t="shared" si="10"/>
        <v>147350</v>
      </c>
      <c r="AB17" s="184">
        <f t="shared" si="10"/>
        <v>52</v>
      </c>
      <c r="AC17" s="184">
        <f t="shared" si="10"/>
        <v>99250</v>
      </c>
      <c r="AD17" s="184">
        <f t="shared" si="10"/>
        <v>104</v>
      </c>
      <c r="AE17" s="184">
        <f t="shared" si="10"/>
        <v>133050</v>
      </c>
      <c r="AF17" s="184">
        <f t="shared" si="10"/>
        <v>157</v>
      </c>
      <c r="AG17" s="184">
        <f t="shared" si="10"/>
        <v>167500</v>
      </c>
      <c r="AH17" s="184">
        <f t="shared" si="10"/>
        <v>84</v>
      </c>
      <c r="AI17" s="184">
        <f t="shared" si="10"/>
        <v>120050</v>
      </c>
      <c r="AJ17" s="184">
        <f t="shared" si="10"/>
        <v>108</v>
      </c>
      <c r="AK17" s="184">
        <f t="shared" si="10"/>
        <v>135650</v>
      </c>
      <c r="AL17" s="184">
        <f t="shared" si="10"/>
        <v>116</v>
      </c>
      <c r="AM17" s="184">
        <f t="shared" si="10"/>
        <v>140850</v>
      </c>
      <c r="AN17" s="184">
        <f t="shared" si="10"/>
        <v>222</v>
      </c>
      <c r="AO17" s="184">
        <f t="shared" si="10"/>
        <v>209750</v>
      </c>
      <c r="AP17" s="184">
        <f t="shared" si="10"/>
        <v>49</v>
      </c>
      <c r="AQ17" s="184">
        <f t="shared" si="10"/>
        <v>97300</v>
      </c>
      <c r="AR17" s="184">
        <f t="shared" si="10"/>
        <v>120</v>
      </c>
      <c r="AS17" s="184">
        <f t="shared" si="10"/>
        <v>143450</v>
      </c>
      <c r="AT17" s="184">
        <f t="shared" si="10"/>
        <v>167</v>
      </c>
      <c r="AU17" s="184">
        <f t="shared" si="10"/>
        <v>174000</v>
      </c>
      <c r="AV17" s="184">
        <f t="shared" si="10"/>
        <v>229</v>
      </c>
      <c r="AW17" s="184">
        <f t="shared" si="10"/>
        <v>214300</v>
      </c>
      <c r="AX17" s="184">
        <f t="shared" si="10"/>
        <v>374</v>
      </c>
      <c r="AY17" s="184">
        <f t="shared" si="10"/>
        <v>308550</v>
      </c>
      <c r="AZ17" s="184">
        <f t="shared" si="10"/>
        <v>216</v>
      </c>
      <c r="BA17" s="184">
        <f t="shared" si="10"/>
        <v>205850</v>
      </c>
      <c r="BB17" s="184">
        <f t="shared" si="10"/>
        <v>87</v>
      </c>
      <c r="BC17" s="184">
        <f t="shared" si="10"/>
        <v>122000</v>
      </c>
      <c r="BD17" s="184">
        <f t="shared" si="10"/>
        <v>312</v>
      </c>
      <c r="BE17" s="184">
        <f t="shared" si="10"/>
        <v>268250</v>
      </c>
      <c r="BF17" s="184">
        <f t="shared" si="10"/>
        <v>184</v>
      </c>
      <c r="BG17" s="184">
        <f t="shared" si="10"/>
        <v>185050</v>
      </c>
      <c r="BH17" s="184">
        <f t="shared" si="10"/>
        <v>0</v>
      </c>
      <c r="BI17" s="184">
        <f t="shared" si="10"/>
        <v>0</v>
      </c>
      <c r="BJ17" s="184">
        <f t="shared" si="10"/>
        <v>2707</v>
      </c>
      <c r="BK17" s="184">
        <f t="shared" si="10"/>
        <v>2872200</v>
      </c>
      <c r="BL17" s="118"/>
      <c r="BN17" s="184">
        <f t="shared" ref="BN17:BU17" si="11">BN16+BN14</f>
        <v>0</v>
      </c>
      <c r="BO17" s="184">
        <f t="shared" si="11"/>
        <v>1190000</v>
      </c>
      <c r="BP17" s="184">
        <f t="shared" si="11"/>
        <v>1682200</v>
      </c>
      <c r="BQ17" s="184">
        <f t="shared" si="11"/>
        <v>0</v>
      </c>
      <c r="BR17" s="184">
        <f t="shared" si="11"/>
        <v>2872200</v>
      </c>
      <c r="BS17" s="184">
        <f t="shared" si="11"/>
        <v>0</v>
      </c>
      <c r="BT17" s="184">
        <f t="shared" si="11"/>
        <v>0</v>
      </c>
      <c r="BU17" s="184">
        <f t="shared" si="11"/>
        <v>0</v>
      </c>
      <c r="BV17" s="446">
        <f t="shared" si="1"/>
        <v>2872200</v>
      </c>
    </row>
    <row r="18" spans="1:979" ht="36.75" customHeight="1" x14ac:dyDescent="0.25">
      <c r="A18" s="855"/>
      <c r="B18" s="454">
        <v>12200</v>
      </c>
      <c r="C18" s="578" t="s">
        <v>103</v>
      </c>
      <c r="D18" s="12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55"/>
      <c r="S18" s="155"/>
      <c r="T18" s="155"/>
      <c r="U18" s="155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47"/>
      <c r="BN18" s="113"/>
      <c r="BO18" s="113"/>
      <c r="BP18" s="113"/>
      <c r="BQ18" s="113"/>
      <c r="BR18" s="113"/>
      <c r="BS18" s="113"/>
      <c r="BT18" s="113"/>
      <c r="BU18" s="113"/>
      <c r="BV18" s="181">
        <f t="shared" si="1"/>
        <v>0</v>
      </c>
    </row>
    <row r="19" spans="1:979" ht="24" customHeight="1" x14ac:dyDescent="0.25">
      <c r="A19" s="855"/>
      <c r="B19" s="454">
        <v>12210</v>
      </c>
      <c r="C19" s="174" t="s">
        <v>104</v>
      </c>
      <c r="D19" s="12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55"/>
      <c r="S19" s="155"/>
      <c r="T19" s="155"/>
      <c r="U19" s="155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47"/>
      <c r="BN19" s="113"/>
      <c r="BO19" s="113"/>
      <c r="BP19" s="113"/>
      <c r="BQ19" s="113"/>
      <c r="BR19" s="113"/>
      <c r="BS19" s="113"/>
      <c r="BT19" s="113"/>
      <c r="BU19" s="113"/>
      <c r="BV19" s="181">
        <f t="shared" si="1"/>
        <v>0</v>
      </c>
    </row>
    <row r="20" spans="1:979" s="581" customFormat="1" ht="24" customHeight="1" x14ac:dyDescent="0.25">
      <c r="A20" s="855"/>
      <c r="B20" s="168"/>
      <c r="C20" s="169" t="s">
        <v>105</v>
      </c>
      <c r="D20" s="169" t="s">
        <v>17</v>
      </c>
      <c r="E20" s="1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55"/>
      <c r="S20" s="155"/>
      <c r="T20" s="155"/>
      <c r="U20" s="155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47"/>
      <c r="BM20" s="39"/>
      <c r="BN20" s="113"/>
      <c r="BO20" s="113"/>
      <c r="BP20" s="113"/>
      <c r="BQ20" s="113"/>
      <c r="BR20" s="113">
        <f>BN20+BO20+BP20+BQ20</f>
        <v>0</v>
      </c>
      <c r="BS20" s="113"/>
      <c r="BT20" s="113"/>
      <c r="BU20" s="113"/>
      <c r="BV20" s="181">
        <f t="shared" si="1"/>
        <v>0</v>
      </c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</row>
    <row r="21" spans="1:979" s="581" customFormat="1" ht="34.5" customHeight="1" x14ac:dyDescent="0.25">
      <c r="A21" s="855"/>
      <c r="B21" s="168"/>
      <c r="C21" s="169" t="s">
        <v>710</v>
      </c>
      <c r="D21" s="169" t="s">
        <v>109</v>
      </c>
      <c r="E21" s="169">
        <v>4500</v>
      </c>
      <c r="F21" s="174">
        <f>BJ21</f>
        <v>545</v>
      </c>
      <c r="G21" s="69">
        <f>E21*F21</f>
        <v>2452500</v>
      </c>
      <c r="H21" s="69">
        <f>G21*0.2</f>
        <v>490500</v>
      </c>
      <c r="I21" s="69">
        <f>G21*0.8</f>
        <v>1962000</v>
      </c>
      <c r="J21" s="69">
        <f>G21*0</f>
        <v>0</v>
      </c>
      <c r="K21" s="69">
        <f>G21*0</f>
        <v>0</v>
      </c>
      <c r="L21" s="69">
        <f>G21*0</f>
        <v>0</v>
      </c>
      <c r="M21" s="69">
        <f>G21*0</f>
        <v>0</v>
      </c>
      <c r="N21" s="69">
        <f>G21*0</f>
        <v>0</v>
      </c>
      <c r="O21" s="69">
        <f>G21*0</f>
        <v>0</v>
      </c>
      <c r="P21" s="69">
        <f>G21*0</f>
        <v>0</v>
      </c>
      <c r="Q21" s="69">
        <f>G21*0</f>
        <v>0</v>
      </c>
      <c r="R21" s="155">
        <v>250</v>
      </c>
      <c r="S21" s="155">
        <v>150</v>
      </c>
      <c r="T21" s="155">
        <v>145</v>
      </c>
      <c r="U21" s="155"/>
      <c r="V21" s="69">
        <f>R21*E21</f>
        <v>1125000</v>
      </c>
      <c r="W21" s="69">
        <f>S21*E21</f>
        <v>675000</v>
      </c>
      <c r="X21" s="69">
        <f>T21*E21</f>
        <v>652500</v>
      </c>
      <c r="Y21" s="69">
        <f>U21*E21</f>
        <v>0</v>
      </c>
      <c r="Z21" s="69">
        <v>30</v>
      </c>
      <c r="AA21" s="69">
        <f>Z21*E21</f>
        <v>135000</v>
      </c>
      <c r="AB21" s="69">
        <v>21</v>
      </c>
      <c r="AC21" s="69">
        <f>AB21*E21</f>
        <v>94500</v>
      </c>
      <c r="AD21" s="69">
        <v>30</v>
      </c>
      <c r="AE21" s="69">
        <f>AD21*E21</f>
        <v>135000</v>
      </c>
      <c r="AF21" s="69">
        <v>51</v>
      </c>
      <c r="AG21" s="69">
        <f>AF21*E21</f>
        <v>229500</v>
      </c>
      <c r="AH21" s="69">
        <v>22</v>
      </c>
      <c r="AI21" s="69">
        <f>AH21*E21</f>
        <v>99000</v>
      </c>
      <c r="AJ21" s="69">
        <v>30</v>
      </c>
      <c r="AK21" s="69">
        <f>AJ21*E21</f>
        <v>135000</v>
      </c>
      <c r="AL21" s="69">
        <v>22</v>
      </c>
      <c r="AM21" s="69">
        <f>AL21*E21</f>
        <v>99000</v>
      </c>
      <c r="AN21" s="69">
        <v>50</v>
      </c>
      <c r="AO21" s="69">
        <f>AN21*E21</f>
        <v>225000</v>
      </c>
      <c r="AP21" s="69">
        <v>6</v>
      </c>
      <c r="AQ21" s="69">
        <f>AP21*E21</f>
        <v>27000</v>
      </c>
      <c r="AR21" s="69">
        <v>28</v>
      </c>
      <c r="AS21" s="69">
        <f>AR21*E21</f>
        <v>126000</v>
      </c>
      <c r="AT21" s="69">
        <v>30</v>
      </c>
      <c r="AU21" s="69">
        <f>AT21*E21</f>
        <v>135000</v>
      </c>
      <c r="AV21" s="69">
        <v>30</v>
      </c>
      <c r="AW21" s="69">
        <f>AV21*E21</f>
        <v>135000</v>
      </c>
      <c r="AX21" s="69">
        <v>30</v>
      </c>
      <c r="AY21" s="69">
        <f>AX21*E21</f>
        <v>135000</v>
      </c>
      <c r="AZ21" s="69">
        <v>30</v>
      </c>
      <c r="BA21" s="69">
        <f>AZ21*E21</f>
        <v>135000</v>
      </c>
      <c r="BB21" s="69">
        <v>45</v>
      </c>
      <c r="BC21" s="69">
        <f>BB21*E21</f>
        <v>202500</v>
      </c>
      <c r="BD21" s="69">
        <v>60</v>
      </c>
      <c r="BE21" s="69">
        <f>BD21*E21</f>
        <v>270000</v>
      </c>
      <c r="BF21" s="69">
        <v>30</v>
      </c>
      <c r="BG21" s="69">
        <f>BF21*E21</f>
        <v>135000</v>
      </c>
      <c r="BH21" s="69">
        <v>0</v>
      </c>
      <c r="BI21" s="69">
        <f>BH21*300</f>
        <v>0</v>
      </c>
      <c r="BJ21" s="85">
        <f t="shared" ref="BJ21:BK24" si="12">Z21+AB21+AD21+AF21+AH21+AJ21+AL21+AN21+AP21+AR21+AT21+AV21+AX21+AZ21+BB21+BD21+BF21+BH21</f>
        <v>545</v>
      </c>
      <c r="BK21" s="85">
        <f t="shared" si="12"/>
        <v>2452500</v>
      </c>
      <c r="BL21" s="333" t="s">
        <v>469</v>
      </c>
      <c r="BM21" s="39"/>
      <c r="BN21" s="113"/>
      <c r="BO21" s="69">
        <f>G21</f>
        <v>2452500</v>
      </c>
      <c r="BP21" s="113">
        <v>0</v>
      </c>
      <c r="BQ21" s="113">
        <v>0</v>
      </c>
      <c r="BR21" s="113">
        <f>BN21+BO21+BP21+BQ21</f>
        <v>2452500</v>
      </c>
      <c r="BS21" s="113">
        <v>0</v>
      </c>
      <c r="BT21" s="113">
        <v>0</v>
      </c>
      <c r="BU21" s="113">
        <f>BS21+BT21</f>
        <v>0</v>
      </c>
      <c r="BV21" s="181">
        <f t="shared" si="1"/>
        <v>2452500</v>
      </c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  <c r="AKQ21" s="39"/>
    </row>
    <row r="22" spans="1:979" s="581" customFormat="1" ht="24" customHeight="1" x14ac:dyDescent="0.25">
      <c r="A22" s="855"/>
      <c r="B22" s="168"/>
      <c r="C22" s="169" t="s">
        <v>106</v>
      </c>
      <c r="D22" s="169" t="s">
        <v>90</v>
      </c>
      <c r="E22" s="169">
        <f>0.0035*100000</f>
        <v>350</v>
      </c>
      <c r="F22" s="174">
        <f>BJ22</f>
        <v>12000</v>
      </c>
      <c r="G22" s="69">
        <f>E22*F22</f>
        <v>4200000</v>
      </c>
      <c r="H22" s="69">
        <f>G22*0.2</f>
        <v>840000</v>
      </c>
      <c r="I22" s="69">
        <f>G22*0.8</f>
        <v>3360000</v>
      </c>
      <c r="J22" s="69">
        <f>G22*0</f>
        <v>0</v>
      </c>
      <c r="K22" s="69">
        <f>G22*0</f>
        <v>0</v>
      </c>
      <c r="L22" s="69">
        <f>G22*0</f>
        <v>0</v>
      </c>
      <c r="M22" s="69">
        <f>G22*0</f>
        <v>0</v>
      </c>
      <c r="N22" s="69">
        <f>G22*0</f>
        <v>0</v>
      </c>
      <c r="O22" s="69">
        <f>G22*0</f>
        <v>0</v>
      </c>
      <c r="P22" s="69">
        <f>G22*0</f>
        <v>0</v>
      </c>
      <c r="Q22" s="69">
        <f>G22*0</f>
        <v>0</v>
      </c>
      <c r="R22" s="155">
        <v>3000</v>
      </c>
      <c r="S22" s="155">
        <v>2000</v>
      </c>
      <c r="T22" s="155">
        <v>3500</v>
      </c>
      <c r="U22" s="155">
        <v>3500</v>
      </c>
      <c r="V22" s="69">
        <f>R22*E22</f>
        <v>1050000</v>
      </c>
      <c r="W22" s="69">
        <f>S22*E22</f>
        <v>700000</v>
      </c>
      <c r="X22" s="69">
        <f>T22*E22</f>
        <v>1225000</v>
      </c>
      <c r="Y22" s="69">
        <f>U22*E22</f>
        <v>1225000</v>
      </c>
      <c r="Z22" s="69">
        <v>700</v>
      </c>
      <c r="AA22" s="69">
        <f>Z22*350</f>
        <v>245000</v>
      </c>
      <c r="AB22" s="69">
        <v>400</v>
      </c>
      <c r="AC22" s="69">
        <f>AB22*350</f>
        <v>140000</v>
      </c>
      <c r="AD22" s="69">
        <v>700</v>
      </c>
      <c r="AE22" s="69">
        <f>AD22*350</f>
        <v>245000</v>
      </c>
      <c r="AF22" s="69">
        <v>800</v>
      </c>
      <c r="AG22" s="69">
        <f>AF22*350</f>
        <v>280000</v>
      </c>
      <c r="AH22" s="69">
        <v>600</v>
      </c>
      <c r="AI22" s="69">
        <f>AH22*350</f>
        <v>210000</v>
      </c>
      <c r="AJ22" s="69">
        <v>400</v>
      </c>
      <c r="AK22" s="69">
        <f>AJ22*350</f>
        <v>140000</v>
      </c>
      <c r="AL22" s="69">
        <v>800</v>
      </c>
      <c r="AM22" s="69">
        <f>AL22*350</f>
        <v>280000</v>
      </c>
      <c r="AN22" s="69">
        <v>1000</v>
      </c>
      <c r="AO22" s="69">
        <f>AN22*350</f>
        <v>350000</v>
      </c>
      <c r="AP22" s="69">
        <v>400</v>
      </c>
      <c r="AQ22" s="69">
        <f>AP22*350</f>
        <v>140000</v>
      </c>
      <c r="AR22" s="69">
        <v>700</v>
      </c>
      <c r="AS22" s="69">
        <f>AR22*350</f>
        <v>245000</v>
      </c>
      <c r="AT22" s="69">
        <v>800</v>
      </c>
      <c r="AU22" s="69">
        <f>AT22*350</f>
        <v>280000</v>
      </c>
      <c r="AV22" s="69">
        <v>700</v>
      </c>
      <c r="AW22" s="69">
        <f>AV22*350</f>
        <v>245000</v>
      </c>
      <c r="AX22" s="69">
        <v>800</v>
      </c>
      <c r="AY22" s="69">
        <f>AX22*350</f>
        <v>280000</v>
      </c>
      <c r="AZ22" s="69">
        <v>800</v>
      </c>
      <c r="BA22" s="69">
        <f>AZ22*350</f>
        <v>280000</v>
      </c>
      <c r="BB22" s="69">
        <v>600</v>
      </c>
      <c r="BC22" s="69">
        <f>BB22*350</f>
        <v>210000</v>
      </c>
      <c r="BD22" s="69">
        <v>1000</v>
      </c>
      <c r="BE22" s="69">
        <f>BD22*350</f>
        <v>350000</v>
      </c>
      <c r="BF22" s="69">
        <v>800</v>
      </c>
      <c r="BG22" s="69">
        <f>BF22*350</f>
        <v>280000</v>
      </c>
      <c r="BH22" s="69">
        <v>0</v>
      </c>
      <c r="BI22" s="69">
        <f>BH22*350</f>
        <v>0</v>
      </c>
      <c r="BJ22" s="85">
        <f t="shared" si="12"/>
        <v>12000</v>
      </c>
      <c r="BK22" s="85">
        <f t="shared" si="12"/>
        <v>4200000</v>
      </c>
      <c r="BL22" s="333" t="s">
        <v>469</v>
      </c>
      <c r="BM22" s="39"/>
      <c r="BN22" s="113"/>
      <c r="BO22" s="69">
        <f>G22</f>
        <v>4200000</v>
      </c>
      <c r="BP22" s="113">
        <v>0</v>
      </c>
      <c r="BQ22" s="113">
        <v>0</v>
      </c>
      <c r="BR22" s="113">
        <f>BN22+BO22+BP22+BQ22</f>
        <v>4200000</v>
      </c>
      <c r="BS22" s="113">
        <v>0</v>
      </c>
      <c r="BT22" s="113">
        <v>0</v>
      </c>
      <c r="BU22" s="113">
        <f>BS22+BT22</f>
        <v>0</v>
      </c>
      <c r="BV22" s="181">
        <f t="shared" si="1"/>
        <v>4200000</v>
      </c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</row>
    <row r="23" spans="1:979" s="581" customFormat="1" ht="24" customHeight="1" x14ac:dyDescent="0.25">
      <c r="A23" s="855"/>
      <c r="B23" s="168"/>
      <c r="C23" s="169" t="s">
        <v>107</v>
      </c>
      <c r="D23" s="169" t="s">
        <v>90</v>
      </c>
      <c r="E23" s="169">
        <f>0.007*100000</f>
        <v>700</v>
      </c>
      <c r="F23" s="174">
        <f>BJ23</f>
        <v>2000</v>
      </c>
      <c r="G23" s="69">
        <f>E23*F23</f>
        <v>1400000</v>
      </c>
      <c r="H23" s="69">
        <f>G23*0.2</f>
        <v>280000</v>
      </c>
      <c r="I23" s="69">
        <f>G23*0.8</f>
        <v>1120000</v>
      </c>
      <c r="J23" s="69">
        <f>G23*0</f>
        <v>0</v>
      </c>
      <c r="K23" s="69">
        <f>G23*0</f>
        <v>0</v>
      </c>
      <c r="L23" s="69">
        <f>G23*0</f>
        <v>0</v>
      </c>
      <c r="M23" s="69">
        <f>G23*0</f>
        <v>0</v>
      </c>
      <c r="N23" s="69">
        <f>G23*0</f>
        <v>0</v>
      </c>
      <c r="O23" s="69">
        <f>G23*0</f>
        <v>0</v>
      </c>
      <c r="P23" s="69">
        <f>G23*0</f>
        <v>0</v>
      </c>
      <c r="Q23" s="69">
        <f>G23*0</f>
        <v>0</v>
      </c>
      <c r="R23" s="155">
        <v>1000</v>
      </c>
      <c r="S23" s="155">
        <v>1000</v>
      </c>
      <c r="T23" s="155"/>
      <c r="U23" s="155"/>
      <c r="V23" s="69">
        <f>R23*E23</f>
        <v>700000</v>
      </c>
      <c r="W23" s="69">
        <f>S23*E23</f>
        <v>700000</v>
      </c>
      <c r="X23" s="69">
        <f>T23*E23</f>
        <v>0</v>
      </c>
      <c r="Y23" s="69">
        <f>U23*E23</f>
        <v>0</v>
      </c>
      <c r="Z23" s="69">
        <v>120</v>
      </c>
      <c r="AA23" s="69">
        <f>Z23*700</f>
        <v>84000</v>
      </c>
      <c r="AB23" s="69">
        <v>60</v>
      </c>
      <c r="AC23" s="69">
        <f>AB23*700</f>
        <v>42000</v>
      </c>
      <c r="AD23" s="69">
        <v>120</v>
      </c>
      <c r="AE23" s="69">
        <f>AD23*700</f>
        <v>84000</v>
      </c>
      <c r="AF23" s="69">
        <v>140</v>
      </c>
      <c r="AG23" s="69">
        <f>AF23*700</f>
        <v>98000</v>
      </c>
      <c r="AH23" s="69">
        <v>80</v>
      </c>
      <c r="AI23" s="69">
        <f>AH23*700</f>
        <v>56000</v>
      </c>
      <c r="AJ23" s="69">
        <v>60</v>
      </c>
      <c r="AK23" s="69">
        <f>AJ23*700</f>
        <v>42000</v>
      </c>
      <c r="AL23" s="69">
        <v>140</v>
      </c>
      <c r="AM23" s="69">
        <f>AL23*700</f>
        <v>98000</v>
      </c>
      <c r="AN23" s="69">
        <v>160</v>
      </c>
      <c r="AO23" s="69">
        <f>AN23*700</f>
        <v>112000</v>
      </c>
      <c r="AP23" s="69">
        <v>60</v>
      </c>
      <c r="AQ23" s="69">
        <f>AP23*700</f>
        <v>42000</v>
      </c>
      <c r="AR23" s="69">
        <v>120</v>
      </c>
      <c r="AS23" s="69">
        <f>AR23*700</f>
        <v>84000</v>
      </c>
      <c r="AT23" s="69">
        <v>140</v>
      </c>
      <c r="AU23" s="69">
        <f>AT23*700</f>
        <v>98000</v>
      </c>
      <c r="AV23" s="69">
        <v>120</v>
      </c>
      <c r="AW23" s="69">
        <f>AV23*700</f>
        <v>84000</v>
      </c>
      <c r="AX23" s="69">
        <v>140</v>
      </c>
      <c r="AY23" s="69">
        <f>AX23*700</f>
        <v>98000</v>
      </c>
      <c r="AZ23" s="69">
        <v>140</v>
      </c>
      <c r="BA23" s="69">
        <f>AZ23*700</f>
        <v>98000</v>
      </c>
      <c r="BB23" s="69">
        <v>100</v>
      </c>
      <c r="BC23" s="69">
        <f>BB23*700</f>
        <v>70000</v>
      </c>
      <c r="BD23" s="69">
        <v>160</v>
      </c>
      <c r="BE23" s="69">
        <f>BD23*700</f>
        <v>112000</v>
      </c>
      <c r="BF23" s="69">
        <v>140</v>
      </c>
      <c r="BG23" s="69">
        <f>BF23*700</f>
        <v>98000</v>
      </c>
      <c r="BH23" s="69">
        <v>0</v>
      </c>
      <c r="BI23" s="69">
        <f>BH23*700</f>
        <v>0</v>
      </c>
      <c r="BJ23" s="85">
        <f t="shared" si="12"/>
        <v>2000</v>
      </c>
      <c r="BK23" s="85">
        <f t="shared" si="12"/>
        <v>1400000</v>
      </c>
      <c r="BL23" s="333" t="s">
        <v>469</v>
      </c>
      <c r="BM23" s="39"/>
      <c r="BN23" s="113"/>
      <c r="BO23" s="69">
        <f>G23</f>
        <v>1400000</v>
      </c>
      <c r="BP23" s="113">
        <v>0</v>
      </c>
      <c r="BQ23" s="113">
        <v>0</v>
      </c>
      <c r="BR23" s="113">
        <f>BN23+BO23+BP23+BQ23</f>
        <v>1400000</v>
      </c>
      <c r="BS23" s="113">
        <v>0</v>
      </c>
      <c r="BT23" s="113">
        <v>0</v>
      </c>
      <c r="BU23" s="113">
        <f>BS23+BT23</f>
        <v>0</v>
      </c>
      <c r="BV23" s="181">
        <f t="shared" si="1"/>
        <v>1400000</v>
      </c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</row>
    <row r="24" spans="1:979" s="67" customFormat="1" ht="24" customHeight="1" x14ac:dyDescent="0.25">
      <c r="A24" s="855"/>
      <c r="B24" s="168"/>
      <c r="C24" s="169" t="s">
        <v>108</v>
      </c>
      <c r="D24" s="169" t="s">
        <v>90</v>
      </c>
      <c r="E24" s="169">
        <f>0.007*100000</f>
        <v>700</v>
      </c>
      <c r="F24" s="174">
        <f>BJ24</f>
        <v>1000</v>
      </c>
      <c r="G24" s="69">
        <f>E24*F24</f>
        <v>700000</v>
      </c>
      <c r="H24" s="69">
        <f>G24*0.2</f>
        <v>140000</v>
      </c>
      <c r="I24" s="69">
        <f>G24*0.8</f>
        <v>560000</v>
      </c>
      <c r="J24" s="69">
        <f>G24*0</f>
        <v>0</v>
      </c>
      <c r="K24" s="69">
        <f>G24*0</f>
        <v>0</v>
      </c>
      <c r="L24" s="69">
        <f>G24*0</f>
        <v>0</v>
      </c>
      <c r="M24" s="69">
        <f>G24*0</f>
        <v>0</v>
      </c>
      <c r="N24" s="69">
        <f>G24*0</f>
        <v>0</v>
      </c>
      <c r="O24" s="69">
        <f>G24*0</f>
        <v>0</v>
      </c>
      <c r="P24" s="69">
        <f>G24*0</f>
        <v>0</v>
      </c>
      <c r="Q24" s="69">
        <f>G24*0</f>
        <v>0</v>
      </c>
      <c r="R24" s="155">
        <f>F24*0.5</f>
        <v>500</v>
      </c>
      <c r="S24" s="155">
        <f>F24*0.5</f>
        <v>500</v>
      </c>
      <c r="T24" s="118"/>
      <c r="U24" s="118"/>
      <c r="V24" s="69">
        <f>R24*E24</f>
        <v>350000</v>
      </c>
      <c r="W24" s="69">
        <f>S24*E24</f>
        <v>350000</v>
      </c>
      <c r="X24" s="69">
        <f>T24*E24</f>
        <v>0</v>
      </c>
      <c r="Y24" s="69">
        <f>U24*E24</f>
        <v>0</v>
      </c>
      <c r="Z24" s="69">
        <v>60</v>
      </c>
      <c r="AA24" s="69">
        <f>Z24*700</f>
        <v>42000</v>
      </c>
      <c r="AB24" s="69">
        <v>30</v>
      </c>
      <c r="AC24" s="69">
        <f>AB24*700</f>
        <v>21000</v>
      </c>
      <c r="AD24" s="69">
        <v>60</v>
      </c>
      <c r="AE24" s="69">
        <f>AD24*700</f>
        <v>42000</v>
      </c>
      <c r="AF24" s="69">
        <v>70</v>
      </c>
      <c r="AG24" s="69">
        <f>AF24*700</f>
        <v>49000</v>
      </c>
      <c r="AH24" s="69">
        <v>40</v>
      </c>
      <c r="AI24" s="69">
        <f>AH24*700</f>
        <v>28000</v>
      </c>
      <c r="AJ24" s="69">
        <v>30</v>
      </c>
      <c r="AK24" s="69">
        <f>AJ24*700</f>
        <v>21000</v>
      </c>
      <c r="AL24" s="69">
        <v>70</v>
      </c>
      <c r="AM24" s="69">
        <f>AL24*700</f>
        <v>49000</v>
      </c>
      <c r="AN24" s="69">
        <v>80</v>
      </c>
      <c r="AO24" s="69">
        <f>AN24*700</f>
        <v>56000</v>
      </c>
      <c r="AP24" s="69">
        <v>30</v>
      </c>
      <c r="AQ24" s="69">
        <f>AP24*700</f>
        <v>21000</v>
      </c>
      <c r="AR24" s="69">
        <v>60</v>
      </c>
      <c r="AS24" s="69">
        <f>AR24*700</f>
        <v>42000</v>
      </c>
      <c r="AT24" s="69">
        <v>70</v>
      </c>
      <c r="AU24" s="69">
        <f>AT24*700</f>
        <v>49000</v>
      </c>
      <c r="AV24" s="69">
        <v>60</v>
      </c>
      <c r="AW24" s="69">
        <f>AV24*700</f>
        <v>42000</v>
      </c>
      <c r="AX24" s="69">
        <v>70</v>
      </c>
      <c r="AY24" s="69">
        <f>AX24*700</f>
        <v>49000</v>
      </c>
      <c r="AZ24" s="69">
        <v>70</v>
      </c>
      <c r="BA24" s="69">
        <f>AZ24*700</f>
        <v>49000</v>
      </c>
      <c r="BB24" s="69">
        <v>50</v>
      </c>
      <c r="BC24" s="69">
        <f>BB24*700</f>
        <v>35000</v>
      </c>
      <c r="BD24" s="69">
        <v>80</v>
      </c>
      <c r="BE24" s="69">
        <f>BD24*700</f>
        <v>56000</v>
      </c>
      <c r="BF24" s="69">
        <v>70</v>
      </c>
      <c r="BG24" s="69">
        <f>BF24*700</f>
        <v>49000</v>
      </c>
      <c r="BH24" s="69">
        <v>0</v>
      </c>
      <c r="BI24" s="69">
        <f>BH24*700</f>
        <v>0</v>
      </c>
      <c r="BJ24" s="85">
        <f t="shared" si="12"/>
        <v>1000</v>
      </c>
      <c r="BK24" s="85">
        <f t="shared" si="12"/>
        <v>700000</v>
      </c>
      <c r="BL24" s="333" t="s">
        <v>469</v>
      </c>
      <c r="BN24" s="263"/>
      <c r="BO24" s="69">
        <f>G24</f>
        <v>700000</v>
      </c>
      <c r="BP24" s="263">
        <v>0</v>
      </c>
      <c r="BQ24" s="263">
        <v>0</v>
      </c>
      <c r="BR24" s="113">
        <f>BN24+BO24+BP24+BQ24</f>
        <v>700000</v>
      </c>
      <c r="BS24" s="263">
        <v>0</v>
      </c>
      <c r="BT24" s="263">
        <v>0</v>
      </c>
      <c r="BU24" s="113">
        <f>BS24+BT24</f>
        <v>0</v>
      </c>
      <c r="BV24" s="181">
        <f t="shared" si="1"/>
        <v>700000</v>
      </c>
    </row>
    <row r="25" spans="1:979" s="67" customFormat="1" ht="24" customHeight="1" x14ac:dyDescent="0.25">
      <c r="A25" s="855"/>
      <c r="B25" s="579"/>
      <c r="C25" s="580"/>
      <c r="D25" s="140"/>
      <c r="E25" s="140"/>
      <c r="F25" s="140">
        <f t="shared" ref="F25:BK25" si="13">SUM(F21:F24)</f>
        <v>15545</v>
      </c>
      <c r="G25" s="140">
        <f t="shared" si="13"/>
        <v>8752500</v>
      </c>
      <c r="H25" s="140">
        <f t="shared" si="13"/>
        <v>1750500</v>
      </c>
      <c r="I25" s="140">
        <f t="shared" si="13"/>
        <v>7002000</v>
      </c>
      <c r="J25" s="140">
        <f t="shared" si="13"/>
        <v>0</v>
      </c>
      <c r="K25" s="140">
        <f t="shared" si="13"/>
        <v>0</v>
      </c>
      <c r="L25" s="140">
        <f t="shared" si="13"/>
        <v>0</v>
      </c>
      <c r="M25" s="140">
        <f t="shared" si="13"/>
        <v>0</v>
      </c>
      <c r="N25" s="140">
        <f t="shared" si="13"/>
        <v>0</v>
      </c>
      <c r="O25" s="140">
        <f t="shared" si="13"/>
        <v>0</v>
      </c>
      <c r="P25" s="140">
        <f t="shared" si="13"/>
        <v>0</v>
      </c>
      <c r="Q25" s="140">
        <f t="shared" si="13"/>
        <v>0</v>
      </c>
      <c r="R25" s="479">
        <f>SUM(R21:R24)</f>
        <v>4750</v>
      </c>
      <c r="S25" s="479">
        <f>SUM(S21:S24)</f>
        <v>3650</v>
      </c>
      <c r="T25" s="479">
        <f t="shared" si="13"/>
        <v>3645</v>
      </c>
      <c r="U25" s="479">
        <f t="shared" si="13"/>
        <v>3500</v>
      </c>
      <c r="V25" s="140">
        <f t="shared" si="13"/>
        <v>3225000</v>
      </c>
      <c r="W25" s="140">
        <f t="shared" si="13"/>
        <v>2425000</v>
      </c>
      <c r="X25" s="140">
        <f t="shared" si="13"/>
        <v>1877500</v>
      </c>
      <c r="Y25" s="140">
        <f t="shared" si="13"/>
        <v>1225000</v>
      </c>
      <c r="Z25" s="140">
        <f t="shared" si="13"/>
        <v>910</v>
      </c>
      <c r="AA25" s="140">
        <f t="shared" si="13"/>
        <v>506000</v>
      </c>
      <c r="AB25" s="140">
        <f t="shared" si="13"/>
        <v>511</v>
      </c>
      <c r="AC25" s="140">
        <f t="shared" si="13"/>
        <v>297500</v>
      </c>
      <c r="AD25" s="140">
        <f t="shared" si="13"/>
        <v>910</v>
      </c>
      <c r="AE25" s="140">
        <f t="shared" si="13"/>
        <v>506000</v>
      </c>
      <c r="AF25" s="140">
        <f t="shared" si="13"/>
        <v>1061</v>
      </c>
      <c r="AG25" s="140">
        <f t="shared" si="13"/>
        <v>656500</v>
      </c>
      <c r="AH25" s="140">
        <f t="shared" si="13"/>
        <v>742</v>
      </c>
      <c r="AI25" s="140">
        <f t="shared" si="13"/>
        <v>393000</v>
      </c>
      <c r="AJ25" s="140">
        <f t="shared" si="13"/>
        <v>520</v>
      </c>
      <c r="AK25" s="140">
        <f t="shared" si="13"/>
        <v>338000</v>
      </c>
      <c r="AL25" s="140">
        <f t="shared" si="13"/>
        <v>1032</v>
      </c>
      <c r="AM25" s="140">
        <f t="shared" si="13"/>
        <v>526000</v>
      </c>
      <c r="AN25" s="140">
        <f t="shared" si="13"/>
        <v>1290</v>
      </c>
      <c r="AO25" s="140">
        <f t="shared" si="13"/>
        <v>743000</v>
      </c>
      <c r="AP25" s="140">
        <f t="shared" si="13"/>
        <v>496</v>
      </c>
      <c r="AQ25" s="140">
        <f t="shared" si="13"/>
        <v>230000</v>
      </c>
      <c r="AR25" s="140">
        <f t="shared" si="13"/>
        <v>908</v>
      </c>
      <c r="AS25" s="140">
        <f t="shared" si="13"/>
        <v>497000</v>
      </c>
      <c r="AT25" s="140">
        <f t="shared" si="13"/>
        <v>1040</v>
      </c>
      <c r="AU25" s="140">
        <f t="shared" si="13"/>
        <v>562000</v>
      </c>
      <c r="AV25" s="140">
        <f t="shared" si="13"/>
        <v>910</v>
      </c>
      <c r="AW25" s="140">
        <f t="shared" si="13"/>
        <v>506000</v>
      </c>
      <c r="AX25" s="140">
        <f t="shared" si="13"/>
        <v>1040</v>
      </c>
      <c r="AY25" s="140">
        <f t="shared" si="13"/>
        <v>562000</v>
      </c>
      <c r="AZ25" s="140">
        <f t="shared" si="13"/>
        <v>1040</v>
      </c>
      <c r="BA25" s="140">
        <f t="shared" si="13"/>
        <v>562000</v>
      </c>
      <c r="BB25" s="140">
        <f t="shared" si="13"/>
        <v>795</v>
      </c>
      <c r="BC25" s="140">
        <f t="shared" si="13"/>
        <v>517500</v>
      </c>
      <c r="BD25" s="140">
        <f t="shared" si="13"/>
        <v>1300</v>
      </c>
      <c r="BE25" s="140">
        <f t="shared" si="13"/>
        <v>788000</v>
      </c>
      <c r="BF25" s="140">
        <f t="shared" si="13"/>
        <v>1040</v>
      </c>
      <c r="BG25" s="140">
        <f t="shared" si="13"/>
        <v>562000</v>
      </c>
      <c r="BH25" s="140">
        <f t="shared" si="13"/>
        <v>0</v>
      </c>
      <c r="BI25" s="140">
        <f t="shared" si="13"/>
        <v>0</v>
      </c>
      <c r="BJ25" s="140">
        <f t="shared" si="13"/>
        <v>15545</v>
      </c>
      <c r="BK25" s="140">
        <f t="shared" si="13"/>
        <v>8752500</v>
      </c>
      <c r="BL25" s="118"/>
      <c r="BN25" s="140">
        <f t="shared" ref="BN25:BU25" si="14">SUM(BN21:BN24)</f>
        <v>0</v>
      </c>
      <c r="BO25" s="140">
        <f t="shared" si="14"/>
        <v>8752500</v>
      </c>
      <c r="BP25" s="140">
        <f t="shared" si="14"/>
        <v>0</v>
      </c>
      <c r="BQ25" s="140">
        <f t="shared" si="14"/>
        <v>0</v>
      </c>
      <c r="BR25" s="140">
        <f t="shared" si="14"/>
        <v>8752500</v>
      </c>
      <c r="BS25" s="140">
        <f t="shared" si="14"/>
        <v>0</v>
      </c>
      <c r="BT25" s="140">
        <f t="shared" si="14"/>
        <v>0</v>
      </c>
      <c r="BU25" s="140">
        <f t="shared" si="14"/>
        <v>0</v>
      </c>
      <c r="BV25" s="485">
        <f t="shared" si="1"/>
        <v>8752500</v>
      </c>
    </row>
    <row r="26" spans="1:979" ht="31.5" customHeight="1" x14ac:dyDescent="0.25">
      <c r="A26" s="855"/>
      <c r="B26" s="454">
        <v>12220</v>
      </c>
      <c r="C26" s="174" t="s">
        <v>110</v>
      </c>
      <c r="D26" s="169"/>
      <c r="E26" s="1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55"/>
      <c r="S26" s="155"/>
      <c r="T26" s="155"/>
      <c r="U26" s="155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47"/>
      <c r="BN26" s="113"/>
      <c r="BO26" s="113"/>
      <c r="BP26" s="113"/>
      <c r="BQ26" s="113"/>
      <c r="BR26" s="113"/>
      <c r="BS26" s="113"/>
      <c r="BT26" s="113"/>
      <c r="BU26" s="113"/>
      <c r="BV26" s="181">
        <f t="shared" si="1"/>
        <v>0</v>
      </c>
    </row>
    <row r="27" spans="1:979" ht="33" customHeight="1" x14ac:dyDescent="0.25">
      <c r="A27" s="855"/>
      <c r="B27" s="168"/>
      <c r="C27" s="169" t="s">
        <v>111</v>
      </c>
      <c r="D27" s="169" t="s">
        <v>90</v>
      </c>
      <c r="E27" s="169">
        <f>0.75*100000</f>
        <v>75000</v>
      </c>
      <c r="F27" s="174">
        <f>BJ27</f>
        <v>0</v>
      </c>
      <c r="G27" s="69">
        <f>E27*F27</f>
        <v>0</v>
      </c>
      <c r="H27" s="69">
        <f>G27*0.2</f>
        <v>0</v>
      </c>
      <c r="I27" s="69">
        <f>G27*0.8</f>
        <v>0</v>
      </c>
      <c r="J27" s="69">
        <f>G27*0</f>
        <v>0</v>
      </c>
      <c r="K27" s="69">
        <f>G27*0</f>
        <v>0</v>
      </c>
      <c r="L27" s="69">
        <f>G27*0</f>
        <v>0</v>
      </c>
      <c r="M27" s="69">
        <f>G27*0</f>
        <v>0</v>
      </c>
      <c r="N27" s="69">
        <f>G27*0</f>
        <v>0</v>
      </c>
      <c r="O27" s="69">
        <f>G27*0</f>
        <v>0</v>
      </c>
      <c r="P27" s="69">
        <f>G27*0</f>
        <v>0</v>
      </c>
      <c r="Q27" s="69">
        <f>G27*0</f>
        <v>0</v>
      </c>
      <c r="R27" s="155"/>
      <c r="S27" s="155"/>
      <c r="T27" s="155"/>
      <c r="U27" s="155"/>
      <c r="V27" s="69">
        <f>R27*E27</f>
        <v>0</v>
      </c>
      <c r="W27" s="69">
        <f>S27*E27</f>
        <v>0</v>
      </c>
      <c r="X27" s="69">
        <f>T27*E27</f>
        <v>0</v>
      </c>
      <c r="Y27" s="69">
        <f>U27*E27</f>
        <v>0</v>
      </c>
      <c r="Z27" s="69">
        <v>0</v>
      </c>
      <c r="AA27" s="69">
        <f>Z27*75000</f>
        <v>0</v>
      </c>
      <c r="AB27" s="69">
        <v>0</v>
      </c>
      <c r="AC27" s="69">
        <f>AB27*75000</f>
        <v>0</v>
      </c>
      <c r="AD27" s="69">
        <v>0</v>
      </c>
      <c r="AE27" s="69">
        <f>AD27*75000</f>
        <v>0</v>
      </c>
      <c r="AF27" s="69">
        <v>0</v>
      </c>
      <c r="AG27" s="69">
        <f>AF27*75000</f>
        <v>0</v>
      </c>
      <c r="AH27" s="69">
        <v>0</v>
      </c>
      <c r="AI27" s="69">
        <f>AH27*75000</f>
        <v>0</v>
      </c>
      <c r="AJ27" s="69">
        <v>0</v>
      </c>
      <c r="AK27" s="69">
        <f>AJ27*75000</f>
        <v>0</v>
      </c>
      <c r="AL27" s="69">
        <v>0</v>
      </c>
      <c r="AM27" s="69">
        <f>AL27*75000</f>
        <v>0</v>
      </c>
      <c r="AN27" s="69">
        <v>0</v>
      </c>
      <c r="AO27" s="69">
        <f>AN27*75000</f>
        <v>0</v>
      </c>
      <c r="AP27" s="69">
        <v>0</v>
      </c>
      <c r="AQ27" s="69">
        <f>AP27*75000</f>
        <v>0</v>
      </c>
      <c r="AR27" s="69">
        <v>0</v>
      </c>
      <c r="AS27" s="69">
        <f>AR27*75000</f>
        <v>0</v>
      </c>
      <c r="AT27" s="69">
        <v>0</v>
      </c>
      <c r="AU27" s="69">
        <f>AT27*75000</f>
        <v>0</v>
      </c>
      <c r="AV27" s="69">
        <v>0</v>
      </c>
      <c r="AW27" s="69">
        <f>AV27*75000</f>
        <v>0</v>
      </c>
      <c r="AX27" s="69">
        <v>0</v>
      </c>
      <c r="AY27" s="69">
        <f>AX27*75000</f>
        <v>0</v>
      </c>
      <c r="AZ27" s="69">
        <v>0</v>
      </c>
      <c r="BA27" s="69">
        <f>AZ27*75000</f>
        <v>0</v>
      </c>
      <c r="BB27" s="69">
        <v>0</v>
      </c>
      <c r="BC27" s="69">
        <f>BB27*75000</f>
        <v>0</v>
      </c>
      <c r="BD27" s="69">
        <v>0</v>
      </c>
      <c r="BE27" s="69">
        <f>BD27*75000</f>
        <v>0</v>
      </c>
      <c r="BF27" s="69">
        <v>0</v>
      </c>
      <c r="BG27" s="69">
        <f>BF27*75000</f>
        <v>0</v>
      </c>
      <c r="BH27" s="69">
        <v>0</v>
      </c>
      <c r="BI27" s="69">
        <f>BH27*75000</f>
        <v>0</v>
      </c>
      <c r="BJ27" s="85">
        <f t="shared" ref="BJ27:BK29" si="15">Z27+AB27+AD27+AF27+AH27+AJ27+AL27+AN27+AP27+AR27+AT27+AV27+AX27+AZ27+BB27+BD27+BF27+BH27</f>
        <v>0</v>
      </c>
      <c r="BK27" s="85">
        <f t="shared" si="15"/>
        <v>0</v>
      </c>
      <c r="BL27" s="333" t="s">
        <v>469</v>
      </c>
      <c r="BN27" s="113">
        <v>0</v>
      </c>
      <c r="BO27" s="113">
        <f>G27</f>
        <v>0</v>
      </c>
      <c r="BP27" s="113">
        <v>0</v>
      </c>
      <c r="BQ27" s="113">
        <v>0</v>
      </c>
      <c r="BR27" s="113">
        <f>BN27+BO27+BP27+BQ27</f>
        <v>0</v>
      </c>
      <c r="BS27" s="113">
        <v>0</v>
      </c>
      <c r="BT27" s="113">
        <v>0</v>
      </c>
      <c r="BU27" s="113">
        <f>BS27+BT27</f>
        <v>0</v>
      </c>
      <c r="BV27" s="181">
        <f t="shared" si="1"/>
        <v>0</v>
      </c>
    </row>
    <row r="28" spans="1:979" ht="24" customHeight="1" x14ac:dyDescent="0.25">
      <c r="A28" s="855"/>
      <c r="B28" s="168"/>
      <c r="C28" s="169" t="s">
        <v>112</v>
      </c>
      <c r="D28" s="169" t="s">
        <v>113</v>
      </c>
      <c r="E28" s="169">
        <f>0.02*100000</f>
        <v>2000</v>
      </c>
      <c r="F28" s="69">
        <f>BJ28</f>
        <v>545</v>
      </c>
      <c r="G28" s="69">
        <f>E28*F28</f>
        <v>1090000</v>
      </c>
      <c r="H28" s="69">
        <f>G28*0.2</f>
        <v>218000</v>
      </c>
      <c r="I28" s="69">
        <f>G28*0.8</f>
        <v>872000</v>
      </c>
      <c r="J28" s="69">
        <f>G28*0</f>
        <v>0</v>
      </c>
      <c r="K28" s="69">
        <f>G28*0</f>
        <v>0</v>
      </c>
      <c r="L28" s="69">
        <f>G28*0</f>
        <v>0</v>
      </c>
      <c r="M28" s="69">
        <f>G28*0</f>
        <v>0</v>
      </c>
      <c r="N28" s="69">
        <f>G28*0</f>
        <v>0</v>
      </c>
      <c r="O28" s="69">
        <f>G28*0</f>
        <v>0</v>
      </c>
      <c r="P28" s="69">
        <f>G28*0</f>
        <v>0</v>
      </c>
      <c r="Q28" s="69">
        <f>G28*0</f>
        <v>0</v>
      </c>
      <c r="R28" s="155">
        <f>F28*0.5</f>
        <v>272.5</v>
      </c>
      <c r="S28" s="155">
        <f>F28*0.5</f>
        <v>272.5</v>
      </c>
      <c r="T28" s="47"/>
      <c r="U28" s="47"/>
      <c r="V28" s="69">
        <f>R28*E28</f>
        <v>545000</v>
      </c>
      <c r="W28" s="69">
        <f>S28*E28</f>
        <v>545000</v>
      </c>
      <c r="X28" s="69">
        <f>T28*E28</f>
        <v>0</v>
      </c>
      <c r="Y28" s="69">
        <f>U28*E28</f>
        <v>0</v>
      </c>
      <c r="Z28" s="69">
        <v>30</v>
      </c>
      <c r="AA28" s="69">
        <f>Z28*E28</f>
        <v>60000</v>
      </c>
      <c r="AB28" s="69">
        <v>21</v>
      </c>
      <c r="AC28" s="69">
        <f>AB28*E28</f>
        <v>42000</v>
      </c>
      <c r="AD28" s="69">
        <v>30</v>
      </c>
      <c r="AE28" s="69">
        <f>AD28*E28</f>
        <v>60000</v>
      </c>
      <c r="AF28" s="69">
        <v>51</v>
      </c>
      <c r="AG28" s="69">
        <f>AF28*E28</f>
        <v>102000</v>
      </c>
      <c r="AH28" s="69">
        <v>22</v>
      </c>
      <c r="AI28" s="69">
        <f>AH28*E28</f>
        <v>44000</v>
      </c>
      <c r="AJ28" s="69">
        <v>30</v>
      </c>
      <c r="AK28" s="69">
        <f>AJ28*E28</f>
        <v>60000</v>
      </c>
      <c r="AL28" s="69">
        <v>22</v>
      </c>
      <c r="AM28" s="69">
        <f>AL28*E28</f>
        <v>44000</v>
      </c>
      <c r="AN28" s="69">
        <v>50</v>
      </c>
      <c r="AO28" s="69">
        <f>AN28*E28</f>
        <v>100000</v>
      </c>
      <c r="AP28" s="69">
        <v>6</v>
      </c>
      <c r="AQ28" s="69">
        <f>AP28*E28</f>
        <v>12000</v>
      </c>
      <c r="AR28" s="69">
        <v>28</v>
      </c>
      <c r="AS28" s="69">
        <f>AR28*E28</f>
        <v>56000</v>
      </c>
      <c r="AT28" s="69">
        <v>30</v>
      </c>
      <c r="AU28" s="69">
        <f>AT28*E28</f>
        <v>60000</v>
      </c>
      <c r="AV28" s="69">
        <v>30</v>
      </c>
      <c r="AW28" s="69">
        <f>AV28*E28</f>
        <v>60000</v>
      </c>
      <c r="AX28" s="69">
        <v>30</v>
      </c>
      <c r="AY28" s="69">
        <f>AX28*E28</f>
        <v>60000</v>
      </c>
      <c r="AZ28" s="69">
        <v>30</v>
      </c>
      <c r="BA28" s="69">
        <f>AZ28*E28</f>
        <v>60000</v>
      </c>
      <c r="BB28" s="69">
        <v>45</v>
      </c>
      <c r="BC28" s="69">
        <f>BB28*E28</f>
        <v>90000</v>
      </c>
      <c r="BD28" s="69">
        <v>60</v>
      </c>
      <c r="BE28" s="69">
        <f>BD28*E28</f>
        <v>120000</v>
      </c>
      <c r="BF28" s="69">
        <v>30</v>
      </c>
      <c r="BG28" s="69">
        <f>BF28*E28</f>
        <v>60000</v>
      </c>
      <c r="BH28" s="69">
        <v>0</v>
      </c>
      <c r="BI28" s="69">
        <f>BH28*300</f>
        <v>0</v>
      </c>
      <c r="BJ28" s="85">
        <f t="shared" si="15"/>
        <v>545</v>
      </c>
      <c r="BK28" s="85">
        <f t="shared" si="15"/>
        <v>1090000</v>
      </c>
      <c r="BL28" s="333" t="s">
        <v>469</v>
      </c>
      <c r="BN28" s="113">
        <v>0</v>
      </c>
      <c r="BO28" s="113">
        <f>G28</f>
        <v>1090000</v>
      </c>
      <c r="BP28" s="113">
        <v>0</v>
      </c>
      <c r="BQ28" s="113">
        <v>0</v>
      </c>
      <c r="BR28" s="113">
        <f>BN28+BO28+BP28+BQ28</f>
        <v>1090000</v>
      </c>
      <c r="BS28" s="113">
        <v>0</v>
      </c>
      <c r="BT28" s="113">
        <v>0</v>
      </c>
      <c r="BU28" s="113">
        <f>BS28+BT28</f>
        <v>0</v>
      </c>
      <c r="BV28" s="181">
        <f t="shared" si="1"/>
        <v>1090000</v>
      </c>
    </row>
    <row r="29" spans="1:979" ht="24" customHeight="1" x14ac:dyDescent="0.25">
      <c r="A29" s="855"/>
      <c r="B29" s="168"/>
      <c r="C29" s="169" t="s">
        <v>106</v>
      </c>
      <c r="D29" s="169" t="s">
        <v>90</v>
      </c>
      <c r="E29" s="169">
        <f>0.0035*100000</f>
        <v>350</v>
      </c>
      <c r="F29" s="69">
        <f>BJ29</f>
        <v>12000</v>
      </c>
      <c r="G29" s="69">
        <f>E29*F29</f>
        <v>4200000</v>
      </c>
      <c r="H29" s="69">
        <f>G29*0.2</f>
        <v>840000</v>
      </c>
      <c r="I29" s="69">
        <f>G29*0.8</f>
        <v>3360000</v>
      </c>
      <c r="J29" s="69">
        <f>G29*0</f>
        <v>0</v>
      </c>
      <c r="K29" s="69">
        <f>G29*0</f>
        <v>0</v>
      </c>
      <c r="L29" s="69">
        <f>G29*0</f>
        <v>0</v>
      </c>
      <c r="M29" s="69">
        <f>G29*0</f>
        <v>0</v>
      </c>
      <c r="N29" s="69">
        <f>G29*0</f>
        <v>0</v>
      </c>
      <c r="O29" s="69">
        <f>G29*0</f>
        <v>0</v>
      </c>
      <c r="P29" s="69">
        <f>G29*0</f>
        <v>0</v>
      </c>
      <c r="Q29" s="69">
        <f>G29*0</f>
        <v>0</v>
      </c>
      <c r="R29" s="155">
        <v>3000</v>
      </c>
      <c r="S29" s="155">
        <v>3000</v>
      </c>
      <c r="T29" s="155">
        <v>3000</v>
      </c>
      <c r="U29" s="155">
        <v>3000</v>
      </c>
      <c r="V29" s="69">
        <f>R29*E29</f>
        <v>1050000</v>
      </c>
      <c r="W29" s="69">
        <f>S29*E29</f>
        <v>1050000</v>
      </c>
      <c r="X29" s="69">
        <f>T29*E29</f>
        <v>1050000</v>
      </c>
      <c r="Y29" s="69">
        <f>U29*E29</f>
        <v>1050000</v>
      </c>
      <c r="Z29" s="69">
        <v>700</v>
      </c>
      <c r="AA29" s="69">
        <f>Z29*350</f>
        <v>245000</v>
      </c>
      <c r="AB29" s="69">
        <v>400</v>
      </c>
      <c r="AC29" s="69">
        <f>AB29*350</f>
        <v>140000</v>
      </c>
      <c r="AD29" s="69">
        <v>700</v>
      </c>
      <c r="AE29" s="69">
        <f>AD29*350</f>
        <v>245000</v>
      </c>
      <c r="AF29" s="69">
        <v>800</v>
      </c>
      <c r="AG29" s="69">
        <f>AF29*350</f>
        <v>280000</v>
      </c>
      <c r="AH29" s="69">
        <v>600</v>
      </c>
      <c r="AI29" s="69">
        <f>AH29*350</f>
        <v>210000</v>
      </c>
      <c r="AJ29" s="69">
        <v>400</v>
      </c>
      <c r="AK29" s="69">
        <f>AJ29*350</f>
        <v>140000</v>
      </c>
      <c r="AL29" s="69">
        <v>800</v>
      </c>
      <c r="AM29" s="69">
        <f>AL29*350</f>
        <v>280000</v>
      </c>
      <c r="AN29" s="69">
        <v>1000</v>
      </c>
      <c r="AO29" s="69">
        <f>AN29*350</f>
        <v>350000</v>
      </c>
      <c r="AP29" s="69">
        <v>400</v>
      </c>
      <c r="AQ29" s="69">
        <f>AP29*350</f>
        <v>140000</v>
      </c>
      <c r="AR29" s="69">
        <v>700</v>
      </c>
      <c r="AS29" s="69">
        <f>AR29*350</f>
        <v>245000</v>
      </c>
      <c r="AT29" s="69">
        <v>800</v>
      </c>
      <c r="AU29" s="69">
        <f>AT29*350</f>
        <v>280000</v>
      </c>
      <c r="AV29" s="69">
        <v>700</v>
      </c>
      <c r="AW29" s="69">
        <f>AV29*350</f>
        <v>245000</v>
      </c>
      <c r="AX29" s="69">
        <v>800</v>
      </c>
      <c r="AY29" s="69">
        <f>AX29*350</f>
        <v>280000</v>
      </c>
      <c r="AZ29" s="69">
        <v>800</v>
      </c>
      <c r="BA29" s="69">
        <f>AZ29*350</f>
        <v>280000</v>
      </c>
      <c r="BB29" s="69">
        <v>600</v>
      </c>
      <c r="BC29" s="69">
        <f>BB29*350</f>
        <v>210000</v>
      </c>
      <c r="BD29" s="69">
        <v>1000</v>
      </c>
      <c r="BE29" s="69">
        <f>BD29*350</f>
        <v>350000</v>
      </c>
      <c r="BF29" s="69">
        <v>800</v>
      </c>
      <c r="BG29" s="69">
        <f>BF29*350</f>
        <v>280000</v>
      </c>
      <c r="BH29" s="69">
        <v>0</v>
      </c>
      <c r="BI29" s="69">
        <f>BH29*350</f>
        <v>0</v>
      </c>
      <c r="BJ29" s="85">
        <f t="shared" si="15"/>
        <v>12000</v>
      </c>
      <c r="BK29" s="85">
        <f t="shared" si="15"/>
        <v>4200000</v>
      </c>
      <c r="BL29" s="333" t="s">
        <v>469</v>
      </c>
      <c r="BN29" s="113">
        <v>0</v>
      </c>
      <c r="BO29" s="113">
        <f>G29</f>
        <v>4200000</v>
      </c>
      <c r="BP29" s="113">
        <v>0</v>
      </c>
      <c r="BQ29" s="113">
        <v>0</v>
      </c>
      <c r="BR29" s="113">
        <f>BN29+BO29+BP29+BQ29</f>
        <v>4200000</v>
      </c>
      <c r="BS29" s="113">
        <v>0</v>
      </c>
      <c r="BT29" s="113">
        <v>0</v>
      </c>
      <c r="BU29" s="113">
        <f>BS29+BT29</f>
        <v>0</v>
      </c>
      <c r="BV29" s="181">
        <f t="shared" si="1"/>
        <v>4200000</v>
      </c>
    </row>
    <row r="30" spans="1:979" ht="24" customHeight="1" x14ac:dyDescent="0.25">
      <c r="A30" s="855"/>
      <c r="B30" s="579"/>
      <c r="C30" s="580"/>
      <c r="D30" s="140"/>
      <c r="E30" s="140"/>
      <c r="F30" s="140">
        <f t="shared" ref="F30:BK30" si="16">SUM(F27:F29)</f>
        <v>12545</v>
      </c>
      <c r="G30" s="140">
        <f t="shared" si="16"/>
        <v>5290000</v>
      </c>
      <c r="H30" s="140">
        <f t="shared" si="16"/>
        <v>1058000</v>
      </c>
      <c r="I30" s="140">
        <f t="shared" si="16"/>
        <v>4232000</v>
      </c>
      <c r="J30" s="140">
        <f t="shared" si="16"/>
        <v>0</v>
      </c>
      <c r="K30" s="140">
        <f t="shared" si="16"/>
        <v>0</v>
      </c>
      <c r="L30" s="140">
        <f t="shared" si="16"/>
        <v>0</v>
      </c>
      <c r="M30" s="140">
        <f t="shared" si="16"/>
        <v>0</v>
      </c>
      <c r="N30" s="140">
        <f t="shared" si="16"/>
        <v>0</v>
      </c>
      <c r="O30" s="140">
        <f t="shared" si="16"/>
        <v>0</v>
      </c>
      <c r="P30" s="140">
        <f t="shared" si="16"/>
        <v>0</v>
      </c>
      <c r="Q30" s="140">
        <f t="shared" si="16"/>
        <v>0</v>
      </c>
      <c r="R30" s="479">
        <f t="shared" si="16"/>
        <v>3272.5</v>
      </c>
      <c r="S30" s="479">
        <f t="shared" si="16"/>
        <v>3272.5</v>
      </c>
      <c r="T30" s="479">
        <f t="shared" si="16"/>
        <v>3000</v>
      </c>
      <c r="U30" s="479">
        <f t="shared" si="16"/>
        <v>3000</v>
      </c>
      <c r="V30" s="140">
        <f t="shared" si="16"/>
        <v>1595000</v>
      </c>
      <c r="W30" s="140">
        <f t="shared" si="16"/>
        <v>1595000</v>
      </c>
      <c r="X30" s="140">
        <f t="shared" si="16"/>
        <v>1050000</v>
      </c>
      <c r="Y30" s="140">
        <f t="shared" si="16"/>
        <v>1050000</v>
      </c>
      <c r="Z30" s="140">
        <f t="shared" si="16"/>
        <v>730</v>
      </c>
      <c r="AA30" s="140">
        <f t="shared" si="16"/>
        <v>305000</v>
      </c>
      <c r="AB30" s="140">
        <f t="shared" si="16"/>
        <v>421</v>
      </c>
      <c r="AC30" s="140">
        <f t="shared" si="16"/>
        <v>182000</v>
      </c>
      <c r="AD30" s="140">
        <f t="shared" si="16"/>
        <v>730</v>
      </c>
      <c r="AE30" s="140">
        <f t="shared" si="16"/>
        <v>305000</v>
      </c>
      <c r="AF30" s="140">
        <f t="shared" si="16"/>
        <v>851</v>
      </c>
      <c r="AG30" s="140">
        <f t="shared" si="16"/>
        <v>382000</v>
      </c>
      <c r="AH30" s="140">
        <f t="shared" si="16"/>
        <v>622</v>
      </c>
      <c r="AI30" s="140">
        <f t="shared" si="16"/>
        <v>254000</v>
      </c>
      <c r="AJ30" s="140">
        <f t="shared" si="16"/>
        <v>430</v>
      </c>
      <c r="AK30" s="140">
        <f t="shared" si="16"/>
        <v>200000</v>
      </c>
      <c r="AL30" s="140">
        <f t="shared" si="16"/>
        <v>822</v>
      </c>
      <c r="AM30" s="140">
        <f t="shared" si="16"/>
        <v>324000</v>
      </c>
      <c r="AN30" s="140">
        <f t="shared" si="16"/>
        <v>1050</v>
      </c>
      <c r="AO30" s="140">
        <f t="shared" si="16"/>
        <v>450000</v>
      </c>
      <c r="AP30" s="140">
        <f t="shared" si="16"/>
        <v>406</v>
      </c>
      <c r="AQ30" s="140">
        <f t="shared" si="16"/>
        <v>152000</v>
      </c>
      <c r="AR30" s="140">
        <f t="shared" si="16"/>
        <v>728</v>
      </c>
      <c r="AS30" s="140">
        <f t="shared" si="16"/>
        <v>301000</v>
      </c>
      <c r="AT30" s="140">
        <f t="shared" si="16"/>
        <v>830</v>
      </c>
      <c r="AU30" s="140">
        <f t="shared" si="16"/>
        <v>340000</v>
      </c>
      <c r="AV30" s="140">
        <f t="shared" si="16"/>
        <v>730</v>
      </c>
      <c r="AW30" s="140">
        <f t="shared" si="16"/>
        <v>305000</v>
      </c>
      <c r="AX30" s="140">
        <f t="shared" si="16"/>
        <v>830</v>
      </c>
      <c r="AY30" s="140">
        <f t="shared" si="16"/>
        <v>340000</v>
      </c>
      <c r="AZ30" s="140">
        <f t="shared" si="16"/>
        <v>830</v>
      </c>
      <c r="BA30" s="140">
        <f t="shared" si="16"/>
        <v>340000</v>
      </c>
      <c r="BB30" s="140">
        <f t="shared" si="16"/>
        <v>645</v>
      </c>
      <c r="BC30" s="140">
        <f t="shared" si="16"/>
        <v>300000</v>
      </c>
      <c r="BD30" s="140">
        <f t="shared" si="16"/>
        <v>1060</v>
      </c>
      <c r="BE30" s="140">
        <f t="shared" si="16"/>
        <v>470000</v>
      </c>
      <c r="BF30" s="140">
        <f t="shared" si="16"/>
        <v>830</v>
      </c>
      <c r="BG30" s="140">
        <f t="shared" si="16"/>
        <v>340000</v>
      </c>
      <c r="BH30" s="140">
        <f t="shared" si="16"/>
        <v>0</v>
      </c>
      <c r="BI30" s="140">
        <f t="shared" si="16"/>
        <v>0</v>
      </c>
      <c r="BJ30" s="140">
        <f t="shared" si="16"/>
        <v>12545</v>
      </c>
      <c r="BK30" s="140">
        <f t="shared" si="16"/>
        <v>5290000</v>
      </c>
      <c r="BL30" s="333"/>
      <c r="BN30" s="140">
        <f t="shared" ref="BN30:BU30" si="17">SUM(BN27:BN29)</f>
        <v>0</v>
      </c>
      <c r="BO30" s="140">
        <f t="shared" si="17"/>
        <v>5290000</v>
      </c>
      <c r="BP30" s="140">
        <f t="shared" si="17"/>
        <v>0</v>
      </c>
      <c r="BQ30" s="140">
        <f t="shared" si="17"/>
        <v>0</v>
      </c>
      <c r="BR30" s="140">
        <f t="shared" si="17"/>
        <v>5290000</v>
      </c>
      <c r="BS30" s="140">
        <f t="shared" si="17"/>
        <v>0</v>
      </c>
      <c r="BT30" s="140">
        <f t="shared" si="17"/>
        <v>0</v>
      </c>
      <c r="BU30" s="140">
        <f t="shared" si="17"/>
        <v>0</v>
      </c>
      <c r="BV30" s="485">
        <f t="shared" si="1"/>
        <v>5290000</v>
      </c>
    </row>
    <row r="31" spans="1:979" s="67" customFormat="1" ht="24" customHeight="1" x14ac:dyDescent="0.25">
      <c r="A31" s="855"/>
      <c r="B31" s="131"/>
      <c r="C31" s="129"/>
      <c r="D31" s="129"/>
      <c r="E31" s="70"/>
      <c r="F31" s="70">
        <f>F25+F30</f>
        <v>28090</v>
      </c>
      <c r="G31" s="70">
        <f t="shared" ref="G31:BL31" si="18">G25+G30</f>
        <v>14042500</v>
      </c>
      <c r="H31" s="70">
        <f t="shared" si="18"/>
        <v>2808500</v>
      </c>
      <c r="I31" s="70">
        <f t="shared" si="18"/>
        <v>11234000</v>
      </c>
      <c r="J31" s="70">
        <f t="shared" si="18"/>
        <v>0</v>
      </c>
      <c r="K31" s="70">
        <f t="shared" si="18"/>
        <v>0</v>
      </c>
      <c r="L31" s="70">
        <f t="shared" si="18"/>
        <v>0</v>
      </c>
      <c r="M31" s="70">
        <f t="shared" si="18"/>
        <v>0</v>
      </c>
      <c r="N31" s="70">
        <f t="shared" si="18"/>
        <v>0</v>
      </c>
      <c r="O31" s="70">
        <f t="shared" si="18"/>
        <v>0</v>
      </c>
      <c r="P31" s="70">
        <f t="shared" si="18"/>
        <v>0</v>
      </c>
      <c r="Q31" s="70">
        <f t="shared" si="18"/>
        <v>0</v>
      </c>
      <c r="R31" s="156">
        <f t="shared" si="18"/>
        <v>8022.5</v>
      </c>
      <c r="S31" s="156">
        <f t="shared" si="18"/>
        <v>6922.5</v>
      </c>
      <c r="T31" s="156">
        <f t="shared" si="18"/>
        <v>6645</v>
      </c>
      <c r="U31" s="156">
        <f t="shared" si="18"/>
        <v>6500</v>
      </c>
      <c r="V31" s="70">
        <f t="shared" si="18"/>
        <v>4820000</v>
      </c>
      <c r="W31" s="70">
        <f t="shared" si="18"/>
        <v>4020000</v>
      </c>
      <c r="X31" s="70">
        <f t="shared" si="18"/>
        <v>2927500</v>
      </c>
      <c r="Y31" s="70">
        <f t="shared" si="18"/>
        <v>2275000</v>
      </c>
      <c r="Z31" s="70">
        <f t="shared" si="18"/>
        <v>1640</v>
      </c>
      <c r="AA31" s="70">
        <f t="shared" si="18"/>
        <v>811000</v>
      </c>
      <c r="AB31" s="70">
        <f t="shared" si="18"/>
        <v>932</v>
      </c>
      <c r="AC31" s="70">
        <f t="shared" si="18"/>
        <v>479500</v>
      </c>
      <c r="AD31" s="70">
        <f t="shared" si="18"/>
        <v>1640</v>
      </c>
      <c r="AE31" s="70">
        <f t="shared" si="18"/>
        <v>811000</v>
      </c>
      <c r="AF31" s="70">
        <f t="shared" si="18"/>
        <v>1912</v>
      </c>
      <c r="AG31" s="70">
        <f t="shared" si="18"/>
        <v>1038500</v>
      </c>
      <c r="AH31" s="70">
        <f t="shared" si="18"/>
        <v>1364</v>
      </c>
      <c r="AI31" s="70">
        <f t="shared" si="18"/>
        <v>647000</v>
      </c>
      <c r="AJ31" s="70">
        <f t="shared" si="18"/>
        <v>950</v>
      </c>
      <c r="AK31" s="70">
        <f t="shared" si="18"/>
        <v>538000</v>
      </c>
      <c r="AL31" s="70">
        <f t="shared" si="18"/>
        <v>1854</v>
      </c>
      <c r="AM31" s="70">
        <f t="shared" si="18"/>
        <v>850000</v>
      </c>
      <c r="AN31" s="70">
        <f t="shared" si="18"/>
        <v>2340</v>
      </c>
      <c r="AO31" s="70">
        <f t="shared" si="18"/>
        <v>1193000</v>
      </c>
      <c r="AP31" s="70">
        <f t="shared" si="18"/>
        <v>902</v>
      </c>
      <c r="AQ31" s="70">
        <f t="shared" si="18"/>
        <v>382000</v>
      </c>
      <c r="AR31" s="70">
        <f t="shared" si="18"/>
        <v>1636</v>
      </c>
      <c r="AS31" s="70">
        <f t="shared" si="18"/>
        <v>798000</v>
      </c>
      <c r="AT31" s="70">
        <f t="shared" si="18"/>
        <v>1870</v>
      </c>
      <c r="AU31" s="70">
        <f t="shared" si="18"/>
        <v>902000</v>
      </c>
      <c r="AV31" s="70">
        <f t="shared" si="18"/>
        <v>1640</v>
      </c>
      <c r="AW31" s="70">
        <f t="shared" si="18"/>
        <v>811000</v>
      </c>
      <c r="AX31" s="70">
        <f t="shared" si="18"/>
        <v>1870</v>
      </c>
      <c r="AY31" s="70">
        <f t="shared" si="18"/>
        <v>902000</v>
      </c>
      <c r="AZ31" s="70">
        <f t="shared" si="18"/>
        <v>1870</v>
      </c>
      <c r="BA31" s="70">
        <f t="shared" si="18"/>
        <v>902000</v>
      </c>
      <c r="BB31" s="70">
        <f t="shared" si="18"/>
        <v>1440</v>
      </c>
      <c r="BC31" s="70">
        <f t="shared" si="18"/>
        <v>817500</v>
      </c>
      <c r="BD31" s="70">
        <f t="shared" si="18"/>
        <v>2360</v>
      </c>
      <c r="BE31" s="70">
        <f t="shared" si="18"/>
        <v>1258000</v>
      </c>
      <c r="BF31" s="70">
        <f t="shared" si="18"/>
        <v>1870</v>
      </c>
      <c r="BG31" s="70">
        <f t="shared" si="18"/>
        <v>902000</v>
      </c>
      <c r="BH31" s="70">
        <f t="shared" si="18"/>
        <v>0</v>
      </c>
      <c r="BI31" s="70">
        <f t="shared" si="18"/>
        <v>0</v>
      </c>
      <c r="BJ31" s="70">
        <f t="shared" si="18"/>
        <v>28090</v>
      </c>
      <c r="BK31" s="70">
        <f t="shared" si="18"/>
        <v>14042500</v>
      </c>
      <c r="BL31" s="70">
        <f t="shared" si="18"/>
        <v>0</v>
      </c>
      <c r="BM31" s="300"/>
      <c r="BN31" s="70">
        <f t="shared" ref="BN31:BV31" si="19">BN25+BN30</f>
        <v>0</v>
      </c>
      <c r="BO31" s="70">
        <f t="shared" si="19"/>
        <v>14042500</v>
      </c>
      <c r="BP31" s="70">
        <f t="shared" si="19"/>
        <v>0</v>
      </c>
      <c r="BQ31" s="70">
        <f t="shared" si="19"/>
        <v>0</v>
      </c>
      <c r="BR31" s="70">
        <f t="shared" si="19"/>
        <v>14042500</v>
      </c>
      <c r="BS31" s="70">
        <f t="shared" si="19"/>
        <v>0</v>
      </c>
      <c r="BT31" s="70">
        <f t="shared" si="19"/>
        <v>0</v>
      </c>
      <c r="BU31" s="70">
        <f t="shared" si="19"/>
        <v>0</v>
      </c>
      <c r="BV31" s="70">
        <f t="shared" si="19"/>
        <v>14042500</v>
      </c>
    </row>
    <row r="32" spans="1:979" ht="24" customHeight="1" x14ac:dyDescent="0.25">
      <c r="A32" s="855"/>
      <c r="B32" s="454">
        <v>12300</v>
      </c>
      <c r="C32" s="578" t="s">
        <v>114</v>
      </c>
      <c r="D32" s="169"/>
      <c r="E32" s="1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155"/>
      <c r="S32" s="155"/>
      <c r="T32" s="155"/>
      <c r="U32" s="155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47"/>
      <c r="BN32" s="113"/>
      <c r="BO32" s="113"/>
      <c r="BP32" s="113"/>
      <c r="BQ32" s="113"/>
      <c r="BR32" s="113"/>
      <c r="BS32" s="113"/>
      <c r="BT32" s="113"/>
      <c r="BU32" s="113"/>
      <c r="BV32" s="181">
        <f t="shared" si="1"/>
        <v>0</v>
      </c>
    </row>
    <row r="33" spans="1:979" ht="33" customHeight="1" x14ac:dyDescent="0.25">
      <c r="A33" s="855"/>
      <c r="B33" s="454">
        <v>12310</v>
      </c>
      <c r="C33" s="169" t="s">
        <v>820</v>
      </c>
      <c r="D33" s="169"/>
      <c r="E33" s="169"/>
      <c r="F33" s="1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155"/>
      <c r="S33" s="155"/>
      <c r="T33" s="155"/>
      <c r="U33" s="155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47"/>
      <c r="BN33" s="113"/>
      <c r="BO33" s="113"/>
      <c r="BP33" s="113"/>
      <c r="BQ33" s="113"/>
      <c r="BR33" s="113"/>
      <c r="BS33" s="113"/>
      <c r="BT33" s="113"/>
      <c r="BU33" s="113"/>
      <c r="BV33" s="181">
        <f t="shared" si="1"/>
        <v>0</v>
      </c>
    </row>
    <row r="34" spans="1:979" ht="31.5" x14ac:dyDescent="0.25">
      <c r="A34" s="855"/>
      <c r="B34" s="168"/>
      <c r="C34" s="665" t="s">
        <v>876</v>
      </c>
      <c r="D34" s="169" t="s">
        <v>17</v>
      </c>
      <c r="E34" s="169">
        <f>1.02*100000</f>
        <v>102000</v>
      </c>
      <c r="F34" s="69">
        <f>BJ34</f>
        <v>17</v>
      </c>
      <c r="G34" s="69">
        <f t="shared" ref="G34:G42" si="20">E34*F34</f>
        <v>1734000</v>
      </c>
      <c r="H34" s="69">
        <f>G34*0.2</f>
        <v>346800</v>
      </c>
      <c r="I34" s="69">
        <f>G34*0.8</f>
        <v>1387200</v>
      </c>
      <c r="J34" s="69">
        <f>G34*0</f>
        <v>0</v>
      </c>
      <c r="K34" s="69">
        <f>G34*0</f>
        <v>0</v>
      </c>
      <c r="L34" s="69">
        <f>G34*0</f>
        <v>0</v>
      </c>
      <c r="M34" s="69">
        <f>G34*0</f>
        <v>0</v>
      </c>
      <c r="N34" s="69">
        <f>G34*0</f>
        <v>0</v>
      </c>
      <c r="O34" s="69">
        <f>G34*0</f>
        <v>0</v>
      </c>
      <c r="P34" s="69">
        <f>G34*0</f>
        <v>0</v>
      </c>
      <c r="Q34" s="69">
        <f>G34*0</f>
        <v>0</v>
      </c>
      <c r="R34" s="155">
        <v>17</v>
      </c>
      <c r="S34" s="155"/>
      <c r="T34" s="155"/>
      <c r="U34" s="155"/>
      <c r="V34" s="69">
        <f t="shared" ref="V34:V42" si="21">R34*E34</f>
        <v>1734000</v>
      </c>
      <c r="W34" s="69">
        <f t="shared" ref="W34:W42" si="22">S34*E34</f>
        <v>0</v>
      </c>
      <c r="X34" s="69">
        <f t="shared" ref="X34:X42" si="23">T34*E34</f>
        <v>0</v>
      </c>
      <c r="Y34" s="69">
        <f t="shared" ref="Y34:Y42" si="24">U34*E34</f>
        <v>0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169">
        <v>17</v>
      </c>
      <c r="BI34" s="69">
        <v>1734000</v>
      </c>
      <c r="BJ34" s="85">
        <f t="shared" ref="BJ34:BK42" si="25">Z34+AB34+AD34+AF34+AH34+AJ34+AL34+AN34+AP34+AR34+AT34+AV34+AX34+AZ34+BB34+BD34+BF34+BH34</f>
        <v>17</v>
      </c>
      <c r="BK34" s="85">
        <f t="shared" si="25"/>
        <v>1734000</v>
      </c>
      <c r="BL34" s="333" t="s">
        <v>469</v>
      </c>
      <c r="BN34" s="113"/>
      <c r="BO34" s="113"/>
      <c r="BP34" s="113">
        <f>G34</f>
        <v>1734000</v>
      </c>
      <c r="BQ34" s="113"/>
      <c r="BR34" s="113">
        <f t="shared" ref="BR34:BR42" si="26">BN34+BO34+BP34+BQ34</f>
        <v>1734000</v>
      </c>
      <c r="BS34" s="113"/>
      <c r="BT34" s="113"/>
      <c r="BU34" s="113"/>
      <c r="BV34" s="181">
        <f t="shared" si="1"/>
        <v>1734000</v>
      </c>
    </row>
    <row r="35" spans="1:979" ht="37.5" customHeight="1" x14ac:dyDescent="0.25">
      <c r="A35" s="855"/>
      <c r="B35" s="168"/>
      <c r="C35" s="578" t="s">
        <v>783</v>
      </c>
      <c r="D35" s="169"/>
      <c r="E35" s="169"/>
      <c r="F35" s="1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155"/>
      <c r="S35" s="155"/>
      <c r="T35" s="155"/>
      <c r="U35" s="155"/>
      <c r="V35" s="69">
        <f t="shared" si="21"/>
        <v>0</v>
      </c>
      <c r="W35" s="69">
        <f t="shared" si="22"/>
        <v>0</v>
      </c>
      <c r="X35" s="69">
        <f t="shared" si="23"/>
        <v>0</v>
      </c>
      <c r="Y35" s="69">
        <f t="shared" si="24"/>
        <v>0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47"/>
      <c r="BN35" s="113"/>
      <c r="BO35" s="113"/>
      <c r="BP35" s="113"/>
      <c r="BQ35" s="113"/>
      <c r="BR35" s="113"/>
      <c r="BS35" s="113"/>
      <c r="BT35" s="113"/>
      <c r="BU35" s="113"/>
      <c r="BV35" s="181">
        <f t="shared" si="1"/>
        <v>0</v>
      </c>
    </row>
    <row r="36" spans="1:979" ht="30" customHeight="1" x14ac:dyDescent="0.25">
      <c r="A36" s="855"/>
      <c r="B36" s="168"/>
      <c r="C36" s="169" t="s">
        <v>822</v>
      </c>
      <c r="D36" s="169" t="s">
        <v>120</v>
      </c>
      <c r="E36" s="169">
        <f>0.01*100000</f>
        <v>1000</v>
      </c>
      <c r="F36" s="69">
        <f>BJ36</f>
        <v>900</v>
      </c>
      <c r="G36" s="126">
        <f t="shared" si="20"/>
        <v>900000</v>
      </c>
      <c r="H36" s="69">
        <f>G36*0.2</f>
        <v>180000</v>
      </c>
      <c r="I36" s="69">
        <f>G36*0.8</f>
        <v>720000</v>
      </c>
      <c r="J36" s="69">
        <f t="shared" ref="J36:J42" si="27">G36*0</f>
        <v>0</v>
      </c>
      <c r="K36" s="69">
        <f t="shared" ref="K36:K42" si="28">G36*0</f>
        <v>0</v>
      </c>
      <c r="L36" s="69">
        <f t="shared" ref="L36:L42" si="29">G36*0</f>
        <v>0</v>
      </c>
      <c r="M36" s="69">
        <f t="shared" ref="M36:M42" si="30">G36*0</f>
        <v>0</v>
      </c>
      <c r="N36" s="69">
        <f t="shared" ref="N36:N42" si="31">G36*0</f>
        <v>0</v>
      </c>
      <c r="O36" s="69">
        <f t="shared" ref="O36:O42" si="32">G36*0</f>
        <v>0</v>
      </c>
      <c r="P36" s="69">
        <f t="shared" ref="P36:P42" si="33">G36*0</f>
        <v>0</v>
      </c>
      <c r="Q36" s="69">
        <f t="shared" ref="Q36:Q42" si="34">G36*0</f>
        <v>0</v>
      </c>
      <c r="R36" s="155">
        <f>F36*0.5</f>
        <v>450</v>
      </c>
      <c r="S36" s="155">
        <v>250</v>
      </c>
      <c r="T36" s="455">
        <v>75</v>
      </c>
      <c r="U36" s="455">
        <v>125</v>
      </c>
      <c r="V36" s="69">
        <f t="shared" si="21"/>
        <v>450000</v>
      </c>
      <c r="W36" s="69">
        <f t="shared" si="22"/>
        <v>250000</v>
      </c>
      <c r="X36" s="69">
        <f t="shared" si="23"/>
        <v>75000</v>
      </c>
      <c r="Y36" s="69">
        <f t="shared" si="24"/>
        <v>125000</v>
      </c>
      <c r="Z36" s="69">
        <v>40</v>
      </c>
      <c r="AA36" s="69">
        <f>Z36*E36</f>
        <v>40000</v>
      </c>
      <c r="AB36" s="69">
        <v>30</v>
      </c>
      <c r="AC36" s="69">
        <f>AB36*E36</f>
        <v>30000</v>
      </c>
      <c r="AD36" s="69">
        <v>40</v>
      </c>
      <c r="AE36" s="69">
        <f>AD36*E36</f>
        <v>40000</v>
      </c>
      <c r="AF36" s="69">
        <v>50</v>
      </c>
      <c r="AG36" s="69">
        <f>AF36*E36</f>
        <v>50000</v>
      </c>
      <c r="AH36" s="69">
        <v>20</v>
      </c>
      <c r="AI36" s="69">
        <f>AH36*E36</f>
        <v>20000</v>
      </c>
      <c r="AJ36" s="69">
        <v>40</v>
      </c>
      <c r="AK36" s="69">
        <f>AJ36*E36</f>
        <v>40000</v>
      </c>
      <c r="AL36" s="69">
        <v>50</v>
      </c>
      <c r="AM36" s="69">
        <f>AL36*E36</f>
        <v>50000</v>
      </c>
      <c r="AN36" s="69">
        <v>80</v>
      </c>
      <c r="AO36" s="69">
        <f>AN36*E36</f>
        <v>80000</v>
      </c>
      <c r="AP36" s="69">
        <v>20</v>
      </c>
      <c r="AQ36" s="69">
        <f>AP36*E36</f>
        <v>20000</v>
      </c>
      <c r="AR36" s="69">
        <v>30</v>
      </c>
      <c r="AS36" s="69">
        <f>AR36*E36</f>
        <v>30000</v>
      </c>
      <c r="AT36" s="69">
        <v>60</v>
      </c>
      <c r="AU36" s="69">
        <f>AT36*E36</f>
        <v>60000</v>
      </c>
      <c r="AV36" s="69">
        <v>50</v>
      </c>
      <c r="AW36" s="69">
        <f>AV36*E36</f>
        <v>50000</v>
      </c>
      <c r="AX36" s="69">
        <v>90</v>
      </c>
      <c r="AY36" s="69">
        <f>AX36*E36</f>
        <v>90000</v>
      </c>
      <c r="AZ36" s="69">
        <v>90</v>
      </c>
      <c r="BA36" s="69">
        <f>AZ36*E36</f>
        <v>90000</v>
      </c>
      <c r="BB36" s="69">
        <v>30</v>
      </c>
      <c r="BC36" s="69">
        <f>BB36*E36</f>
        <v>30000</v>
      </c>
      <c r="BD36" s="69">
        <v>120</v>
      </c>
      <c r="BE36" s="69">
        <f>BD36*E36</f>
        <v>120000</v>
      </c>
      <c r="BF36" s="69">
        <v>60</v>
      </c>
      <c r="BG36" s="69">
        <f>BF36*E36</f>
        <v>60000</v>
      </c>
      <c r="BH36" s="69">
        <v>0</v>
      </c>
      <c r="BI36" s="69">
        <f>BH36*1000</f>
        <v>0</v>
      </c>
      <c r="BJ36" s="85">
        <f t="shared" si="25"/>
        <v>900</v>
      </c>
      <c r="BK36" s="85">
        <f t="shared" si="25"/>
        <v>900000</v>
      </c>
      <c r="BL36" s="333" t="s">
        <v>469</v>
      </c>
      <c r="BN36" s="113"/>
      <c r="BO36" s="113">
        <f t="shared" ref="BO36:BO42" si="35">G36</f>
        <v>900000</v>
      </c>
      <c r="BP36" s="113"/>
      <c r="BQ36" s="113"/>
      <c r="BR36" s="113">
        <f t="shared" si="26"/>
        <v>900000</v>
      </c>
      <c r="BS36" s="113"/>
      <c r="BT36" s="113"/>
      <c r="BU36" s="113"/>
      <c r="BV36" s="181">
        <f t="shared" si="1"/>
        <v>900000</v>
      </c>
    </row>
    <row r="37" spans="1:979" ht="45" customHeight="1" x14ac:dyDescent="0.25">
      <c r="A37" s="855"/>
      <c r="B37" s="168"/>
      <c r="C37" s="169" t="s">
        <v>115</v>
      </c>
      <c r="D37" s="169" t="s">
        <v>120</v>
      </c>
      <c r="E37" s="169">
        <f>0.01*100000</f>
        <v>1000</v>
      </c>
      <c r="F37" s="69">
        <f t="shared" ref="F37:F42" si="36">BJ37</f>
        <v>270</v>
      </c>
      <c r="G37" s="69">
        <f t="shared" si="20"/>
        <v>270000</v>
      </c>
      <c r="H37" s="69">
        <f t="shared" ref="H37:H42" si="37">G37*0.2</f>
        <v>54000</v>
      </c>
      <c r="I37" s="69">
        <f t="shared" ref="I37:I42" si="38">G37*0.8</f>
        <v>216000</v>
      </c>
      <c r="J37" s="69">
        <f t="shared" si="27"/>
        <v>0</v>
      </c>
      <c r="K37" s="69">
        <f t="shared" si="28"/>
        <v>0</v>
      </c>
      <c r="L37" s="69">
        <f t="shared" si="29"/>
        <v>0</v>
      </c>
      <c r="M37" s="69">
        <f t="shared" si="30"/>
        <v>0</v>
      </c>
      <c r="N37" s="69">
        <f t="shared" si="31"/>
        <v>0</v>
      </c>
      <c r="O37" s="69">
        <f t="shared" si="32"/>
        <v>0</v>
      </c>
      <c r="P37" s="69">
        <f t="shared" si="33"/>
        <v>0</v>
      </c>
      <c r="Q37" s="69">
        <f t="shared" si="34"/>
        <v>0</v>
      </c>
      <c r="R37" s="155">
        <v>135</v>
      </c>
      <c r="S37" s="155"/>
      <c r="T37" s="155"/>
      <c r="U37" s="155">
        <f>F37*0.5</f>
        <v>135</v>
      </c>
      <c r="V37" s="69">
        <f t="shared" si="21"/>
        <v>135000</v>
      </c>
      <c r="W37" s="69">
        <f t="shared" si="22"/>
        <v>0</v>
      </c>
      <c r="X37" s="69">
        <f t="shared" si="23"/>
        <v>0</v>
      </c>
      <c r="Y37" s="69">
        <f t="shared" si="24"/>
        <v>135000</v>
      </c>
      <c r="Z37" s="69">
        <v>12</v>
      </c>
      <c r="AA37" s="69">
        <f>Z37*1000</f>
        <v>12000</v>
      </c>
      <c r="AB37" s="69">
        <v>9</v>
      </c>
      <c r="AC37" s="69">
        <f>AB37*1000</f>
        <v>9000</v>
      </c>
      <c r="AD37" s="69">
        <v>12</v>
      </c>
      <c r="AE37" s="69">
        <f>AD37*1000</f>
        <v>12000</v>
      </c>
      <c r="AF37" s="69">
        <v>15</v>
      </c>
      <c r="AG37" s="69">
        <f>AF37*1000</f>
        <v>15000</v>
      </c>
      <c r="AH37" s="69">
        <v>6</v>
      </c>
      <c r="AI37" s="69">
        <f>AH37*1000</f>
        <v>6000</v>
      </c>
      <c r="AJ37" s="69">
        <v>12</v>
      </c>
      <c r="AK37" s="69">
        <f>AJ37*1000</f>
        <v>12000</v>
      </c>
      <c r="AL37" s="69">
        <v>15</v>
      </c>
      <c r="AM37" s="69">
        <f>AL37*1000</f>
        <v>15000</v>
      </c>
      <c r="AN37" s="69">
        <v>24</v>
      </c>
      <c r="AO37" s="69">
        <f>AN37*1000</f>
        <v>24000</v>
      </c>
      <c r="AP37" s="69">
        <v>6</v>
      </c>
      <c r="AQ37" s="69">
        <f>AP37*1000</f>
        <v>6000</v>
      </c>
      <c r="AR37" s="69">
        <v>9</v>
      </c>
      <c r="AS37" s="69">
        <f>AR37*1000</f>
        <v>9000</v>
      </c>
      <c r="AT37" s="69">
        <v>18</v>
      </c>
      <c r="AU37" s="69">
        <f>AT37*1000</f>
        <v>18000</v>
      </c>
      <c r="AV37" s="69">
        <v>15</v>
      </c>
      <c r="AW37" s="69">
        <f>AV37*1000</f>
        <v>15000</v>
      </c>
      <c r="AX37" s="69">
        <v>27</v>
      </c>
      <c r="AY37" s="69">
        <f>AX37*1000</f>
        <v>27000</v>
      </c>
      <c r="AZ37" s="69">
        <v>27</v>
      </c>
      <c r="BA37" s="69">
        <f>AZ37*1000</f>
        <v>27000</v>
      </c>
      <c r="BB37" s="69">
        <v>9</v>
      </c>
      <c r="BC37" s="69">
        <f>BB37*1000</f>
        <v>9000</v>
      </c>
      <c r="BD37" s="69">
        <v>36</v>
      </c>
      <c r="BE37" s="69">
        <f>BD37*1000</f>
        <v>36000</v>
      </c>
      <c r="BF37" s="69">
        <v>18</v>
      </c>
      <c r="BG37" s="69">
        <f>BF37*1000</f>
        <v>18000</v>
      </c>
      <c r="BH37" s="69">
        <v>0</v>
      </c>
      <c r="BI37" s="69">
        <f>BH37*1000</f>
        <v>0</v>
      </c>
      <c r="BJ37" s="85">
        <f t="shared" si="25"/>
        <v>270</v>
      </c>
      <c r="BK37" s="85">
        <f t="shared" si="25"/>
        <v>270000</v>
      </c>
      <c r="BL37" s="333" t="s">
        <v>469</v>
      </c>
      <c r="BN37" s="113"/>
      <c r="BO37" s="113">
        <f t="shared" si="35"/>
        <v>270000</v>
      </c>
      <c r="BP37" s="113"/>
      <c r="BQ37" s="113"/>
      <c r="BR37" s="113">
        <f t="shared" si="26"/>
        <v>270000</v>
      </c>
      <c r="BS37" s="113"/>
      <c r="BT37" s="113"/>
      <c r="BU37" s="113"/>
      <c r="BV37" s="181">
        <f t="shared" si="1"/>
        <v>270000</v>
      </c>
    </row>
    <row r="38" spans="1:979" ht="42" customHeight="1" x14ac:dyDescent="0.25">
      <c r="A38" s="855"/>
      <c r="B38" s="168"/>
      <c r="C38" s="169" t="s">
        <v>116</v>
      </c>
      <c r="D38" s="169" t="s">
        <v>121</v>
      </c>
      <c r="E38" s="169">
        <f>0.5*100000</f>
        <v>50000</v>
      </c>
      <c r="F38" s="69">
        <f t="shared" si="36"/>
        <v>0</v>
      </c>
      <c r="G38" s="69">
        <f t="shared" si="20"/>
        <v>0</v>
      </c>
      <c r="H38" s="69">
        <f t="shared" si="37"/>
        <v>0</v>
      </c>
      <c r="I38" s="69">
        <f t="shared" si="38"/>
        <v>0</v>
      </c>
      <c r="J38" s="69">
        <f t="shared" si="27"/>
        <v>0</v>
      </c>
      <c r="K38" s="69">
        <f t="shared" si="28"/>
        <v>0</v>
      </c>
      <c r="L38" s="69">
        <f t="shared" si="29"/>
        <v>0</v>
      </c>
      <c r="M38" s="69">
        <f t="shared" si="30"/>
        <v>0</v>
      </c>
      <c r="N38" s="69">
        <f t="shared" si="31"/>
        <v>0</v>
      </c>
      <c r="O38" s="69">
        <f t="shared" si="32"/>
        <v>0</v>
      </c>
      <c r="P38" s="69">
        <f t="shared" si="33"/>
        <v>0</v>
      </c>
      <c r="Q38" s="69">
        <f t="shared" si="34"/>
        <v>0</v>
      </c>
      <c r="R38" s="155"/>
      <c r="S38" s="155"/>
      <c r="T38" s="155"/>
      <c r="U38" s="155"/>
      <c r="V38" s="69">
        <f t="shared" si="21"/>
        <v>0</v>
      </c>
      <c r="W38" s="69">
        <f t="shared" si="22"/>
        <v>0</v>
      </c>
      <c r="X38" s="69">
        <f t="shared" si="23"/>
        <v>0</v>
      </c>
      <c r="Y38" s="69">
        <f t="shared" si="24"/>
        <v>0</v>
      </c>
      <c r="Z38" s="69">
        <v>0</v>
      </c>
      <c r="AA38" s="69">
        <f>Z38*50000</f>
        <v>0</v>
      </c>
      <c r="AB38" s="69">
        <v>0</v>
      </c>
      <c r="AC38" s="69">
        <f>AB38*50000</f>
        <v>0</v>
      </c>
      <c r="AD38" s="69">
        <v>0</v>
      </c>
      <c r="AE38" s="69">
        <f>AD38*50000</f>
        <v>0</v>
      </c>
      <c r="AF38" s="69">
        <v>0</v>
      </c>
      <c r="AG38" s="69">
        <f>AF38*50000</f>
        <v>0</v>
      </c>
      <c r="AH38" s="69">
        <v>0</v>
      </c>
      <c r="AI38" s="69">
        <f>AH38*50000</f>
        <v>0</v>
      </c>
      <c r="AJ38" s="69">
        <v>0</v>
      </c>
      <c r="AK38" s="69">
        <f>AJ38*50000</f>
        <v>0</v>
      </c>
      <c r="AL38" s="69">
        <v>0</v>
      </c>
      <c r="AM38" s="69">
        <f>AL38*50000</f>
        <v>0</v>
      </c>
      <c r="AN38" s="69">
        <v>0</v>
      </c>
      <c r="AO38" s="69">
        <f>AN38*50000</f>
        <v>0</v>
      </c>
      <c r="AP38" s="69">
        <v>0</v>
      </c>
      <c r="AQ38" s="69">
        <f>AP38*50000</f>
        <v>0</v>
      </c>
      <c r="AR38" s="69">
        <v>0</v>
      </c>
      <c r="AS38" s="69">
        <f>AR38*50000</f>
        <v>0</v>
      </c>
      <c r="AT38" s="69">
        <v>0</v>
      </c>
      <c r="AU38" s="69">
        <f>AT38*50000</f>
        <v>0</v>
      </c>
      <c r="AV38" s="69">
        <v>0</v>
      </c>
      <c r="AW38" s="69">
        <f>AV38*50000</f>
        <v>0</v>
      </c>
      <c r="AX38" s="69">
        <v>0</v>
      </c>
      <c r="AY38" s="69">
        <f>AX38*50000</f>
        <v>0</v>
      </c>
      <c r="AZ38" s="69">
        <v>0</v>
      </c>
      <c r="BA38" s="69">
        <f>AZ38*50000</f>
        <v>0</v>
      </c>
      <c r="BB38" s="69">
        <v>0</v>
      </c>
      <c r="BC38" s="69">
        <f>BB38*50000</f>
        <v>0</v>
      </c>
      <c r="BD38" s="69">
        <v>0</v>
      </c>
      <c r="BE38" s="69">
        <f>BD38*50000</f>
        <v>0</v>
      </c>
      <c r="BF38" s="69">
        <v>0</v>
      </c>
      <c r="BG38" s="69">
        <f>BF38*50000</f>
        <v>0</v>
      </c>
      <c r="BH38" s="69">
        <v>0</v>
      </c>
      <c r="BI38" s="69">
        <f>BH38*50000</f>
        <v>0</v>
      </c>
      <c r="BJ38" s="85">
        <f t="shared" si="25"/>
        <v>0</v>
      </c>
      <c r="BK38" s="85">
        <f t="shared" si="25"/>
        <v>0</v>
      </c>
      <c r="BL38" s="333" t="s">
        <v>469</v>
      </c>
      <c r="BN38" s="113"/>
      <c r="BO38" s="113">
        <f t="shared" si="35"/>
        <v>0</v>
      </c>
      <c r="BP38" s="113"/>
      <c r="BQ38" s="113"/>
      <c r="BR38" s="113">
        <f t="shared" si="26"/>
        <v>0</v>
      </c>
      <c r="BS38" s="113"/>
      <c r="BT38" s="113"/>
      <c r="BU38" s="113"/>
      <c r="BV38" s="181">
        <f t="shared" si="1"/>
        <v>0</v>
      </c>
    </row>
    <row r="39" spans="1:979" s="67" customFormat="1" ht="24" customHeight="1" x14ac:dyDescent="0.25">
      <c r="A39" s="855"/>
      <c r="B39" s="168"/>
      <c r="C39" s="169" t="s">
        <v>117</v>
      </c>
      <c r="D39" s="169" t="s">
        <v>121</v>
      </c>
      <c r="E39" s="169">
        <f>0.05*100000</f>
        <v>5000</v>
      </c>
      <c r="F39" s="69">
        <f t="shared" si="36"/>
        <v>0</v>
      </c>
      <c r="G39" s="69">
        <f t="shared" si="20"/>
        <v>0</v>
      </c>
      <c r="H39" s="69">
        <f t="shared" si="37"/>
        <v>0</v>
      </c>
      <c r="I39" s="69">
        <f t="shared" si="38"/>
        <v>0</v>
      </c>
      <c r="J39" s="69">
        <f t="shared" si="27"/>
        <v>0</v>
      </c>
      <c r="K39" s="69">
        <f t="shared" si="28"/>
        <v>0</v>
      </c>
      <c r="L39" s="69">
        <f t="shared" si="29"/>
        <v>0</v>
      </c>
      <c r="M39" s="69">
        <f t="shared" si="30"/>
        <v>0</v>
      </c>
      <c r="N39" s="69">
        <f t="shared" si="31"/>
        <v>0</v>
      </c>
      <c r="O39" s="69">
        <f t="shared" si="32"/>
        <v>0</v>
      </c>
      <c r="P39" s="69">
        <f t="shared" si="33"/>
        <v>0</v>
      </c>
      <c r="Q39" s="69">
        <f t="shared" si="34"/>
        <v>0</v>
      </c>
      <c r="R39" s="187"/>
      <c r="S39" s="187">
        <f>F39*0.6</f>
        <v>0</v>
      </c>
      <c r="T39" s="187">
        <f>F39*0.2</f>
        <v>0</v>
      </c>
      <c r="U39" s="187">
        <f>F39*0.2</f>
        <v>0</v>
      </c>
      <c r="V39" s="69">
        <f t="shared" si="21"/>
        <v>0</v>
      </c>
      <c r="W39" s="69">
        <f t="shared" si="22"/>
        <v>0</v>
      </c>
      <c r="X39" s="69">
        <f t="shared" si="23"/>
        <v>0</v>
      </c>
      <c r="Y39" s="69">
        <f t="shared" si="24"/>
        <v>0</v>
      </c>
      <c r="Z39" s="85">
        <v>0</v>
      </c>
      <c r="AA39" s="69">
        <f>Z39*5000</f>
        <v>0</v>
      </c>
      <c r="AB39" s="85">
        <v>0</v>
      </c>
      <c r="AC39" s="69">
        <f>AB39*5000</f>
        <v>0</v>
      </c>
      <c r="AD39" s="85">
        <v>0</v>
      </c>
      <c r="AE39" s="69">
        <f>AD39*5000</f>
        <v>0</v>
      </c>
      <c r="AF39" s="85">
        <v>0</v>
      </c>
      <c r="AG39" s="69">
        <f>AF39*5000</f>
        <v>0</v>
      </c>
      <c r="AH39" s="85">
        <v>0</v>
      </c>
      <c r="AI39" s="69">
        <f>AH39*5000</f>
        <v>0</v>
      </c>
      <c r="AJ39" s="85">
        <v>0</v>
      </c>
      <c r="AK39" s="69">
        <f>AJ39*5000</f>
        <v>0</v>
      </c>
      <c r="AL39" s="85">
        <v>0</v>
      </c>
      <c r="AM39" s="69">
        <f>AL39*5000</f>
        <v>0</v>
      </c>
      <c r="AN39" s="85">
        <v>0</v>
      </c>
      <c r="AO39" s="69">
        <f>AN39*5000</f>
        <v>0</v>
      </c>
      <c r="AP39" s="85">
        <v>0</v>
      </c>
      <c r="AQ39" s="69">
        <f>AP39*5000</f>
        <v>0</v>
      </c>
      <c r="AR39" s="85">
        <v>0</v>
      </c>
      <c r="AS39" s="69">
        <f>AR39*5000</f>
        <v>0</v>
      </c>
      <c r="AT39" s="85">
        <v>0</v>
      </c>
      <c r="AU39" s="69">
        <f>AT39*5000</f>
        <v>0</v>
      </c>
      <c r="AV39" s="85">
        <v>0</v>
      </c>
      <c r="AW39" s="69">
        <f>AV39*5000</f>
        <v>0</v>
      </c>
      <c r="AX39" s="85">
        <v>0</v>
      </c>
      <c r="AY39" s="69">
        <f>AX39*5000</f>
        <v>0</v>
      </c>
      <c r="AZ39" s="85">
        <v>0</v>
      </c>
      <c r="BA39" s="69">
        <f>AZ39*5000</f>
        <v>0</v>
      </c>
      <c r="BB39" s="85">
        <v>0</v>
      </c>
      <c r="BC39" s="69">
        <f>BB39*5000</f>
        <v>0</v>
      </c>
      <c r="BD39" s="85">
        <v>0</v>
      </c>
      <c r="BE39" s="69">
        <f>BD39*5000</f>
        <v>0</v>
      </c>
      <c r="BF39" s="85">
        <v>0</v>
      </c>
      <c r="BG39" s="69">
        <f>BF39*5000</f>
        <v>0</v>
      </c>
      <c r="BH39" s="85">
        <v>0</v>
      </c>
      <c r="BI39" s="69">
        <f>BH39*5000</f>
        <v>0</v>
      </c>
      <c r="BJ39" s="85">
        <f t="shared" si="25"/>
        <v>0</v>
      </c>
      <c r="BK39" s="85">
        <f t="shared" si="25"/>
        <v>0</v>
      </c>
      <c r="BL39" s="333" t="s">
        <v>469</v>
      </c>
      <c r="BN39" s="263"/>
      <c r="BO39" s="113">
        <f t="shared" si="35"/>
        <v>0</v>
      </c>
      <c r="BP39" s="263"/>
      <c r="BQ39" s="263"/>
      <c r="BR39" s="113">
        <f t="shared" si="26"/>
        <v>0</v>
      </c>
      <c r="BS39" s="263"/>
      <c r="BT39" s="263"/>
      <c r="BU39" s="263"/>
      <c r="BV39" s="181">
        <f t="shared" si="1"/>
        <v>0</v>
      </c>
    </row>
    <row r="40" spans="1:979" ht="24" customHeight="1" x14ac:dyDescent="0.25">
      <c r="A40" s="855"/>
      <c r="B40" s="186"/>
      <c r="C40" s="169" t="s">
        <v>118</v>
      </c>
      <c r="D40" s="169" t="s">
        <v>17</v>
      </c>
      <c r="E40" s="169">
        <f>0.025*100000</f>
        <v>2500</v>
      </c>
      <c r="F40" s="69">
        <f t="shared" si="36"/>
        <v>0</v>
      </c>
      <c r="G40" s="69">
        <f t="shared" si="20"/>
        <v>0</v>
      </c>
      <c r="H40" s="69">
        <f t="shared" si="37"/>
        <v>0</v>
      </c>
      <c r="I40" s="69">
        <f t="shared" si="38"/>
        <v>0</v>
      </c>
      <c r="J40" s="69">
        <f t="shared" si="27"/>
        <v>0</v>
      </c>
      <c r="K40" s="69">
        <f t="shared" si="28"/>
        <v>0</v>
      </c>
      <c r="L40" s="69">
        <f t="shared" si="29"/>
        <v>0</v>
      </c>
      <c r="M40" s="69">
        <f t="shared" si="30"/>
        <v>0</v>
      </c>
      <c r="N40" s="69">
        <f t="shared" si="31"/>
        <v>0</v>
      </c>
      <c r="O40" s="69">
        <f t="shared" si="32"/>
        <v>0</v>
      </c>
      <c r="P40" s="69">
        <f t="shared" si="33"/>
        <v>0</v>
      </c>
      <c r="Q40" s="69">
        <f t="shared" si="34"/>
        <v>0</v>
      </c>
      <c r="R40" s="187"/>
      <c r="S40" s="187">
        <f>F40*0.6</f>
        <v>0</v>
      </c>
      <c r="T40" s="187">
        <f>F40*0.2</f>
        <v>0</v>
      </c>
      <c r="U40" s="187">
        <f>F40*0.2</f>
        <v>0</v>
      </c>
      <c r="V40" s="69">
        <f t="shared" si="21"/>
        <v>0</v>
      </c>
      <c r="W40" s="69">
        <f t="shared" si="22"/>
        <v>0</v>
      </c>
      <c r="X40" s="69">
        <f t="shared" si="23"/>
        <v>0</v>
      </c>
      <c r="Y40" s="69">
        <f t="shared" si="24"/>
        <v>0</v>
      </c>
      <c r="Z40" s="85">
        <v>0</v>
      </c>
      <c r="AA40" s="69">
        <f>Z40*2500</f>
        <v>0</v>
      </c>
      <c r="AB40" s="85">
        <v>0</v>
      </c>
      <c r="AC40" s="69">
        <f>AB40*2500</f>
        <v>0</v>
      </c>
      <c r="AD40" s="85">
        <v>0</v>
      </c>
      <c r="AE40" s="69">
        <f>AD40*2500</f>
        <v>0</v>
      </c>
      <c r="AF40" s="85">
        <v>0</v>
      </c>
      <c r="AG40" s="69">
        <f>AF40*2500</f>
        <v>0</v>
      </c>
      <c r="AH40" s="85">
        <v>0</v>
      </c>
      <c r="AI40" s="69">
        <f>AH40*2500</f>
        <v>0</v>
      </c>
      <c r="AJ40" s="85">
        <v>0</v>
      </c>
      <c r="AK40" s="69">
        <f>AJ40*2500</f>
        <v>0</v>
      </c>
      <c r="AL40" s="85">
        <v>0</v>
      </c>
      <c r="AM40" s="69">
        <f>AL40*2500</f>
        <v>0</v>
      </c>
      <c r="AN40" s="85">
        <v>0</v>
      </c>
      <c r="AO40" s="69">
        <f>AN40*2500</f>
        <v>0</v>
      </c>
      <c r="AP40" s="85">
        <v>0</v>
      </c>
      <c r="AQ40" s="69">
        <f>AP40*2500</f>
        <v>0</v>
      </c>
      <c r="AR40" s="85">
        <v>0</v>
      </c>
      <c r="AS40" s="69">
        <f>AR40*2500</f>
        <v>0</v>
      </c>
      <c r="AT40" s="85">
        <v>0</v>
      </c>
      <c r="AU40" s="69">
        <f>AT40*2500</f>
        <v>0</v>
      </c>
      <c r="AV40" s="85">
        <v>0</v>
      </c>
      <c r="AW40" s="69">
        <f>AV40*2500</f>
        <v>0</v>
      </c>
      <c r="AX40" s="85">
        <v>0</v>
      </c>
      <c r="AY40" s="69">
        <f>AX40*2500</f>
        <v>0</v>
      </c>
      <c r="AZ40" s="85">
        <v>0</v>
      </c>
      <c r="BA40" s="69">
        <f>AZ40*2500</f>
        <v>0</v>
      </c>
      <c r="BB40" s="85">
        <v>0</v>
      </c>
      <c r="BC40" s="69">
        <f>BB40*2500</f>
        <v>0</v>
      </c>
      <c r="BD40" s="85">
        <v>0</v>
      </c>
      <c r="BE40" s="69">
        <f>BD40*2500</f>
        <v>0</v>
      </c>
      <c r="BF40" s="85">
        <v>0</v>
      </c>
      <c r="BG40" s="69">
        <f>BF40*2500</f>
        <v>0</v>
      </c>
      <c r="BH40" s="85">
        <v>0</v>
      </c>
      <c r="BI40" s="69">
        <f>BH40*2500</f>
        <v>0</v>
      </c>
      <c r="BJ40" s="85">
        <f t="shared" si="25"/>
        <v>0</v>
      </c>
      <c r="BK40" s="85">
        <f t="shared" si="25"/>
        <v>0</v>
      </c>
      <c r="BL40" s="333" t="s">
        <v>469</v>
      </c>
      <c r="BN40" s="113"/>
      <c r="BO40" s="113">
        <f t="shared" si="35"/>
        <v>0</v>
      </c>
      <c r="BP40" s="113"/>
      <c r="BQ40" s="113"/>
      <c r="BR40" s="113">
        <f t="shared" si="26"/>
        <v>0</v>
      </c>
      <c r="BS40" s="113"/>
      <c r="BT40" s="113"/>
      <c r="BU40" s="113"/>
      <c r="BV40" s="181">
        <f t="shared" si="1"/>
        <v>0</v>
      </c>
    </row>
    <row r="41" spans="1:979" ht="24" customHeight="1" x14ac:dyDescent="0.25">
      <c r="A41" s="855"/>
      <c r="B41" s="186"/>
      <c r="C41" s="169" t="s">
        <v>712</v>
      </c>
      <c r="D41" s="169" t="s">
        <v>73</v>
      </c>
      <c r="E41" s="169">
        <f>0.045*100000</f>
        <v>4500</v>
      </c>
      <c r="F41" s="69">
        <f t="shared" si="36"/>
        <v>0</v>
      </c>
      <c r="G41" s="158">
        <f t="shared" si="20"/>
        <v>0</v>
      </c>
      <c r="H41" s="158">
        <f t="shared" si="37"/>
        <v>0</v>
      </c>
      <c r="I41" s="158">
        <f t="shared" si="38"/>
        <v>0</v>
      </c>
      <c r="J41" s="158">
        <f t="shared" si="27"/>
        <v>0</v>
      </c>
      <c r="K41" s="158">
        <f t="shared" si="28"/>
        <v>0</v>
      </c>
      <c r="L41" s="158">
        <f t="shared" si="29"/>
        <v>0</v>
      </c>
      <c r="M41" s="158">
        <f t="shared" si="30"/>
        <v>0</v>
      </c>
      <c r="N41" s="158">
        <f t="shared" si="31"/>
        <v>0</v>
      </c>
      <c r="O41" s="158">
        <f t="shared" si="32"/>
        <v>0</v>
      </c>
      <c r="P41" s="158">
        <f t="shared" si="33"/>
        <v>0</v>
      </c>
      <c r="Q41" s="158">
        <f t="shared" si="34"/>
        <v>0</v>
      </c>
      <c r="R41" s="222">
        <f>F41*0.25</f>
        <v>0</v>
      </c>
      <c r="S41" s="222">
        <f>F41*0.25</f>
        <v>0</v>
      </c>
      <c r="T41" s="222">
        <f>F41*0.25</f>
        <v>0</v>
      </c>
      <c r="U41" s="222">
        <f>F41*0.25</f>
        <v>0</v>
      </c>
      <c r="V41" s="69">
        <f t="shared" si="21"/>
        <v>0</v>
      </c>
      <c r="W41" s="69">
        <f t="shared" si="22"/>
        <v>0</v>
      </c>
      <c r="X41" s="69">
        <f t="shared" si="23"/>
        <v>0</v>
      </c>
      <c r="Y41" s="69">
        <f t="shared" si="24"/>
        <v>0</v>
      </c>
      <c r="Z41" s="158">
        <v>0</v>
      </c>
      <c r="AA41" s="158">
        <f>Z41*E41</f>
        <v>0</v>
      </c>
      <c r="AB41" s="158">
        <v>0</v>
      </c>
      <c r="AC41" s="158">
        <f>AB41*4500</f>
        <v>0</v>
      </c>
      <c r="AD41" s="158">
        <v>0</v>
      </c>
      <c r="AE41" s="158">
        <f>AD41*E41</f>
        <v>0</v>
      </c>
      <c r="AF41" s="158">
        <v>0</v>
      </c>
      <c r="AG41" s="158">
        <f>AF41*E41</f>
        <v>0</v>
      </c>
      <c r="AH41" s="158">
        <v>0</v>
      </c>
      <c r="AI41" s="158">
        <f>AH41*E41</f>
        <v>0</v>
      </c>
      <c r="AJ41" s="158">
        <v>0</v>
      </c>
      <c r="AK41" s="158">
        <f>AJ41*E41</f>
        <v>0</v>
      </c>
      <c r="AL41" s="158">
        <v>0</v>
      </c>
      <c r="AM41" s="158">
        <f>AL41*E41</f>
        <v>0</v>
      </c>
      <c r="AN41" s="158">
        <v>0</v>
      </c>
      <c r="AO41" s="158">
        <f>AN41*E41</f>
        <v>0</v>
      </c>
      <c r="AP41" s="158">
        <v>0</v>
      </c>
      <c r="AQ41" s="158">
        <f>AP41*E41</f>
        <v>0</v>
      </c>
      <c r="AR41" s="158">
        <v>0</v>
      </c>
      <c r="AS41" s="158">
        <f>AR41*E41</f>
        <v>0</v>
      </c>
      <c r="AT41" s="158">
        <v>0</v>
      </c>
      <c r="AU41" s="158">
        <f>AT41*E41</f>
        <v>0</v>
      </c>
      <c r="AV41" s="158">
        <v>0</v>
      </c>
      <c r="AW41" s="158">
        <f>AV41*E41</f>
        <v>0</v>
      </c>
      <c r="AX41" s="158">
        <v>0</v>
      </c>
      <c r="AY41" s="158">
        <f>AX41*E41</f>
        <v>0</v>
      </c>
      <c r="AZ41" s="158">
        <v>0</v>
      </c>
      <c r="BA41" s="158">
        <f>AZ41*E41</f>
        <v>0</v>
      </c>
      <c r="BB41" s="158">
        <v>0</v>
      </c>
      <c r="BC41" s="158">
        <f>BB41*E41</f>
        <v>0</v>
      </c>
      <c r="BD41" s="158">
        <v>0</v>
      </c>
      <c r="BE41" s="158">
        <f>BD41*E41</f>
        <v>0</v>
      </c>
      <c r="BF41" s="158">
        <v>0</v>
      </c>
      <c r="BG41" s="158">
        <f>BF41*E41</f>
        <v>0</v>
      </c>
      <c r="BH41" s="158">
        <v>0</v>
      </c>
      <c r="BI41" s="158">
        <f>BH41*4500</f>
        <v>0</v>
      </c>
      <c r="BJ41" s="158">
        <f t="shared" si="25"/>
        <v>0</v>
      </c>
      <c r="BK41" s="158">
        <f t="shared" si="25"/>
        <v>0</v>
      </c>
      <c r="BL41" s="333" t="s">
        <v>469</v>
      </c>
      <c r="BN41" s="113"/>
      <c r="BO41" s="113">
        <f t="shared" si="35"/>
        <v>0</v>
      </c>
      <c r="BP41" s="113"/>
      <c r="BQ41" s="113"/>
      <c r="BR41" s="113">
        <f t="shared" si="26"/>
        <v>0</v>
      </c>
      <c r="BS41" s="113"/>
      <c r="BT41" s="113"/>
      <c r="BU41" s="113"/>
      <c r="BV41" s="181">
        <f t="shared" si="1"/>
        <v>0</v>
      </c>
    </row>
    <row r="42" spans="1:979" ht="24" customHeight="1" x14ac:dyDescent="0.25">
      <c r="A42" s="855"/>
      <c r="B42" s="186"/>
      <c r="C42" s="169" t="s">
        <v>119</v>
      </c>
      <c r="D42" s="169" t="s">
        <v>121</v>
      </c>
      <c r="E42" s="169">
        <f>0.3*100000</f>
        <v>30000</v>
      </c>
      <c r="F42" s="69">
        <f t="shared" si="36"/>
        <v>0</v>
      </c>
      <c r="G42" s="69">
        <f t="shared" si="20"/>
        <v>0</v>
      </c>
      <c r="H42" s="69">
        <f t="shared" si="37"/>
        <v>0</v>
      </c>
      <c r="I42" s="69">
        <f t="shared" si="38"/>
        <v>0</v>
      </c>
      <c r="J42" s="69">
        <f t="shared" si="27"/>
        <v>0</v>
      </c>
      <c r="K42" s="69">
        <f t="shared" si="28"/>
        <v>0</v>
      </c>
      <c r="L42" s="69">
        <f t="shared" si="29"/>
        <v>0</v>
      </c>
      <c r="M42" s="69">
        <f t="shared" si="30"/>
        <v>0</v>
      </c>
      <c r="N42" s="69">
        <f t="shared" si="31"/>
        <v>0</v>
      </c>
      <c r="O42" s="69">
        <f t="shared" si="32"/>
        <v>0</v>
      </c>
      <c r="P42" s="69">
        <f t="shared" si="33"/>
        <v>0</v>
      </c>
      <c r="Q42" s="69">
        <f t="shared" si="34"/>
        <v>0</v>
      </c>
      <c r="R42" s="187"/>
      <c r="S42" s="187"/>
      <c r="T42" s="187"/>
      <c r="U42" s="187"/>
      <c r="V42" s="69">
        <f t="shared" si="21"/>
        <v>0</v>
      </c>
      <c r="W42" s="69">
        <f t="shared" si="22"/>
        <v>0</v>
      </c>
      <c r="X42" s="69">
        <f t="shared" si="23"/>
        <v>0</v>
      </c>
      <c r="Y42" s="69">
        <f t="shared" si="24"/>
        <v>0</v>
      </c>
      <c r="Z42" s="85">
        <v>0</v>
      </c>
      <c r="AA42" s="69">
        <f>Z42*30000</f>
        <v>0</v>
      </c>
      <c r="AB42" s="85">
        <v>0</v>
      </c>
      <c r="AC42" s="69">
        <f>AB42*30000</f>
        <v>0</v>
      </c>
      <c r="AD42" s="85">
        <v>0</v>
      </c>
      <c r="AE42" s="69">
        <f>AD42*30000</f>
        <v>0</v>
      </c>
      <c r="AF42" s="85">
        <v>0</v>
      </c>
      <c r="AG42" s="69">
        <f>AF42*30000</f>
        <v>0</v>
      </c>
      <c r="AH42" s="85">
        <v>0</v>
      </c>
      <c r="AI42" s="69">
        <f>AH42*30000</f>
        <v>0</v>
      </c>
      <c r="AJ42" s="85">
        <v>0</v>
      </c>
      <c r="AK42" s="69">
        <f>AJ42*30000</f>
        <v>0</v>
      </c>
      <c r="AL42" s="85">
        <v>0</v>
      </c>
      <c r="AM42" s="69">
        <f>AL42*30000</f>
        <v>0</v>
      </c>
      <c r="AN42" s="85">
        <v>0</v>
      </c>
      <c r="AO42" s="69">
        <f>AN42*30000</f>
        <v>0</v>
      </c>
      <c r="AP42" s="85">
        <v>0</v>
      </c>
      <c r="AQ42" s="69">
        <f>AP42*30000</f>
        <v>0</v>
      </c>
      <c r="AR42" s="85">
        <v>0</v>
      </c>
      <c r="AS42" s="69">
        <f>AR42*30000</f>
        <v>0</v>
      </c>
      <c r="AT42" s="85">
        <v>0</v>
      </c>
      <c r="AU42" s="69">
        <f>AT42*30000</f>
        <v>0</v>
      </c>
      <c r="AV42" s="85">
        <v>0</v>
      </c>
      <c r="AW42" s="69">
        <f>AV42*30000</f>
        <v>0</v>
      </c>
      <c r="AX42" s="85">
        <v>0</v>
      </c>
      <c r="AY42" s="69">
        <f>AX42*30000</f>
        <v>0</v>
      </c>
      <c r="AZ42" s="85">
        <v>0</v>
      </c>
      <c r="BA42" s="69">
        <f>AZ42*30000</f>
        <v>0</v>
      </c>
      <c r="BB42" s="85">
        <v>0</v>
      </c>
      <c r="BC42" s="69">
        <f>BB42*30000</f>
        <v>0</v>
      </c>
      <c r="BD42" s="85">
        <v>0</v>
      </c>
      <c r="BE42" s="69">
        <f>BD42*30000</f>
        <v>0</v>
      </c>
      <c r="BF42" s="85">
        <v>0</v>
      </c>
      <c r="BG42" s="69">
        <f>BF42*30000</f>
        <v>0</v>
      </c>
      <c r="BH42" s="85">
        <v>0</v>
      </c>
      <c r="BI42" s="69">
        <f>BH42*30000</f>
        <v>0</v>
      </c>
      <c r="BJ42" s="85">
        <f t="shared" si="25"/>
        <v>0</v>
      </c>
      <c r="BK42" s="85">
        <f t="shared" si="25"/>
        <v>0</v>
      </c>
      <c r="BL42" s="333" t="s">
        <v>469</v>
      </c>
      <c r="BN42" s="113"/>
      <c r="BO42" s="113">
        <f t="shared" si="35"/>
        <v>0</v>
      </c>
      <c r="BP42" s="113"/>
      <c r="BQ42" s="113"/>
      <c r="BR42" s="113">
        <f t="shared" si="26"/>
        <v>0</v>
      </c>
      <c r="BS42" s="113"/>
      <c r="BT42" s="113"/>
      <c r="BU42" s="113"/>
      <c r="BV42" s="181">
        <f t="shared" si="1"/>
        <v>0</v>
      </c>
    </row>
    <row r="43" spans="1:979" s="67" customFormat="1" ht="24" customHeight="1" x14ac:dyDescent="0.25">
      <c r="A43" s="855"/>
      <c r="B43" s="579"/>
      <c r="C43" s="580"/>
      <c r="D43" s="140"/>
      <c r="E43" s="140"/>
      <c r="F43" s="140">
        <f>SUM(F34:F42)</f>
        <v>1187</v>
      </c>
      <c r="G43" s="140">
        <f t="shared" ref="G43:BK43" si="39">SUM(G34:G42)</f>
        <v>2904000</v>
      </c>
      <c r="H43" s="140">
        <f t="shared" si="39"/>
        <v>580800</v>
      </c>
      <c r="I43" s="140">
        <f t="shared" si="39"/>
        <v>2323200</v>
      </c>
      <c r="J43" s="140">
        <f t="shared" si="39"/>
        <v>0</v>
      </c>
      <c r="K43" s="140">
        <f t="shared" si="39"/>
        <v>0</v>
      </c>
      <c r="L43" s="140">
        <f t="shared" si="39"/>
        <v>0</v>
      </c>
      <c r="M43" s="140">
        <f t="shared" si="39"/>
        <v>0</v>
      </c>
      <c r="N43" s="140">
        <f t="shared" si="39"/>
        <v>0</v>
      </c>
      <c r="O43" s="140">
        <f t="shared" si="39"/>
        <v>0</v>
      </c>
      <c r="P43" s="140">
        <f t="shared" si="39"/>
        <v>0</v>
      </c>
      <c r="Q43" s="140">
        <f t="shared" si="39"/>
        <v>0</v>
      </c>
      <c r="R43" s="479">
        <f t="shared" si="39"/>
        <v>602</v>
      </c>
      <c r="S43" s="479">
        <f t="shared" si="39"/>
        <v>250</v>
      </c>
      <c r="T43" s="479">
        <f t="shared" si="39"/>
        <v>75</v>
      </c>
      <c r="U43" s="479">
        <f t="shared" si="39"/>
        <v>260</v>
      </c>
      <c r="V43" s="140">
        <f t="shared" si="39"/>
        <v>2319000</v>
      </c>
      <c r="W43" s="140">
        <f t="shared" si="39"/>
        <v>250000</v>
      </c>
      <c r="X43" s="140">
        <f t="shared" si="39"/>
        <v>75000</v>
      </c>
      <c r="Y43" s="140">
        <f t="shared" si="39"/>
        <v>260000</v>
      </c>
      <c r="Z43" s="140">
        <f t="shared" si="39"/>
        <v>52</v>
      </c>
      <c r="AA43" s="140">
        <f t="shared" si="39"/>
        <v>52000</v>
      </c>
      <c r="AB43" s="140">
        <f t="shared" si="39"/>
        <v>39</v>
      </c>
      <c r="AC43" s="140">
        <f t="shared" si="39"/>
        <v>39000</v>
      </c>
      <c r="AD43" s="140">
        <f t="shared" si="39"/>
        <v>52</v>
      </c>
      <c r="AE43" s="140">
        <f t="shared" si="39"/>
        <v>52000</v>
      </c>
      <c r="AF43" s="140">
        <f t="shared" si="39"/>
        <v>65</v>
      </c>
      <c r="AG43" s="140">
        <f t="shared" si="39"/>
        <v>65000</v>
      </c>
      <c r="AH43" s="140">
        <f t="shared" si="39"/>
        <v>26</v>
      </c>
      <c r="AI43" s="140">
        <f t="shared" si="39"/>
        <v>26000</v>
      </c>
      <c r="AJ43" s="140">
        <f t="shared" si="39"/>
        <v>52</v>
      </c>
      <c r="AK43" s="140">
        <f t="shared" si="39"/>
        <v>52000</v>
      </c>
      <c r="AL43" s="140">
        <f t="shared" si="39"/>
        <v>65</v>
      </c>
      <c r="AM43" s="140">
        <f t="shared" si="39"/>
        <v>65000</v>
      </c>
      <c r="AN43" s="140">
        <f t="shared" si="39"/>
        <v>104</v>
      </c>
      <c r="AO43" s="140">
        <f t="shared" si="39"/>
        <v>104000</v>
      </c>
      <c r="AP43" s="140">
        <f t="shared" si="39"/>
        <v>26</v>
      </c>
      <c r="AQ43" s="140">
        <f t="shared" si="39"/>
        <v>26000</v>
      </c>
      <c r="AR43" s="140">
        <f t="shared" si="39"/>
        <v>39</v>
      </c>
      <c r="AS43" s="140">
        <f t="shared" si="39"/>
        <v>39000</v>
      </c>
      <c r="AT43" s="140">
        <f t="shared" si="39"/>
        <v>78</v>
      </c>
      <c r="AU43" s="140">
        <f t="shared" si="39"/>
        <v>78000</v>
      </c>
      <c r="AV43" s="140">
        <f t="shared" si="39"/>
        <v>65</v>
      </c>
      <c r="AW43" s="140">
        <f t="shared" si="39"/>
        <v>65000</v>
      </c>
      <c r="AX43" s="140">
        <f t="shared" si="39"/>
        <v>117</v>
      </c>
      <c r="AY43" s="140">
        <f t="shared" si="39"/>
        <v>117000</v>
      </c>
      <c r="AZ43" s="140">
        <f t="shared" si="39"/>
        <v>117</v>
      </c>
      <c r="BA43" s="140">
        <f t="shared" si="39"/>
        <v>117000</v>
      </c>
      <c r="BB43" s="140">
        <f t="shared" si="39"/>
        <v>39</v>
      </c>
      <c r="BC43" s="140">
        <f t="shared" si="39"/>
        <v>39000</v>
      </c>
      <c r="BD43" s="140">
        <f t="shared" si="39"/>
        <v>156</v>
      </c>
      <c r="BE43" s="140">
        <f t="shared" si="39"/>
        <v>156000</v>
      </c>
      <c r="BF43" s="140">
        <f t="shared" si="39"/>
        <v>78</v>
      </c>
      <c r="BG43" s="140">
        <f t="shared" si="39"/>
        <v>78000</v>
      </c>
      <c r="BH43" s="140">
        <f t="shared" si="39"/>
        <v>17</v>
      </c>
      <c r="BI43" s="140">
        <f t="shared" si="39"/>
        <v>1734000</v>
      </c>
      <c r="BJ43" s="140">
        <f t="shared" si="39"/>
        <v>1187</v>
      </c>
      <c r="BK43" s="140">
        <f t="shared" si="39"/>
        <v>2904000</v>
      </c>
      <c r="BL43" s="118"/>
      <c r="BN43" s="140">
        <f t="shared" ref="BN43:BU43" si="40">SUM(BN34:BN42)</f>
        <v>0</v>
      </c>
      <c r="BO43" s="140">
        <f t="shared" si="40"/>
        <v>1170000</v>
      </c>
      <c r="BP43" s="140">
        <f t="shared" si="40"/>
        <v>1734000</v>
      </c>
      <c r="BQ43" s="140">
        <f t="shared" si="40"/>
        <v>0</v>
      </c>
      <c r="BR43" s="140">
        <f t="shared" si="40"/>
        <v>2904000</v>
      </c>
      <c r="BS43" s="140">
        <f t="shared" si="40"/>
        <v>0</v>
      </c>
      <c r="BT43" s="140">
        <f t="shared" si="40"/>
        <v>0</v>
      </c>
      <c r="BU43" s="140">
        <f t="shared" si="40"/>
        <v>0</v>
      </c>
      <c r="BV43" s="485">
        <f t="shared" si="1"/>
        <v>2904000</v>
      </c>
    </row>
    <row r="44" spans="1:979" ht="24" customHeight="1" x14ac:dyDescent="0.25">
      <c r="A44" s="855"/>
      <c r="B44" s="454">
        <v>12320</v>
      </c>
      <c r="C44" s="578" t="s">
        <v>122</v>
      </c>
      <c r="D44" s="169"/>
      <c r="E44" s="1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187"/>
      <c r="S44" s="187"/>
      <c r="T44" s="187"/>
      <c r="U44" s="187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47"/>
      <c r="BN44" s="113"/>
      <c r="BO44" s="113"/>
      <c r="BP44" s="113"/>
      <c r="BQ44" s="113"/>
      <c r="BR44" s="113"/>
      <c r="BS44" s="113"/>
      <c r="BT44" s="113"/>
      <c r="BU44" s="113"/>
      <c r="BV44" s="181">
        <f t="shared" si="1"/>
        <v>0</v>
      </c>
    </row>
    <row r="45" spans="1:979" s="165" customFormat="1" ht="24" customHeight="1" x14ac:dyDescent="0.25">
      <c r="A45" s="855"/>
      <c r="B45" s="190"/>
      <c r="C45" s="174" t="s">
        <v>123</v>
      </c>
      <c r="D45" s="174" t="s">
        <v>596</v>
      </c>
      <c r="E45" s="174">
        <v>15000</v>
      </c>
      <c r="F45" s="69">
        <f>BJ45</f>
        <v>350</v>
      </c>
      <c r="G45" s="126">
        <f>E45*F45</f>
        <v>5250000</v>
      </c>
      <c r="H45" s="126">
        <f>G45*0</f>
        <v>0</v>
      </c>
      <c r="I45" s="126">
        <f>G45*1</f>
        <v>5250000</v>
      </c>
      <c r="J45" s="126">
        <f>G45*0</f>
        <v>0</v>
      </c>
      <c r="K45" s="126">
        <f>G45*0</f>
        <v>0</v>
      </c>
      <c r="L45" s="126">
        <f>G45*0</f>
        <v>0</v>
      </c>
      <c r="M45" s="126">
        <f>G45*0</f>
        <v>0</v>
      </c>
      <c r="N45" s="126">
        <f>G45*0</f>
        <v>0</v>
      </c>
      <c r="O45" s="126">
        <f>G45*0</f>
        <v>0</v>
      </c>
      <c r="P45" s="126">
        <f>G45*0</f>
        <v>0</v>
      </c>
      <c r="Q45" s="126">
        <f>G45*0</f>
        <v>0</v>
      </c>
      <c r="R45" s="143">
        <v>1000</v>
      </c>
      <c r="S45" s="143">
        <v>250</v>
      </c>
      <c r="T45" s="143">
        <v>250</v>
      </c>
      <c r="U45" s="143"/>
      <c r="V45" s="69">
        <f>R45*E45</f>
        <v>15000000</v>
      </c>
      <c r="W45" s="69">
        <f>S45*E45</f>
        <v>3750000</v>
      </c>
      <c r="X45" s="69">
        <f>T45*E45</f>
        <v>3750000</v>
      </c>
      <c r="Y45" s="69">
        <f>U45*E45</f>
        <v>0</v>
      </c>
      <c r="Z45" s="134">
        <v>20</v>
      </c>
      <c r="AA45" s="126">
        <f>Z45*15000</f>
        <v>300000</v>
      </c>
      <c r="AB45" s="134">
        <v>20</v>
      </c>
      <c r="AC45" s="126">
        <f>AB45*15000</f>
        <v>300000</v>
      </c>
      <c r="AD45" s="134">
        <v>20</v>
      </c>
      <c r="AE45" s="126">
        <f>AD45*15000</f>
        <v>300000</v>
      </c>
      <c r="AF45" s="134">
        <v>10</v>
      </c>
      <c r="AG45" s="126">
        <f>AF45*E45</f>
        <v>150000</v>
      </c>
      <c r="AH45" s="134">
        <v>20</v>
      </c>
      <c r="AI45" s="126">
        <f>AH45*E45</f>
        <v>300000</v>
      </c>
      <c r="AJ45" s="134">
        <v>15</v>
      </c>
      <c r="AK45" s="126">
        <f>E45*AJ45</f>
        <v>225000</v>
      </c>
      <c r="AL45" s="134">
        <v>20</v>
      </c>
      <c r="AM45" s="126">
        <f>AL45*E45</f>
        <v>300000</v>
      </c>
      <c r="AN45" s="134">
        <v>50</v>
      </c>
      <c r="AO45" s="126">
        <f>AN45*15000</f>
        <v>750000</v>
      </c>
      <c r="AP45" s="134">
        <v>10</v>
      </c>
      <c r="AQ45" s="126">
        <f>AP45*15000</f>
        <v>150000</v>
      </c>
      <c r="AR45" s="134">
        <v>10</v>
      </c>
      <c r="AS45" s="126">
        <f>E45*AR45</f>
        <v>150000</v>
      </c>
      <c r="AT45" s="134">
        <v>10</v>
      </c>
      <c r="AU45" s="126">
        <f>E45*AT45</f>
        <v>150000</v>
      </c>
      <c r="AV45" s="134">
        <v>10</v>
      </c>
      <c r="AW45" s="126">
        <f>E45*AV45</f>
        <v>150000</v>
      </c>
      <c r="AX45" s="134">
        <v>10</v>
      </c>
      <c r="AY45" s="126">
        <f>E45*AX45</f>
        <v>150000</v>
      </c>
      <c r="AZ45" s="134">
        <v>10</v>
      </c>
      <c r="BA45" s="126">
        <f>E45*AZ45</f>
        <v>150000</v>
      </c>
      <c r="BB45" s="134">
        <v>15</v>
      </c>
      <c r="BC45" s="126">
        <f>E45*BB45</f>
        <v>225000</v>
      </c>
      <c r="BD45" s="134">
        <v>30</v>
      </c>
      <c r="BE45" s="126">
        <f>BD45*15000</f>
        <v>450000</v>
      </c>
      <c r="BF45" s="134">
        <v>70</v>
      </c>
      <c r="BG45" s="126">
        <f>BF45*15000</f>
        <v>1050000</v>
      </c>
      <c r="BH45" s="134">
        <v>0</v>
      </c>
      <c r="BI45" s="126">
        <f>BH45*500</f>
        <v>0</v>
      </c>
      <c r="BJ45" s="134">
        <f t="shared" ref="BJ45:BK48" si="41">Z45+AB45+AD45+AF45+AH45+AJ45+AL45+AN45+AP45+AR45+AT45+AV45+AX45+AZ45+BB45+BD45+BF45+BH45</f>
        <v>350</v>
      </c>
      <c r="BK45" s="134">
        <f t="shared" si="41"/>
        <v>5250000</v>
      </c>
      <c r="BL45" s="334" t="s">
        <v>471</v>
      </c>
      <c r="BM45" s="39"/>
      <c r="BN45" s="178">
        <v>0</v>
      </c>
      <c r="BO45" s="178">
        <v>0</v>
      </c>
      <c r="BP45" s="178">
        <v>0</v>
      </c>
      <c r="BQ45" s="178">
        <f>G45</f>
        <v>5250000</v>
      </c>
      <c r="BR45" s="178">
        <f>BN45+BO45+BP45+BQ45</f>
        <v>5250000</v>
      </c>
      <c r="BS45" s="178">
        <v>0</v>
      </c>
      <c r="BT45" s="178">
        <v>0</v>
      </c>
      <c r="BU45" s="178">
        <f>BS45+BT45</f>
        <v>0</v>
      </c>
      <c r="BV45" s="191">
        <f t="shared" si="1"/>
        <v>5250000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</row>
    <row r="46" spans="1:979" s="165" customFormat="1" ht="24" customHeight="1" x14ac:dyDescent="0.25">
      <c r="A46" s="855"/>
      <c r="B46" s="190"/>
      <c r="C46" s="174" t="s">
        <v>125</v>
      </c>
      <c r="D46" s="174" t="s">
        <v>121</v>
      </c>
      <c r="E46" s="174">
        <f>0.5*100000</f>
        <v>50000</v>
      </c>
      <c r="F46" s="69">
        <f>BJ46</f>
        <v>0</v>
      </c>
      <c r="G46" s="126">
        <f>E46*F46</f>
        <v>0</v>
      </c>
      <c r="H46" s="126">
        <f>G46*0</f>
        <v>0</v>
      </c>
      <c r="I46" s="126">
        <f>G46*1</f>
        <v>0</v>
      </c>
      <c r="J46" s="126">
        <f>G46*0</f>
        <v>0</v>
      </c>
      <c r="K46" s="126">
        <f>G46*0</f>
        <v>0</v>
      </c>
      <c r="L46" s="126">
        <f>G46*0</f>
        <v>0</v>
      </c>
      <c r="M46" s="126">
        <f>G46*0</f>
        <v>0</v>
      </c>
      <c r="N46" s="126">
        <f>G46*0</f>
        <v>0</v>
      </c>
      <c r="O46" s="126">
        <f>G46*0</f>
        <v>0</v>
      </c>
      <c r="P46" s="126">
        <f>G46*0</f>
        <v>0</v>
      </c>
      <c r="Q46" s="126">
        <f>G46*0</f>
        <v>0</v>
      </c>
      <c r="R46" s="143"/>
      <c r="S46" s="143"/>
      <c r="T46" s="207">
        <f>F46*0.5</f>
        <v>0</v>
      </c>
      <c r="U46" s="207">
        <f>F46*0.5</f>
        <v>0</v>
      </c>
      <c r="V46" s="69">
        <f>R46*E46</f>
        <v>0</v>
      </c>
      <c r="W46" s="69">
        <f>S46*E46</f>
        <v>0</v>
      </c>
      <c r="X46" s="69">
        <f>T46*E46</f>
        <v>0</v>
      </c>
      <c r="Y46" s="69">
        <f>U46*E46</f>
        <v>0</v>
      </c>
      <c r="Z46" s="134">
        <v>0</v>
      </c>
      <c r="AA46" s="126">
        <f>Z46*50000</f>
        <v>0</v>
      </c>
      <c r="AB46" s="134">
        <v>0</v>
      </c>
      <c r="AC46" s="126">
        <f>AB46*50000</f>
        <v>0</v>
      </c>
      <c r="AD46" s="134">
        <v>0</v>
      </c>
      <c r="AE46" s="126">
        <f>AD46*50000</f>
        <v>0</v>
      </c>
      <c r="AF46" s="134">
        <v>0</v>
      </c>
      <c r="AG46" s="126">
        <f>AF46*50000</f>
        <v>0</v>
      </c>
      <c r="AH46" s="134">
        <v>0</v>
      </c>
      <c r="AI46" s="126">
        <f>AH46*50000</f>
        <v>0</v>
      </c>
      <c r="AJ46" s="134">
        <v>0</v>
      </c>
      <c r="AK46" s="126">
        <f>AJ46*50000</f>
        <v>0</v>
      </c>
      <c r="AL46" s="134">
        <v>0</v>
      </c>
      <c r="AM46" s="126">
        <f>AL46*50000</f>
        <v>0</v>
      </c>
      <c r="AN46" s="134">
        <v>0</v>
      </c>
      <c r="AO46" s="126">
        <f>AN46*50000</f>
        <v>0</v>
      </c>
      <c r="AP46" s="134">
        <v>0</v>
      </c>
      <c r="AQ46" s="126">
        <f>AP46*50000</f>
        <v>0</v>
      </c>
      <c r="AR46" s="134">
        <v>0</v>
      </c>
      <c r="AS46" s="126">
        <f>AR46*50000</f>
        <v>0</v>
      </c>
      <c r="AT46" s="134">
        <v>0</v>
      </c>
      <c r="AU46" s="126">
        <f>AT46*50000</f>
        <v>0</v>
      </c>
      <c r="AV46" s="134">
        <v>0</v>
      </c>
      <c r="AW46" s="126">
        <f>AV46*50000</f>
        <v>0</v>
      </c>
      <c r="AX46" s="134">
        <v>0</v>
      </c>
      <c r="AY46" s="126">
        <f>AX46*50000</f>
        <v>0</v>
      </c>
      <c r="AZ46" s="134">
        <v>0</v>
      </c>
      <c r="BA46" s="126">
        <f>AZ46*50000</f>
        <v>0</v>
      </c>
      <c r="BB46" s="134">
        <v>0</v>
      </c>
      <c r="BC46" s="126">
        <f>BB46*50000</f>
        <v>0</v>
      </c>
      <c r="BD46" s="134">
        <v>0</v>
      </c>
      <c r="BE46" s="126">
        <f>BD46*50000</f>
        <v>0</v>
      </c>
      <c r="BF46" s="134">
        <v>0</v>
      </c>
      <c r="BG46" s="126">
        <f>BF46*50000</f>
        <v>0</v>
      </c>
      <c r="BH46" s="134">
        <v>0</v>
      </c>
      <c r="BI46" s="126">
        <f>BH46*50000</f>
        <v>0</v>
      </c>
      <c r="BJ46" s="134">
        <f t="shared" si="41"/>
        <v>0</v>
      </c>
      <c r="BK46" s="134">
        <f t="shared" si="41"/>
        <v>0</v>
      </c>
      <c r="BL46" s="334" t="s">
        <v>471</v>
      </c>
      <c r="BM46" s="39"/>
      <c r="BN46" s="178">
        <v>0</v>
      </c>
      <c r="BO46" s="178">
        <v>0</v>
      </c>
      <c r="BP46" s="178">
        <v>0</v>
      </c>
      <c r="BQ46" s="178">
        <f>G46</f>
        <v>0</v>
      </c>
      <c r="BR46" s="178">
        <f>BN46+BO46+BP46+BQ46</f>
        <v>0</v>
      </c>
      <c r="BS46" s="178">
        <v>0</v>
      </c>
      <c r="BT46" s="178">
        <v>0</v>
      </c>
      <c r="BU46" s="178">
        <f>BS46+BT46</f>
        <v>0</v>
      </c>
      <c r="BV46" s="191">
        <f t="shared" si="1"/>
        <v>0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</row>
    <row r="47" spans="1:979" ht="24" customHeight="1" x14ac:dyDescent="0.25">
      <c r="A47" s="855"/>
      <c r="B47" s="186"/>
      <c r="C47" s="169" t="s">
        <v>126</v>
      </c>
      <c r="D47" s="169" t="s">
        <v>121</v>
      </c>
      <c r="E47" s="169">
        <f>0.75*100000</f>
        <v>75000</v>
      </c>
      <c r="F47" s="69">
        <f>BJ47</f>
        <v>0</v>
      </c>
      <c r="G47" s="69">
        <f>E47*F47</f>
        <v>0</v>
      </c>
      <c r="H47" s="69">
        <f>G47*0</f>
        <v>0</v>
      </c>
      <c r="I47" s="69">
        <f>G47*1</f>
        <v>0</v>
      </c>
      <c r="J47" s="69">
        <f>G47*0</f>
        <v>0</v>
      </c>
      <c r="K47" s="69">
        <f>G47*0</f>
        <v>0</v>
      </c>
      <c r="L47" s="69">
        <f>G47*0</f>
        <v>0</v>
      </c>
      <c r="M47" s="69">
        <f>G47*0</f>
        <v>0</v>
      </c>
      <c r="N47" s="69">
        <f>G47*0</f>
        <v>0</v>
      </c>
      <c r="O47" s="69">
        <f>G47*0</f>
        <v>0</v>
      </c>
      <c r="P47" s="69">
        <f>G47*0</f>
        <v>0</v>
      </c>
      <c r="Q47" s="69">
        <f>G47*0</f>
        <v>0</v>
      </c>
      <c r="R47" s="187"/>
      <c r="S47" s="187"/>
      <c r="T47" s="208">
        <f>F47*0.5</f>
        <v>0</v>
      </c>
      <c r="U47" s="208">
        <f>F47*0.5</f>
        <v>0</v>
      </c>
      <c r="V47" s="69">
        <f>R47*E47</f>
        <v>0</v>
      </c>
      <c r="W47" s="69">
        <f>S47*E47</f>
        <v>0</v>
      </c>
      <c r="X47" s="69">
        <f>T47*E47</f>
        <v>0</v>
      </c>
      <c r="Y47" s="69">
        <f>U47*E47</f>
        <v>0</v>
      </c>
      <c r="Z47" s="85">
        <v>0</v>
      </c>
      <c r="AA47" s="69">
        <f>Z47*750000</f>
        <v>0</v>
      </c>
      <c r="AB47" s="85">
        <v>0</v>
      </c>
      <c r="AC47" s="69">
        <f>AB47*750000</f>
        <v>0</v>
      </c>
      <c r="AD47" s="85">
        <v>0</v>
      </c>
      <c r="AE47" s="69">
        <f>AD47*750000</f>
        <v>0</v>
      </c>
      <c r="AF47" s="85">
        <v>0</v>
      </c>
      <c r="AG47" s="69">
        <f>AF47*750000</f>
        <v>0</v>
      </c>
      <c r="AH47" s="85">
        <v>0</v>
      </c>
      <c r="AI47" s="69">
        <f>AH47*750000</f>
        <v>0</v>
      </c>
      <c r="AJ47" s="85">
        <v>0</v>
      </c>
      <c r="AK47" s="69">
        <f>AJ47*750000</f>
        <v>0</v>
      </c>
      <c r="AL47" s="85">
        <v>0</v>
      </c>
      <c r="AM47" s="69">
        <f>AL47*750000</f>
        <v>0</v>
      </c>
      <c r="AN47" s="85">
        <v>0</v>
      </c>
      <c r="AO47" s="69">
        <f>AN47*750000</f>
        <v>0</v>
      </c>
      <c r="AP47" s="85">
        <v>0</v>
      </c>
      <c r="AQ47" s="69">
        <f>AP47*750000</f>
        <v>0</v>
      </c>
      <c r="AR47" s="85">
        <v>0</v>
      </c>
      <c r="AS47" s="69">
        <f>AR47*750000</f>
        <v>0</v>
      </c>
      <c r="AT47" s="85">
        <v>0</v>
      </c>
      <c r="AU47" s="69">
        <f>AT47*750000</f>
        <v>0</v>
      </c>
      <c r="AV47" s="85">
        <v>0</v>
      </c>
      <c r="AW47" s="69">
        <f>AV47*750000</f>
        <v>0</v>
      </c>
      <c r="AX47" s="85">
        <v>0</v>
      </c>
      <c r="AY47" s="69">
        <f>AX47*750000</f>
        <v>0</v>
      </c>
      <c r="AZ47" s="85">
        <v>0</v>
      </c>
      <c r="BA47" s="69">
        <f>AZ47*750000</f>
        <v>0</v>
      </c>
      <c r="BB47" s="85">
        <v>0</v>
      </c>
      <c r="BC47" s="69">
        <f>BB47*750000</f>
        <v>0</v>
      </c>
      <c r="BD47" s="85">
        <v>0</v>
      </c>
      <c r="BE47" s="69">
        <f>BD47*750000</f>
        <v>0</v>
      </c>
      <c r="BF47" s="85">
        <v>0</v>
      </c>
      <c r="BG47" s="69">
        <f>BF47*750000</f>
        <v>0</v>
      </c>
      <c r="BH47" s="85">
        <v>0</v>
      </c>
      <c r="BI47" s="69">
        <f>BH47*750000</f>
        <v>0</v>
      </c>
      <c r="BJ47" s="85">
        <f t="shared" si="41"/>
        <v>0</v>
      </c>
      <c r="BK47" s="85">
        <f t="shared" si="41"/>
        <v>0</v>
      </c>
      <c r="BL47" s="333" t="s">
        <v>471</v>
      </c>
      <c r="BN47" s="113">
        <v>0</v>
      </c>
      <c r="BO47" s="113">
        <v>0</v>
      </c>
      <c r="BP47" s="113">
        <v>0</v>
      </c>
      <c r="BQ47" s="113">
        <f>G47</f>
        <v>0</v>
      </c>
      <c r="BR47" s="178">
        <f>BN47+BO47+BP47+BQ47</f>
        <v>0</v>
      </c>
      <c r="BS47" s="113">
        <v>0</v>
      </c>
      <c r="BT47" s="113">
        <v>0</v>
      </c>
      <c r="BU47" s="113">
        <f>BS47+BT47</f>
        <v>0</v>
      </c>
      <c r="BV47" s="191">
        <f t="shared" si="1"/>
        <v>0</v>
      </c>
    </row>
    <row r="48" spans="1:979" s="165" customFormat="1" ht="24" customHeight="1" x14ac:dyDescent="0.25">
      <c r="A48" s="855"/>
      <c r="B48" s="190"/>
      <c r="C48" s="174" t="s">
        <v>823</v>
      </c>
      <c r="D48" s="174" t="s">
        <v>124</v>
      </c>
      <c r="E48" s="174">
        <f>0.022*100000</f>
        <v>2200</v>
      </c>
      <c r="F48" s="69">
        <f>BJ48</f>
        <v>0</v>
      </c>
      <c r="G48" s="126">
        <f>E48*F48</f>
        <v>0</v>
      </c>
      <c r="H48" s="126">
        <f>G48*0</f>
        <v>0</v>
      </c>
      <c r="I48" s="126">
        <f>G48*1</f>
        <v>0</v>
      </c>
      <c r="J48" s="126">
        <f>G48*0</f>
        <v>0</v>
      </c>
      <c r="K48" s="126">
        <f>G48*0</f>
        <v>0</v>
      </c>
      <c r="L48" s="126">
        <f>G48*0</f>
        <v>0</v>
      </c>
      <c r="M48" s="126">
        <f>G48*0</f>
        <v>0</v>
      </c>
      <c r="N48" s="126">
        <f>G48*0</f>
        <v>0</v>
      </c>
      <c r="O48" s="126">
        <f>G48*0</f>
        <v>0</v>
      </c>
      <c r="P48" s="126">
        <f>G48*0</f>
        <v>0</v>
      </c>
      <c r="Q48" s="126">
        <f>G48*0</f>
        <v>0</v>
      </c>
      <c r="R48" s="207">
        <v>0</v>
      </c>
      <c r="S48" s="207">
        <v>0</v>
      </c>
      <c r="T48" s="207">
        <v>0</v>
      </c>
      <c r="U48" s="207">
        <v>0</v>
      </c>
      <c r="V48" s="69">
        <f>R48*E48</f>
        <v>0</v>
      </c>
      <c r="W48" s="69">
        <f>S48*E48</f>
        <v>0</v>
      </c>
      <c r="X48" s="69">
        <f>T48*E48</f>
        <v>0</v>
      </c>
      <c r="Y48" s="69">
        <f>U48*E48</f>
        <v>0</v>
      </c>
      <c r="Z48" s="134">
        <v>0</v>
      </c>
      <c r="AA48" s="126">
        <f>Z48*E48</f>
        <v>0</v>
      </c>
      <c r="AB48" s="134">
        <v>0</v>
      </c>
      <c r="AC48" s="126">
        <f>AB48*2200</f>
        <v>0</v>
      </c>
      <c r="AD48" s="134">
        <v>0</v>
      </c>
      <c r="AE48" s="126">
        <f>AD48*2200</f>
        <v>0</v>
      </c>
      <c r="AF48" s="134">
        <v>0</v>
      </c>
      <c r="AG48" s="126">
        <f>AF48*2200</f>
        <v>0</v>
      </c>
      <c r="AH48" s="134">
        <v>0</v>
      </c>
      <c r="AI48" s="126">
        <f>AH48*2200</f>
        <v>0</v>
      </c>
      <c r="AJ48" s="134">
        <v>0</v>
      </c>
      <c r="AK48" s="126">
        <f>AJ48*2200</f>
        <v>0</v>
      </c>
      <c r="AL48" s="134">
        <v>0</v>
      </c>
      <c r="AM48" s="126">
        <f>AL48*2200</f>
        <v>0</v>
      </c>
      <c r="AN48" s="134">
        <v>0</v>
      </c>
      <c r="AO48" s="126">
        <f>AN48*2200</f>
        <v>0</v>
      </c>
      <c r="AP48" s="134">
        <v>0</v>
      </c>
      <c r="AQ48" s="126">
        <f>AP48*2200</f>
        <v>0</v>
      </c>
      <c r="AR48" s="134">
        <v>0</v>
      </c>
      <c r="AS48" s="126">
        <f>AR48*2200</f>
        <v>0</v>
      </c>
      <c r="AT48" s="134">
        <v>0</v>
      </c>
      <c r="AU48" s="126">
        <f>AT48*2200</f>
        <v>0</v>
      </c>
      <c r="AV48" s="134">
        <v>0</v>
      </c>
      <c r="AW48" s="126">
        <f>AV48*2200</f>
        <v>0</v>
      </c>
      <c r="AX48" s="134">
        <v>0</v>
      </c>
      <c r="AY48" s="126">
        <f>AX48*2200</f>
        <v>0</v>
      </c>
      <c r="AZ48" s="134">
        <v>0</v>
      </c>
      <c r="BA48" s="126">
        <f>AZ48*2200</f>
        <v>0</v>
      </c>
      <c r="BB48" s="134">
        <v>0</v>
      </c>
      <c r="BC48" s="126">
        <f>BB48*2200</f>
        <v>0</v>
      </c>
      <c r="BD48" s="134">
        <v>0</v>
      </c>
      <c r="BE48" s="126">
        <f>BD48*2200</f>
        <v>0</v>
      </c>
      <c r="BF48" s="134">
        <v>0</v>
      </c>
      <c r="BG48" s="126">
        <f>BF48*2200</f>
        <v>0</v>
      </c>
      <c r="BH48" s="134">
        <v>0</v>
      </c>
      <c r="BI48" s="126">
        <f>BH48*2200</f>
        <v>0</v>
      </c>
      <c r="BJ48" s="134">
        <f t="shared" si="41"/>
        <v>0</v>
      </c>
      <c r="BK48" s="134">
        <f t="shared" si="41"/>
        <v>0</v>
      </c>
      <c r="BL48" s="334" t="s">
        <v>471</v>
      </c>
      <c r="BM48" s="39"/>
      <c r="BN48" s="178">
        <v>0</v>
      </c>
      <c r="BO48" s="178">
        <v>0</v>
      </c>
      <c r="BP48" s="178">
        <v>0</v>
      </c>
      <c r="BQ48" s="178">
        <f>G48</f>
        <v>0</v>
      </c>
      <c r="BR48" s="178">
        <f>BN48+BO48+BP48+BQ48</f>
        <v>0</v>
      </c>
      <c r="BS48" s="178">
        <v>0</v>
      </c>
      <c r="BT48" s="178">
        <v>0</v>
      </c>
      <c r="BU48" s="178">
        <f>BS48+BT48</f>
        <v>0</v>
      </c>
      <c r="BV48" s="191">
        <f t="shared" si="1"/>
        <v>0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</row>
    <row r="49" spans="1:979" s="165" customFormat="1" ht="15.75" x14ac:dyDescent="0.25">
      <c r="A49" s="855"/>
      <c r="B49" s="190"/>
      <c r="C49" s="174" t="s">
        <v>877</v>
      </c>
      <c r="D49" s="174" t="s">
        <v>824</v>
      </c>
      <c r="E49" s="174">
        <v>5000</v>
      </c>
      <c r="F49" s="69">
        <f>BJ49</f>
        <v>3400</v>
      </c>
      <c r="G49" s="126">
        <f>E49*F49</f>
        <v>17000000</v>
      </c>
      <c r="H49" s="126">
        <f>G49*0</f>
        <v>0</v>
      </c>
      <c r="I49" s="126">
        <f>G49*1</f>
        <v>17000000</v>
      </c>
      <c r="J49" s="126"/>
      <c r="K49" s="126"/>
      <c r="L49" s="126"/>
      <c r="M49" s="126"/>
      <c r="N49" s="126"/>
      <c r="O49" s="126"/>
      <c r="P49" s="126"/>
      <c r="Q49" s="126"/>
      <c r="R49" s="143">
        <v>1000</v>
      </c>
      <c r="S49" s="143">
        <v>1000</v>
      </c>
      <c r="T49" s="143">
        <v>1000</v>
      </c>
      <c r="U49" s="143">
        <v>400</v>
      </c>
      <c r="V49" s="69">
        <f>R49*E49</f>
        <v>5000000</v>
      </c>
      <c r="W49" s="69">
        <f>S49*E49</f>
        <v>5000000</v>
      </c>
      <c r="X49" s="69">
        <f>T49*E49</f>
        <v>5000000</v>
      </c>
      <c r="Y49" s="69">
        <f>U49*E49</f>
        <v>2000000</v>
      </c>
      <c r="Z49" s="134">
        <v>200</v>
      </c>
      <c r="AA49" s="126">
        <f>Z49*E49</f>
        <v>1000000</v>
      </c>
      <c r="AB49" s="134">
        <v>200</v>
      </c>
      <c r="AC49" s="126">
        <f>AB49*E49</f>
        <v>1000000</v>
      </c>
      <c r="AD49" s="134">
        <v>200</v>
      </c>
      <c r="AE49" s="126">
        <f>AD49*E49</f>
        <v>1000000</v>
      </c>
      <c r="AF49" s="134">
        <v>200</v>
      </c>
      <c r="AG49" s="126">
        <f>AF49*E49</f>
        <v>1000000</v>
      </c>
      <c r="AH49" s="134">
        <v>200</v>
      </c>
      <c r="AI49" s="126">
        <f>AH49*E49</f>
        <v>1000000</v>
      </c>
      <c r="AJ49" s="134">
        <v>200</v>
      </c>
      <c r="AK49" s="126">
        <f>AJ49*E49</f>
        <v>1000000</v>
      </c>
      <c r="AL49" s="134">
        <v>200</v>
      </c>
      <c r="AM49" s="126">
        <f>AL49*E49</f>
        <v>1000000</v>
      </c>
      <c r="AN49" s="134">
        <v>200</v>
      </c>
      <c r="AO49" s="126">
        <f>AN49*E49</f>
        <v>1000000</v>
      </c>
      <c r="AP49" s="134">
        <v>200</v>
      </c>
      <c r="AQ49" s="126">
        <f>AP49*E49</f>
        <v>1000000</v>
      </c>
      <c r="AR49" s="134">
        <v>200</v>
      </c>
      <c r="AS49" s="126">
        <f>AR49*E49</f>
        <v>1000000</v>
      </c>
      <c r="AT49" s="134">
        <v>200</v>
      </c>
      <c r="AU49" s="126">
        <f>AT49*E49</f>
        <v>1000000</v>
      </c>
      <c r="AV49" s="134">
        <v>200</v>
      </c>
      <c r="AW49" s="126">
        <f>AV49*E49</f>
        <v>1000000</v>
      </c>
      <c r="AX49" s="134">
        <v>200</v>
      </c>
      <c r="AY49" s="126">
        <f>AX49*E49</f>
        <v>1000000</v>
      </c>
      <c r="AZ49" s="134">
        <v>200</v>
      </c>
      <c r="BA49" s="126">
        <f>AZ49*E49</f>
        <v>1000000</v>
      </c>
      <c r="BB49" s="134">
        <v>200</v>
      </c>
      <c r="BC49" s="126">
        <f>BB49*E49</f>
        <v>1000000</v>
      </c>
      <c r="BD49" s="134">
        <v>100</v>
      </c>
      <c r="BE49" s="126">
        <f>BD49*E49</f>
        <v>500000</v>
      </c>
      <c r="BF49" s="134">
        <v>300</v>
      </c>
      <c r="BG49" s="126">
        <f>BF49*E49</f>
        <v>1500000</v>
      </c>
      <c r="BH49" s="134">
        <v>0</v>
      </c>
      <c r="BI49" s="126">
        <f>BH49*E49</f>
        <v>0</v>
      </c>
      <c r="BJ49" s="134">
        <f>Z49+AB49+AD49+AF49+AH49+AJ49+AL49+AN49+AP49+AR49+AT49+AV49+AX49+AZ49+BB49+BD49+BF49+BH49</f>
        <v>3400</v>
      </c>
      <c r="BK49" s="134">
        <f>AA49+AC49+AE49+AG49+AI49+AK49+AM49+AO49+AQ49+AS49+AU49+AW49+AY49+BA49+BC49+BE49+BG49+BI49</f>
        <v>17000000</v>
      </c>
      <c r="BL49" s="334"/>
      <c r="BM49" s="39"/>
      <c r="BN49" s="178"/>
      <c r="BO49" s="178"/>
      <c r="BP49" s="178"/>
      <c r="BQ49" s="178">
        <f>G49</f>
        <v>17000000</v>
      </c>
      <c r="BR49" s="178">
        <f>BN49+BO49+BP49+BQ49</f>
        <v>17000000</v>
      </c>
      <c r="BS49" s="178"/>
      <c r="BT49" s="178"/>
      <c r="BU49" s="178"/>
      <c r="BV49" s="191">
        <f t="shared" si="1"/>
        <v>17000000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</row>
    <row r="50" spans="1:979" s="67" customFormat="1" ht="24" customHeight="1" x14ac:dyDescent="0.25">
      <c r="A50" s="855"/>
      <c r="B50" s="579"/>
      <c r="C50" s="580"/>
      <c r="D50" s="140"/>
      <c r="E50" s="140"/>
      <c r="F50" s="140">
        <f>SUM(F45:F49)</f>
        <v>3750</v>
      </c>
      <c r="G50" s="140">
        <f>SUM(G45:G49)</f>
        <v>22250000</v>
      </c>
      <c r="H50" s="140">
        <f t="shared" ref="H50:BK50" si="42">SUM(H45:H49)</f>
        <v>0</v>
      </c>
      <c r="I50" s="140">
        <f t="shared" si="42"/>
        <v>22250000</v>
      </c>
      <c r="J50" s="140">
        <f t="shared" si="42"/>
        <v>0</v>
      </c>
      <c r="K50" s="140">
        <f t="shared" si="42"/>
        <v>0</v>
      </c>
      <c r="L50" s="140">
        <f t="shared" si="42"/>
        <v>0</v>
      </c>
      <c r="M50" s="140">
        <f t="shared" si="42"/>
        <v>0</v>
      </c>
      <c r="N50" s="140">
        <f t="shared" si="42"/>
        <v>0</v>
      </c>
      <c r="O50" s="140">
        <f t="shared" si="42"/>
        <v>0</v>
      </c>
      <c r="P50" s="140">
        <f t="shared" si="42"/>
        <v>0</v>
      </c>
      <c r="Q50" s="140">
        <f t="shared" si="42"/>
        <v>0</v>
      </c>
      <c r="R50" s="140">
        <f t="shared" si="42"/>
        <v>2000</v>
      </c>
      <c r="S50" s="140">
        <f t="shared" si="42"/>
        <v>1250</v>
      </c>
      <c r="T50" s="140">
        <f t="shared" si="42"/>
        <v>1250</v>
      </c>
      <c r="U50" s="140">
        <f t="shared" si="42"/>
        <v>400</v>
      </c>
      <c r="V50" s="140">
        <f t="shared" si="42"/>
        <v>20000000</v>
      </c>
      <c r="W50" s="140">
        <f t="shared" si="42"/>
        <v>8750000</v>
      </c>
      <c r="X50" s="140">
        <f t="shared" si="42"/>
        <v>8750000</v>
      </c>
      <c r="Y50" s="140">
        <f t="shared" si="42"/>
        <v>2000000</v>
      </c>
      <c r="Z50" s="140">
        <f t="shared" si="42"/>
        <v>220</v>
      </c>
      <c r="AA50" s="140">
        <f t="shared" si="42"/>
        <v>1300000</v>
      </c>
      <c r="AB50" s="140">
        <f t="shared" si="42"/>
        <v>220</v>
      </c>
      <c r="AC50" s="140">
        <f t="shared" si="42"/>
        <v>1300000</v>
      </c>
      <c r="AD50" s="140">
        <f t="shared" si="42"/>
        <v>220</v>
      </c>
      <c r="AE50" s="140">
        <f t="shared" si="42"/>
        <v>1300000</v>
      </c>
      <c r="AF50" s="140">
        <f t="shared" si="42"/>
        <v>210</v>
      </c>
      <c r="AG50" s="140">
        <f t="shared" si="42"/>
        <v>1150000</v>
      </c>
      <c r="AH50" s="140">
        <f t="shared" si="42"/>
        <v>220</v>
      </c>
      <c r="AI50" s="140">
        <f t="shared" si="42"/>
        <v>1300000</v>
      </c>
      <c r="AJ50" s="140">
        <f t="shared" si="42"/>
        <v>215</v>
      </c>
      <c r="AK50" s="140">
        <f t="shared" si="42"/>
        <v>1225000</v>
      </c>
      <c r="AL50" s="140">
        <f t="shared" si="42"/>
        <v>220</v>
      </c>
      <c r="AM50" s="140">
        <f t="shared" si="42"/>
        <v>1300000</v>
      </c>
      <c r="AN50" s="140">
        <f t="shared" si="42"/>
        <v>250</v>
      </c>
      <c r="AO50" s="140">
        <f t="shared" si="42"/>
        <v>1750000</v>
      </c>
      <c r="AP50" s="140">
        <f t="shared" si="42"/>
        <v>210</v>
      </c>
      <c r="AQ50" s="140">
        <f t="shared" si="42"/>
        <v>1150000</v>
      </c>
      <c r="AR50" s="140">
        <f t="shared" si="42"/>
        <v>210</v>
      </c>
      <c r="AS50" s="140">
        <f t="shared" si="42"/>
        <v>1150000</v>
      </c>
      <c r="AT50" s="140">
        <f t="shared" si="42"/>
        <v>210</v>
      </c>
      <c r="AU50" s="140">
        <f t="shared" si="42"/>
        <v>1150000</v>
      </c>
      <c r="AV50" s="140">
        <f t="shared" si="42"/>
        <v>210</v>
      </c>
      <c r="AW50" s="140">
        <f t="shared" si="42"/>
        <v>1150000</v>
      </c>
      <c r="AX50" s="140">
        <f t="shared" si="42"/>
        <v>210</v>
      </c>
      <c r="AY50" s="140">
        <f t="shared" si="42"/>
        <v>1150000</v>
      </c>
      <c r="AZ50" s="140">
        <f t="shared" si="42"/>
        <v>210</v>
      </c>
      <c r="BA50" s="140">
        <f t="shared" si="42"/>
        <v>1150000</v>
      </c>
      <c r="BB50" s="140">
        <f t="shared" si="42"/>
        <v>215</v>
      </c>
      <c r="BC50" s="140">
        <f t="shared" si="42"/>
        <v>1225000</v>
      </c>
      <c r="BD50" s="140">
        <f t="shared" si="42"/>
        <v>130</v>
      </c>
      <c r="BE50" s="140">
        <f t="shared" si="42"/>
        <v>950000</v>
      </c>
      <c r="BF50" s="140">
        <f t="shared" si="42"/>
        <v>370</v>
      </c>
      <c r="BG50" s="140">
        <f t="shared" si="42"/>
        <v>2550000</v>
      </c>
      <c r="BH50" s="140">
        <f t="shared" si="42"/>
        <v>0</v>
      </c>
      <c r="BI50" s="140">
        <f t="shared" si="42"/>
        <v>0</v>
      </c>
      <c r="BJ50" s="140">
        <f t="shared" si="42"/>
        <v>3750</v>
      </c>
      <c r="BK50" s="140">
        <f t="shared" si="42"/>
        <v>22250000</v>
      </c>
      <c r="BL50" s="118"/>
      <c r="BN50" s="140">
        <f>SUM(BN45:BN49)</f>
        <v>0</v>
      </c>
      <c r="BO50" s="140">
        <f t="shared" ref="BO50:BV50" si="43">SUM(BO45:BO49)</f>
        <v>0</v>
      </c>
      <c r="BP50" s="140">
        <f t="shared" si="43"/>
        <v>0</v>
      </c>
      <c r="BQ50" s="140">
        <f t="shared" si="43"/>
        <v>22250000</v>
      </c>
      <c r="BR50" s="140">
        <f t="shared" si="43"/>
        <v>22250000</v>
      </c>
      <c r="BS50" s="140">
        <f t="shared" si="43"/>
        <v>0</v>
      </c>
      <c r="BT50" s="140">
        <f t="shared" si="43"/>
        <v>0</v>
      </c>
      <c r="BU50" s="140">
        <f t="shared" si="43"/>
        <v>0</v>
      </c>
      <c r="BV50" s="140">
        <f t="shared" si="43"/>
        <v>22250000</v>
      </c>
    </row>
    <row r="51" spans="1:979" ht="24" customHeight="1" x14ac:dyDescent="0.25">
      <c r="A51" s="855"/>
      <c r="B51" s="454">
        <v>12330</v>
      </c>
      <c r="C51" s="578" t="s">
        <v>127</v>
      </c>
      <c r="D51" s="169"/>
      <c r="E51" s="1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87"/>
      <c r="S51" s="187"/>
      <c r="T51" s="187"/>
      <c r="U51" s="187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47"/>
      <c r="BN51" s="113"/>
      <c r="BO51" s="113"/>
      <c r="BP51" s="113"/>
      <c r="BQ51" s="113"/>
      <c r="BR51" s="113"/>
      <c r="BS51" s="113"/>
      <c r="BT51" s="113"/>
      <c r="BU51" s="113"/>
      <c r="BV51" s="181">
        <f t="shared" si="1"/>
        <v>0</v>
      </c>
    </row>
    <row r="52" spans="1:979" ht="24" customHeight="1" x14ac:dyDescent="0.25">
      <c r="A52" s="855"/>
      <c r="B52" s="186"/>
      <c r="C52" s="169" t="s">
        <v>128</v>
      </c>
      <c r="D52" s="169" t="s">
        <v>129</v>
      </c>
      <c r="E52" s="169">
        <f>5*100000</f>
        <v>500000</v>
      </c>
      <c r="F52" s="69">
        <f t="shared" ref="F52:F60" si="44">BJ52</f>
        <v>0</v>
      </c>
      <c r="G52" s="69">
        <f t="shared" ref="G52:G60" si="45">E52*F52</f>
        <v>0</v>
      </c>
      <c r="H52" s="69">
        <f>G52*0</f>
        <v>0</v>
      </c>
      <c r="I52" s="69">
        <f>G52*0.8</f>
        <v>0</v>
      </c>
      <c r="J52" s="69">
        <f>G52*0</f>
        <v>0</v>
      </c>
      <c r="K52" s="69">
        <f>G52*0</f>
        <v>0</v>
      </c>
      <c r="L52" s="69">
        <f>G52*0.2</f>
        <v>0</v>
      </c>
      <c r="M52" s="69">
        <f>G52*0</f>
        <v>0</v>
      </c>
      <c r="N52" s="69">
        <f>G52*0</f>
        <v>0</v>
      </c>
      <c r="O52" s="69">
        <f>G52*0</f>
        <v>0</v>
      </c>
      <c r="P52" s="69">
        <f>G52*0</f>
        <v>0</v>
      </c>
      <c r="Q52" s="69">
        <f>G52*0</f>
        <v>0</v>
      </c>
      <c r="R52" s="187"/>
      <c r="S52" s="187"/>
      <c r="T52" s="187"/>
      <c r="U52" s="187"/>
      <c r="V52" s="69">
        <f>R52*E52</f>
        <v>0</v>
      </c>
      <c r="W52" s="69">
        <f>S52*E52</f>
        <v>0</v>
      </c>
      <c r="X52" s="69">
        <f>T52*E52</f>
        <v>0</v>
      </c>
      <c r="Y52" s="69">
        <f>U52*E52</f>
        <v>0</v>
      </c>
      <c r="Z52" s="85">
        <v>0</v>
      </c>
      <c r="AA52" s="69">
        <f>Z52*500000</f>
        <v>0</v>
      </c>
      <c r="AB52" s="85">
        <v>0</v>
      </c>
      <c r="AC52" s="69">
        <f>AB52*500000</f>
        <v>0</v>
      </c>
      <c r="AD52" s="85">
        <v>0</v>
      </c>
      <c r="AE52" s="69">
        <f>AD52*500000</f>
        <v>0</v>
      </c>
      <c r="AF52" s="85">
        <v>0</v>
      </c>
      <c r="AG52" s="69">
        <f>AF52*500000</f>
        <v>0</v>
      </c>
      <c r="AH52" s="85">
        <v>0</v>
      </c>
      <c r="AI52" s="69">
        <f>AH52*500000</f>
        <v>0</v>
      </c>
      <c r="AJ52" s="85">
        <v>0</v>
      </c>
      <c r="AK52" s="69">
        <f>AJ52*500000</f>
        <v>0</v>
      </c>
      <c r="AL52" s="85">
        <v>0</v>
      </c>
      <c r="AM52" s="69">
        <f>AL52*500000</f>
        <v>0</v>
      </c>
      <c r="AN52" s="85">
        <v>0</v>
      </c>
      <c r="AO52" s="69">
        <f>AN52*500000</f>
        <v>0</v>
      </c>
      <c r="AP52" s="85">
        <v>0</v>
      </c>
      <c r="AQ52" s="69">
        <f>AP52*500000</f>
        <v>0</v>
      </c>
      <c r="AR52" s="85">
        <v>0</v>
      </c>
      <c r="AS52" s="69">
        <f>AR52*500000</f>
        <v>0</v>
      </c>
      <c r="AT52" s="85">
        <v>0</v>
      </c>
      <c r="AU52" s="69">
        <f>AT52*500000</f>
        <v>0</v>
      </c>
      <c r="AV52" s="85">
        <v>0</v>
      </c>
      <c r="AW52" s="69">
        <f>AV52*500000</f>
        <v>0</v>
      </c>
      <c r="AX52" s="85">
        <v>0</v>
      </c>
      <c r="AY52" s="69">
        <f>AX52*500000</f>
        <v>0</v>
      </c>
      <c r="AZ52" s="85">
        <v>0</v>
      </c>
      <c r="BA52" s="69">
        <f>AZ52*500000</f>
        <v>0</v>
      </c>
      <c r="BB52" s="85">
        <v>0</v>
      </c>
      <c r="BC52" s="69">
        <f>BB52*500000</f>
        <v>0</v>
      </c>
      <c r="BD52" s="85">
        <v>0</v>
      </c>
      <c r="BE52" s="69">
        <f>BD52*500000</f>
        <v>0</v>
      </c>
      <c r="BF52" s="85">
        <v>0</v>
      </c>
      <c r="BG52" s="69">
        <f>BF52*500000</f>
        <v>0</v>
      </c>
      <c r="BH52" s="85">
        <v>0</v>
      </c>
      <c r="BI52" s="126">
        <v>0</v>
      </c>
      <c r="BJ52" s="85">
        <f t="shared" ref="BJ52:BK60" si="46">Z52+AB52+AD52+AF52+AH52+AJ52+AL52+AN52+AP52+AR52+AT52+AV52+AX52+AZ52+BB52+BD52+BF52+BH52</f>
        <v>0</v>
      </c>
      <c r="BK52" s="85">
        <f t="shared" si="46"/>
        <v>0</v>
      </c>
      <c r="BL52" s="333" t="s">
        <v>469</v>
      </c>
      <c r="BN52" s="113">
        <v>0</v>
      </c>
      <c r="BO52" s="113">
        <f>G52</f>
        <v>0</v>
      </c>
      <c r="BP52" s="113">
        <v>0</v>
      </c>
      <c r="BQ52" s="113">
        <v>0</v>
      </c>
      <c r="BR52" s="113">
        <f>BN52+BO52+BP52+BQ52</f>
        <v>0</v>
      </c>
      <c r="BS52" s="113">
        <v>0</v>
      </c>
      <c r="BT52" s="113">
        <v>0</v>
      </c>
      <c r="BU52" s="113">
        <f>BS52+BT52</f>
        <v>0</v>
      </c>
      <c r="BV52" s="181">
        <f t="shared" si="1"/>
        <v>0</v>
      </c>
    </row>
    <row r="53" spans="1:979" ht="24" customHeight="1" x14ac:dyDescent="0.25">
      <c r="A53" s="855"/>
      <c r="B53" s="186"/>
      <c r="C53" s="169" t="s">
        <v>130</v>
      </c>
      <c r="D53" s="169" t="s">
        <v>90</v>
      </c>
      <c r="E53" s="169">
        <f>0.05*100000</f>
        <v>5000</v>
      </c>
      <c r="F53" s="69">
        <f t="shared" si="44"/>
        <v>0</v>
      </c>
      <c r="G53" s="69">
        <f t="shared" si="45"/>
        <v>0</v>
      </c>
      <c r="H53" s="69">
        <f t="shared" ref="H53:H60" si="47">G53*0</f>
        <v>0</v>
      </c>
      <c r="I53" s="69">
        <f t="shared" ref="I53:I60" si="48">G53*0.8</f>
        <v>0</v>
      </c>
      <c r="J53" s="69">
        <f t="shared" ref="J53:J60" si="49">G53*0</f>
        <v>0</v>
      </c>
      <c r="K53" s="69">
        <f t="shared" ref="K53:K60" si="50">G53*0</f>
        <v>0</v>
      </c>
      <c r="L53" s="69">
        <f t="shared" ref="L53:L60" si="51">G53*0.2</f>
        <v>0</v>
      </c>
      <c r="M53" s="69">
        <f t="shared" ref="M53:M60" si="52">G53*0</f>
        <v>0</v>
      </c>
      <c r="N53" s="69">
        <f t="shared" ref="N53:N60" si="53">G53*0</f>
        <v>0</v>
      </c>
      <c r="O53" s="69">
        <f t="shared" ref="O53:O60" si="54">G53*0</f>
        <v>0</v>
      </c>
      <c r="P53" s="69">
        <f t="shared" ref="P53:P60" si="55">G53*0</f>
        <v>0</v>
      </c>
      <c r="Q53" s="69">
        <f t="shared" ref="Q53:Q60" si="56">G53*0</f>
        <v>0</v>
      </c>
      <c r="R53" s="187"/>
      <c r="S53" s="187"/>
      <c r="T53" s="187"/>
      <c r="U53" s="187"/>
      <c r="V53" s="69">
        <f t="shared" ref="V53:V60" si="57">R53*E53</f>
        <v>0</v>
      </c>
      <c r="W53" s="69">
        <f t="shared" ref="W53:W60" si="58">S53*E53</f>
        <v>0</v>
      </c>
      <c r="X53" s="69">
        <f t="shared" ref="X53:X60" si="59">T53*E53</f>
        <v>0</v>
      </c>
      <c r="Y53" s="69">
        <f t="shared" ref="Y53:Y60" si="60">U53*E53</f>
        <v>0</v>
      </c>
      <c r="Z53" s="85">
        <v>0</v>
      </c>
      <c r="AA53" s="69">
        <f>Z53*5000</f>
        <v>0</v>
      </c>
      <c r="AB53" s="85">
        <v>0</v>
      </c>
      <c r="AC53" s="69">
        <f>AB53*5000</f>
        <v>0</v>
      </c>
      <c r="AD53" s="85">
        <v>0</v>
      </c>
      <c r="AE53" s="69">
        <f>AD53*5000</f>
        <v>0</v>
      </c>
      <c r="AF53" s="85">
        <v>0</v>
      </c>
      <c r="AG53" s="69">
        <f>AF53*5000</f>
        <v>0</v>
      </c>
      <c r="AH53" s="85">
        <v>0</v>
      </c>
      <c r="AI53" s="69">
        <f>AH53*5000</f>
        <v>0</v>
      </c>
      <c r="AJ53" s="85">
        <v>0</v>
      </c>
      <c r="AK53" s="69">
        <f>AJ53*5000</f>
        <v>0</v>
      </c>
      <c r="AL53" s="85">
        <v>0</v>
      </c>
      <c r="AM53" s="69">
        <f>AL53*5000</f>
        <v>0</v>
      </c>
      <c r="AN53" s="85">
        <v>0</v>
      </c>
      <c r="AO53" s="69">
        <f>AN53*5000</f>
        <v>0</v>
      </c>
      <c r="AP53" s="85">
        <v>0</v>
      </c>
      <c r="AQ53" s="69">
        <f>AP53*5000</f>
        <v>0</v>
      </c>
      <c r="AR53" s="85">
        <v>0</v>
      </c>
      <c r="AS53" s="69">
        <f>AR53*5000</f>
        <v>0</v>
      </c>
      <c r="AT53" s="85">
        <v>0</v>
      </c>
      <c r="AU53" s="69">
        <f>AT53*5000</f>
        <v>0</v>
      </c>
      <c r="AV53" s="85">
        <v>0</v>
      </c>
      <c r="AW53" s="69">
        <f>AV53*5000</f>
        <v>0</v>
      </c>
      <c r="AX53" s="85">
        <v>0</v>
      </c>
      <c r="AY53" s="69">
        <f>AX53*5000</f>
        <v>0</v>
      </c>
      <c r="AZ53" s="85">
        <v>0</v>
      </c>
      <c r="BA53" s="69">
        <f>AZ53*5000</f>
        <v>0</v>
      </c>
      <c r="BB53" s="85">
        <v>0</v>
      </c>
      <c r="BC53" s="69">
        <f>BB53*5000</f>
        <v>0</v>
      </c>
      <c r="BD53" s="85">
        <v>0</v>
      </c>
      <c r="BE53" s="69">
        <f>BD53*5000</f>
        <v>0</v>
      </c>
      <c r="BF53" s="85">
        <v>0</v>
      </c>
      <c r="BG53" s="69">
        <f>BF53*5000</f>
        <v>0</v>
      </c>
      <c r="BH53" s="85">
        <v>0</v>
      </c>
      <c r="BI53" s="69">
        <f>BH53*5000</f>
        <v>0</v>
      </c>
      <c r="BJ53" s="85">
        <f t="shared" si="46"/>
        <v>0</v>
      </c>
      <c r="BK53" s="85">
        <f t="shared" si="46"/>
        <v>0</v>
      </c>
      <c r="BL53" s="333" t="s">
        <v>469</v>
      </c>
      <c r="BN53" s="113">
        <v>0</v>
      </c>
      <c r="BO53" s="113">
        <v>0</v>
      </c>
      <c r="BP53" s="113">
        <v>0</v>
      </c>
      <c r="BQ53" s="113">
        <v>0</v>
      </c>
      <c r="BR53" s="113">
        <f t="shared" ref="BR53:BR60" si="61">BN53+BO53+BP53+BQ53</f>
        <v>0</v>
      </c>
      <c r="BS53" s="113">
        <v>0</v>
      </c>
      <c r="BT53" s="113">
        <v>0</v>
      </c>
      <c r="BU53" s="113">
        <f t="shared" ref="BU53:BU60" si="62">BS53+BT53</f>
        <v>0</v>
      </c>
      <c r="BV53" s="181">
        <f t="shared" si="1"/>
        <v>0</v>
      </c>
    </row>
    <row r="54" spans="1:979" ht="24" customHeight="1" x14ac:dyDescent="0.25">
      <c r="A54" s="855"/>
      <c r="B54" s="186"/>
      <c r="C54" s="169" t="s">
        <v>131</v>
      </c>
      <c r="D54" s="169" t="s">
        <v>44</v>
      </c>
      <c r="E54" s="169">
        <f>5*100000</f>
        <v>500000</v>
      </c>
      <c r="F54" s="69">
        <f t="shared" si="44"/>
        <v>0</v>
      </c>
      <c r="G54" s="69">
        <f t="shared" si="45"/>
        <v>0</v>
      </c>
      <c r="H54" s="69">
        <f t="shared" si="47"/>
        <v>0</v>
      </c>
      <c r="I54" s="69">
        <f t="shared" si="48"/>
        <v>0</v>
      </c>
      <c r="J54" s="69">
        <f t="shared" si="49"/>
        <v>0</v>
      </c>
      <c r="K54" s="69">
        <f t="shared" si="50"/>
        <v>0</v>
      </c>
      <c r="L54" s="69">
        <f t="shared" si="51"/>
        <v>0</v>
      </c>
      <c r="M54" s="69">
        <f t="shared" si="52"/>
        <v>0</v>
      </c>
      <c r="N54" s="69">
        <f t="shared" si="53"/>
        <v>0</v>
      </c>
      <c r="O54" s="69">
        <f t="shared" si="54"/>
        <v>0</v>
      </c>
      <c r="P54" s="69">
        <f t="shared" si="55"/>
        <v>0</v>
      </c>
      <c r="Q54" s="69">
        <f t="shared" si="56"/>
        <v>0</v>
      </c>
      <c r="R54" s="187"/>
      <c r="S54" s="187"/>
      <c r="T54" s="187"/>
      <c r="U54" s="187"/>
      <c r="V54" s="69">
        <f t="shared" si="57"/>
        <v>0</v>
      </c>
      <c r="W54" s="69">
        <f t="shared" si="58"/>
        <v>0</v>
      </c>
      <c r="X54" s="69">
        <f t="shared" si="59"/>
        <v>0</v>
      </c>
      <c r="Y54" s="69">
        <f t="shared" si="60"/>
        <v>0</v>
      </c>
      <c r="Z54" s="85">
        <v>0</v>
      </c>
      <c r="AA54" s="69">
        <f>Z54*500000</f>
        <v>0</v>
      </c>
      <c r="AB54" s="85">
        <v>0</v>
      </c>
      <c r="AC54" s="69">
        <f>AB54*500000</f>
        <v>0</v>
      </c>
      <c r="AD54" s="85">
        <v>0</v>
      </c>
      <c r="AE54" s="69">
        <f>AD54*500000</f>
        <v>0</v>
      </c>
      <c r="AF54" s="85">
        <v>0</v>
      </c>
      <c r="AG54" s="69">
        <f>AF54*500000</f>
        <v>0</v>
      </c>
      <c r="AH54" s="85">
        <v>0</v>
      </c>
      <c r="AI54" s="69">
        <f>AH54*500000</f>
        <v>0</v>
      </c>
      <c r="AJ54" s="85">
        <v>0</v>
      </c>
      <c r="AK54" s="69">
        <f>AJ54*500000</f>
        <v>0</v>
      </c>
      <c r="AL54" s="85">
        <v>0</v>
      </c>
      <c r="AM54" s="69">
        <f>AL54*500000</f>
        <v>0</v>
      </c>
      <c r="AN54" s="85">
        <v>0</v>
      </c>
      <c r="AO54" s="69">
        <f>AN54*500000</f>
        <v>0</v>
      </c>
      <c r="AP54" s="85">
        <v>0</v>
      </c>
      <c r="AQ54" s="69">
        <f>AP54*500000</f>
        <v>0</v>
      </c>
      <c r="AR54" s="85">
        <v>0</v>
      </c>
      <c r="AS54" s="69">
        <f>AR54*500000</f>
        <v>0</v>
      </c>
      <c r="AT54" s="85">
        <v>0</v>
      </c>
      <c r="AU54" s="69">
        <f>AT54*500000</f>
        <v>0</v>
      </c>
      <c r="AV54" s="85">
        <v>0</v>
      </c>
      <c r="AW54" s="69">
        <f>AV54*500000</f>
        <v>0</v>
      </c>
      <c r="AX54" s="85">
        <v>0</v>
      </c>
      <c r="AY54" s="69">
        <f>AX54*500000</f>
        <v>0</v>
      </c>
      <c r="AZ54" s="85">
        <v>0</v>
      </c>
      <c r="BA54" s="69">
        <f>AZ54*500000</f>
        <v>0</v>
      </c>
      <c r="BB54" s="85">
        <v>0</v>
      </c>
      <c r="BC54" s="69">
        <f>BB54*500000</f>
        <v>0</v>
      </c>
      <c r="BD54" s="85">
        <v>0</v>
      </c>
      <c r="BE54" s="69">
        <f>BD54*500000</f>
        <v>0</v>
      </c>
      <c r="BF54" s="85">
        <v>0</v>
      </c>
      <c r="BG54" s="69">
        <f>BF54*500000</f>
        <v>0</v>
      </c>
      <c r="BH54" s="85">
        <v>0</v>
      </c>
      <c r="BI54" s="69">
        <f>BH54*500000</f>
        <v>0</v>
      </c>
      <c r="BJ54" s="85">
        <f t="shared" si="46"/>
        <v>0</v>
      </c>
      <c r="BK54" s="85">
        <f t="shared" si="46"/>
        <v>0</v>
      </c>
      <c r="BL54" s="333" t="s">
        <v>469</v>
      </c>
      <c r="BN54" s="113">
        <v>0</v>
      </c>
      <c r="BO54" s="113">
        <v>0</v>
      </c>
      <c r="BP54" s="113">
        <v>0</v>
      </c>
      <c r="BQ54" s="113">
        <v>0</v>
      </c>
      <c r="BR54" s="113">
        <f t="shared" si="61"/>
        <v>0</v>
      </c>
      <c r="BS54" s="113">
        <v>0</v>
      </c>
      <c r="BT54" s="113">
        <v>0</v>
      </c>
      <c r="BU54" s="113">
        <f t="shared" si="62"/>
        <v>0</v>
      </c>
      <c r="BV54" s="181">
        <f t="shared" si="1"/>
        <v>0</v>
      </c>
    </row>
    <row r="55" spans="1:979" ht="24" customHeight="1" x14ac:dyDescent="0.25">
      <c r="A55" s="855"/>
      <c r="B55" s="186"/>
      <c r="C55" s="169" t="s">
        <v>132</v>
      </c>
      <c r="D55" s="169" t="s">
        <v>17</v>
      </c>
      <c r="E55" s="169">
        <f>0.75*100000</f>
        <v>75000</v>
      </c>
      <c r="F55" s="69">
        <f t="shared" si="44"/>
        <v>0</v>
      </c>
      <c r="G55" s="69">
        <f t="shared" si="45"/>
        <v>0</v>
      </c>
      <c r="H55" s="69">
        <f t="shared" si="47"/>
        <v>0</v>
      </c>
      <c r="I55" s="69">
        <f t="shared" si="48"/>
        <v>0</v>
      </c>
      <c r="J55" s="69">
        <f t="shared" si="49"/>
        <v>0</v>
      </c>
      <c r="K55" s="69">
        <f t="shared" si="50"/>
        <v>0</v>
      </c>
      <c r="L55" s="69">
        <f t="shared" si="51"/>
        <v>0</v>
      </c>
      <c r="M55" s="69">
        <f t="shared" si="52"/>
        <v>0</v>
      </c>
      <c r="N55" s="69">
        <f t="shared" si="53"/>
        <v>0</v>
      </c>
      <c r="O55" s="69">
        <f t="shared" si="54"/>
        <v>0</v>
      </c>
      <c r="P55" s="69">
        <f t="shared" si="55"/>
        <v>0</v>
      </c>
      <c r="Q55" s="69">
        <f t="shared" si="56"/>
        <v>0</v>
      </c>
      <c r="R55" s="187"/>
      <c r="S55" s="187"/>
      <c r="T55" s="187"/>
      <c r="U55" s="187"/>
      <c r="V55" s="69">
        <f t="shared" si="57"/>
        <v>0</v>
      </c>
      <c r="W55" s="69">
        <f t="shared" si="58"/>
        <v>0</v>
      </c>
      <c r="X55" s="69">
        <f t="shared" si="59"/>
        <v>0</v>
      </c>
      <c r="Y55" s="69">
        <f t="shared" si="60"/>
        <v>0</v>
      </c>
      <c r="Z55" s="85">
        <v>0</v>
      </c>
      <c r="AA55" s="69">
        <f>Z55*75000</f>
        <v>0</v>
      </c>
      <c r="AB55" s="85">
        <v>0</v>
      </c>
      <c r="AC55" s="69">
        <f>AB55*75000</f>
        <v>0</v>
      </c>
      <c r="AD55" s="85">
        <v>0</v>
      </c>
      <c r="AE55" s="69">
        <f>AD55*75000</f>
        <v>0</v>
      </c>
      <c r="AF55" s="85">
        <v>0</v>
      </c>
      <c r="AG55" s="69">
        <f>AF55*75000</f>
        <v>0</v>
      </c>
      <c r="AH55" s="85">
        <v>0</v>
      </c>
      <c r="AI55" s="69">
        <f>AH55*75000</f>
        <v>0</v>
      </c>
      <c r="AJ55" s="85">
        <v>0</v>
      </c>
      <c r="AK55" s="69">
        <f>AJ55*75000</f>
        <v>0</v>
      </c>
      <c r="AL55" s="85">
        <v>0</v>
      </c>
      <c r="AM55" s="69">
        <f>AL55*75000</f>
        <v>0</v>
      </c>
      <c r="AN55" s="85">
        <v>0</v>
      </c>
      <c r="AO55" s="69">
        <f>AN55*75000</f>
        <v>0</v>
      </c>
      <c r="AP55" s="85">
        <v>0</v>
      </c>
      <c r="AQ55" s="69">
        <f>AP55*75000</f>
        <v>0</v>
      </c>
      <c r="AR55" s="85">
        <v>0</v>
      </c>
      <c r="AS55" s="69">
        <f>AR55*75000</f>
        <v>0</v>
      </c>
      <c r="AT55" s="85">
        <v>0</v>
      </c>
      <c r="AU55" s="69">
        <f>AT55*75000</f>
        <v>0</v>
      </c>
      <c r="AV55" s="85">
        <v>0</v>
      </c>
      <c r="AW55" s="69">
        <f>AV55*75000</f>
        <v>0</v>
      </c>
      <c r="AX55" s="85">
        <v>0</v>
      </c>
      <c r="AY55" s="69">
        <f>AX55*75000</f>
        <v>0</v>
      </c>
      <c r="AZ55" s="85">
        <v>0</v>
      </c>
      <c r="BA55" s="69">
        <f>AZ55*75000</f>
        <v>0</v>
      </c>
      <c r="BB55" s="85">
        <v>0</v>
      </c>
      <c r="BC55" s="69">
        <f>BB55*75000</f>
        <v>0</v>
      </c>
      <c r="BD55" s="85">
        <v>0</v>
      </c>
      <c r="BE55" s="69">
        <f>BD55*75000</f>
        <v>0</v>
      </c>
      <c r="BF55" s="85">
        <v>0</v>
      </c>
      <c r="BG55" s="69">
        <f>BF55*75000</f>
        <v>0</v>
      </c>
      <c r="BH55" s="85">
        <v>0</v>
      </c>
      <c r="BI55" s="69">
        <f>BH55*75000</f>
        <v>0</v>
      </c>
      <c r="BJ55" s="85">
        <f t="shared" si="46"/>
        <v>0</v>
      </c>
      <c r="BK55" s="85">
        <f t="shared" si="46"/>
        <v>0</v>
      </c>
      <c r="BL55" s="333" t="s">
        <v>469</v>
      </c>
      <c r="BN55" s="113">
        <v>0</v>
      </c>
      <c r="BO55" s="113">
        <v>0</v>
      </c>
      <c r="BP55" s="113">
        <v>0</v>
      </c>
      <c r="BQ55" s="113">
        <v>0</v>
      </c>
      <c r="BR55" s="113">
        <f t="shared" si="61"/>
        <v>0</v>
      </c>
      <c r="BS55" s="113">
        <v>0</v>
      </c>
      <c r="BT55" s="113">
        <v>0</v>
      </c>
      <c r="BU55" s="113">
        <f t="shared" si="62"/>
        <v>0</v>
      </c>
      <c r="BV55" s="181">
        <f t="shared" si="1"/>
        <v>0</v>
      </c>
    </row>
    <row r="56" spans="1:979" ht="24" customHeight="1" x14ac:dyDescent="0.25">
      <c r="A56" s="855"/>
      <c r="B56" s="186"/>
      <c r="C56" s="169" t="s">
        <v>133</v>
      </c>
      <c r="D56" s="169" t="s">
        <v>120</v>
      </c>
      <c r="E56" s="169">
        <f>0.025*100000</f>
        <v>2500</v>
      </c>
      <c r="F56" s="69">
        <f t="shared" si="44"/>
        <v>0</v>
      </c>
      <c r="G56" s="69">
        <f t="shared" si="45"/>
        <v>0</v>
      </c>
      <c r="H56" s="69">
        <f t="shared" si="47"/>
        <v>0</v>
      </c>
      <c r="I56" s="69">
        <f t="shared" si="48"/>
        <v>0</v>
      </c>
      <c r="J56" s="69">
        <f t="shared" si="49"/>
        <v>0</v>
      </c>
      <c r="K56" s="69">
        <f t="shared" si="50"/>
        <v>0</v>
      </c>
      <c r="L56" s="69">
        <f t="shared" si="51"/>
        <v>0</v>
      </c>
      <c r="M56" s="69">
        <f t="shared" si="52"/>
        <v>0</v>
      </c>
      <c r="N56" s="69">
        <f t="shared" si="53"/>
        <v>0</v>
      </c>
      <c r="O56" s="69">
        <f t="shared" si="54"/>
        <v>0</v>
      </c>
      <c r="P56" s="69">
        <f t="shared" si="55"/>
        <v>0</v>
      </c>
      <c r="Q56" s="69">
        <f t="shared" si="56"/>
        <v>0</v>
      </c>
      <c r="R56" s="187"/>
      <c r="S56" s="187"/>
      <c r="T56" s="187"/>
      <c r="U56" s="187"/>
      <c r="V56" s="69">
        <f t="shared" si="57"/>
        <v>0</v>
      </c>
      <c r="W56" s="69">
        <f t="shared" si="58"/>
        <v>0</v>
      </c>
      <c r="X56" s="69">
        <f t="shared" si="59"/>
        <v>0</v>
      </c>
      <c r="Y56" s="69">
        <f t="shared" si="60"/>
        <v>0</v>
      </c>
      <c r="Z56" s="85">
        <v>0</v>
      </c>
      <c r="AA56" s="69">
        <f>Z56*2500</f>
        <v>0</v>
      </c>
      <c r="AB56" s="85">
        <v>0</v>
      </c>
      <c r="AC56" s="69">
        <f>AB56*2500</f>
        <v>0</v>
      </c>
      <c r="AD56" s="85">
        <v>0</v>
      </c>
      <c r="AE56" s="69">
        <f>AD56*2500</f>
        <v>0</v>
      </c>
      <c r="AF56" s="85">
        <v>0</v>
      </c>
      <c r="AG56" s="69">
        <f>AF56*2500</f>
        <v>0</v>
      </c>
      <c r="AH56" s="85">
        <v>0</v>
      </c>
      <c r="AI56" s="69">
        <f>AH56*2500</f>
        <v>0</v>
      </c>
      <c r="AJ56" s="85">
        <v>0</v>
      </c>
      <c r="AK56" s="69">
        <f>AJ56*2500</f>
        <v>0</v>
      </c>
      <c r="AL56" s="85">
        <v>0</v>
      </c>
      <c r="AM56" s="69">
        <f>AL56*2500</f>
        <v>0</v>
      </c>
      <c r="AN56" s="85">
        <v>0</v>
      </c>
      <c r="AO56" s="69">
        <f>AN56*2500</f>
        <v>0</v>
      </c>
      <c r="AP56" s="85">
        <v>0</v>
      </c>
      <c r="AQ56" s="69">
        <f>AP56*2500</f>
        <v>0</v>
      </c>
      <c r="AR56" s="85">
        <v>0</v>
      </c>
      <c r="AS56" s="69">
        <f>AR56*2500</f>
        <v>0</v>
      </c>
      <c r="AT56" s="85">
        <v>0</v>
      </c>
      <c r="AU56" s="69">
        <f>AT56*2500</f>
        <v>0</v>
      </c>
      <c r="AV56" s="85">
        <v>0</v>
      </c>
      <c r="AW56" s="69">
        <f>AV56*2500</f>
        <v>0</v>
      </c>
      <c r="AX56" s="85">
        <v>0</v>
      </c>
      <c r="AY56" s="69">
        <f>AX56*2500</f>
        <v>0</v>
      </c>
      <c r="AZ56" s="85">
        <v>0</v>
      </c>
      <c r="BA56" s="69">
        <f>AZ56*2500</f>
        <v>0</v>
      </c>
      <c r="BB56" s="85">
        <v>0</v>
      </c>
      <c r="BC56" s="69">
        <f>BB56*2500</f>
        <v>0</v>
      </c>
      <c r="BD56" s="85">
        <v>0</v>
      </c>
      <c r="BE56" s="69">
        <f>BD56*2500</f>
        <v>0</v>
      </c>
      <c r="BF56" s="85">
        <v>0</v>
      </c>
      <c r="BG56" s="69">
        <f>BF56*2500</f>
        <v>0</v>
      </c>
      <c r="BH56" s="85">
        <v>0</v>
      </c>
      <c r="BI56" s="69">
        <f>BH56*2500</f>
        <v>0</v>
      </c>
      <c r="BJ56" s="85">
        <f t="shared" si="46"/>
        <v>0</v>
      </c>
      <c r="BK56" s="85">
        <f t="shared" si="46"/>
        <v>0</v>
      </c>
      <c r="BL56" s="333" t="s">
        <v>469</v>
      </c>
      <c r="BN56" s="113">
        <v>0</v>
      </c>
      <c r="BO56" s="113">
        <v>0</v>
      </c>
      <c r="BP56" s="113">
        <v>0</v>
      </c>
      <c r="BQ56" s="113">
        <v>0</v>
      </c>
      <c r="BR56" s="113">
        <f t="shared" si="61"/>
        <v>0</v>
      </c>
      <c r="BS56" s="113">
        <v>0</v>
      </c>
      <c r="BT56" s="113">
        <v>0</v>
      </c>
      <c r="BU56" s="113">
        <f t="shared" si="62"/>
        <v>0</v>
      </c>
      <c r="BV56" s="181">
        <f t="shared" si="1"/>
        <v>0</v>
      </c>
    </row>
    <row r="57" spans="1:979" ht="33.75" customHeight="1" x14ac:dyDescent="0.25">
      <c r="A57" s="855"/>
      <c r="B57" s="186"/>
      <c r="C57" s="169" t="s">
        <v>134</v>
      </c>
      <c r="D57" s="169" t="s">
        <v>17</v>
      </c>
      <c r="E57" s="169">
        <f>0.025*100000</f>
        <v>2500</v>
      </c>
      <c r="F57" s="69">
        <f t="shared" si="44"/>
        <v>0</v>
      </c>
      <c r="G57" s="69">
        <f t="shared" si="45"/>
        <v>0</v>
      </c>
      <c r="H57" s="69">
        <f t="shared" si="47"/>
        <v>0</v>
      </c>
      <c r="I57" s="69">
        <f t="shared" si="48"/>
        <v>0</v>
      </c>
      <c r="J57" s="69">
        <f t="shared" si="49"/>
        <v>0</v>
      </c>
      <c r="K57" s="69">
        <f t="shared" si="50"/>
        <v>0</v>
      </c>
      <c r="L57" s="69">
        <f t="shared" si="51"/>
        <v>0</v>
      </c>
      <c r="M57" s="69">
        <f t="shared" si="52"/>
        <v>0</v>
      </c>
      <c r="N57" s="69">
        <f t="shared" si="53"/>
        <v>0</v>
      </c>
      <c r="O57" s="69">
        <f t="shared" si="54"/>
        <v>0</v>
      </c>
      <c r="P57" s="69">
        <f t="shared" si="55"/>
        <v>0</v>
      </c>
      <c r="Q57" s="69">
        <f t="shared" si="56"/>
        <v>0</v>
      </c>
      <c r="R57" s="187"/>
      <c r="S57" s="187"/>
      <c r="T57" s="187"/>
      <c r="U57" s="187"/>
      <c r="V57" s="69">
        <f t="shared" si="57"/>
        <v>0</v>
      </c>
      <c r="W57" s="69">
        <f t="shared" si="58"/>
        <v>0</v>
      </c>
      <c r="X57" s="69">
        <f t="shared" si="59"/>
        <v>0</v>
      </c>
      <c r="Y57" s="69">
        <f t="shared" si="60"/>
        <v>0</v>
      </c>
      <c r="Z57" s="85">
        <v>0</v>
      </c>
      <c r="AA57" s="69">
        <f>Z57*2500</f>
        <v>0</v>
      </c>
      <c r="AB57" s="85">
        <v>0</v>
      </c>
      <c r="AC57" s="69">
        <f>AB57*2500</f>
        <v>0</v>
      </c>
      <c r="AD57" s="85">
        <v>0</v>
      </c>
      <c r="AE57" s="69">
        <f>AD57*2500</f>
        <v>0</v>
      </c>
      <c r="AF57" s="85">
        <v>0</v>
      </c>
      <c r="AG57" s="69">
        <f>AF57*2500</f>
        <v>0</v>
      </c>
      <c r="AH57" s="85">
        <v>0</v>
      </c>
      <c r="AI57" s="69">
        <f>AH57*2500</f>
        <v>0</v>
      </c>
      <c r="AJ57" s="85">
        <v>0</v>
      </c>
      <c r="AK57" s="69">
        <f>AJ57*2500</f>
        <v>0</v>
      </c>
      <c r="AL57" s="85">
        <v>0</v>
      </c>
      <c r="AM57" s="69">
        <f>AL57*2500</f>
        <v>0</v>
      </c>
      <c r="AN57" s="85">
        <v>0</v>
      </c>
      <c r="AO57" s="69">
        <f>AN57*2500</f>
        <v>0</v>
      </c>
      <c r="AP57" s="85">
        <v>0</v>
      </c>
      <c r="AQ57" s="69">
        <f>AP57*2500</f>
        <v>0</v>
      </c>
      <c r="AR57" s="85">
        <v>0</v>
      </c>
      <c r="AS57" s="69">
        <f>AR57*2500</f>
        <v>0</v>
      </c>
      <c r="AT57" s="85">
        <v>0</v>
      </c>
      <c r="AU57" s="69">
        <f>AT57*2500</f>
        <v>0</v>
      </c>
      <c r="AV57" s="85">
        <v>0</v>
      </c>
      <c r="AW57" s="69">
        <f>AV57*2500</f>
        <v>0</v>
      </c>
      <c r="AX57" s="85">
        <v>0</v>
      </c>
      <c r="AY57" s="69">
        <f>AX57*2500</f>
        <v>0</v>
      </c>
      <c r="AZ57" s="85">
        <v>0</v>
      </c>
      <c r="BA57" s="69">
        <f>AZ57*2500</f>
        <v>0</v>
      </c>
      <c r="BB57" s="85">
        <v>0</v>
      </c>
      <c r="BC57" s="69">
        <f>BB57*2500</f>
        <v>0</v>
      </c>
      <c r="BD57" s="85">
        <v>0</v>
      </c>
      <c r="BE57" s="69">
        <f>BD57*2500</f>
        <v>0</v>
      </c>
      <c r="BF57" s="85">
        <v>0</v>
      </c>
      <c r="BG57" s="69">
        <f>BF57*2500</f>
        <v>0</v>
      </c>
      <c r="BH57" s="85">
        <v>0</v>
      </c>
      <c r="BI57" s="69">
        <f>BH57*2500</f>
        <v>0</v>
      </c>
      <c r="BJ57" s="85">
        <f t="shared" si="46"/>
        <v>0</v>
      </c>
      <c r="BK57" s="85">
        <f t="shared" si="46"/>
        <v>0</v>
      </c>
      <c r="BL57" s="333" t="s">
        <v>469</v>
      </c>
      <c r="BN57" s="113">
        <v>0</v>
      </c>
      <c r="BO57" s="113">
        <v>0</v>
      </c>
      <c r="BP57" s="113">
        <v>0</v>
      </c>
      <c r="BQ57" s="113">
        <v>0</v>
      </c>
      <c r="BR57" s="113">
        <f t="shared" si="61"/>
        <v>0</v>
      </c>
      <c r="BS57" s="113">
        <v>0</v>
      </c>
      <c r="BT57" s="113">
        <v>0</v>
      </c>
      <c r="BU57" s="113">
        <f t="shared" si="62"/>
        <v>0</v>
      </c>
      <c r="BV57" s="181">
        <f t="shared" si="1"/>
        <v>0</v>
      </c>
    </row>
    <row r="58" spans="1:979" ht="24" customHeight="1" x14ac:dyDescent="0.25">
      <c r="A58" s="855"/>
      <c r="B58" s="186"/>
      <c r="C58" s="169" t="s">
        <v>135</v>
      </c>
      <c r="D58" s="169" t="s">
        <v>17</v>
      </c>
      <c r="E58" s="169">
        <f>0.03*100000</f>
        <v>3000</v>
      </c>
      <c r="F58" s="69">
        <f t="shared" si="44"/>
        <v>0</v>
      </c>
      <c r="G58" s="69">
        <f t="shared" si="45"/>
        <v>0</v>
      </c>
      <c r="H58" s="69">
        <f t="shared" si="47"/>
        <v>0</v>
      </c>
      <c r="I58" s="69">
        <f t="shared" si="48"/>
        <v>0</v>
      </c>
      <c r="J58" s="69">
        <f t="shared" si="49"/>
        <v>0</v>
      </c>
      <c r="K58" s="69">
        <f t="shared" si="50"/>
        <v>0</v>
      </c>
      <c r="L58" s="69">
        <f t="shared" si="51"/>
        <v>0</v>
      </c>
      <c r="M58" s="69">
        <f t="shared" si="52"/>
        <v>0</v>
      </c>
      <c r="N58" s="69">
        <f t="shared" si="53"/>
        <v>0</v>
      </c>
      <c r="O58" s="69">
        <f t="shared" si="54"/>
        <v>0</v>
      </c>
      <c r="P58" s="69">
        <f t="shared" si="55"/>
        <v>0</v>
      </c>
      <c r="Q58" s="69">
        <f t="shared" si="56"/>
        <v>0</v>
      </c>
      <c r="R58" s="187"/>
      <c r="S58" s="187"/>
      <c r="T58" s="187"/>
      <c r="U58" s="187"/>
      <c r="V58" s="69">
        <f t="shared" si="57"/>
        <v>0</v>
      </c>
      <c r="W58" s="69">
        <f t="shared" si="58"/>
        <v>0</v>
      </c>
      <c r="X58" s="69">
        <f t="shared" si="59"/>
        <v>0</v>
      </c>
      <c r="Y58" s="69">
        <f t="shared" si="60"/>
        <v>0</v>
      </c>
      <c r="Z58" s="85">
        <v>0</v>
      </c>
      <c r="AA58" s="69">
        <f>Z58*3000</f>
        <v>0</v>
      </c>
      <c r="AB58" s="85">
        <v>0</v>
      </c>
      <c r="AC58" s="69">
        <f>AB58*3000</f>
        <v>0</v>
      </c>
      <c r="AD58" s="85">
        <v>0</v>
      </c>
      <c r="AE58" s="69">
        <f>AD58*3000</f>
        <v>0</v>
      </c>
      <c r="AF58" s="85">
        <v>0</v>
      </c>
      <c r="AG58" s="69">
        <f>AF58*3000</f>
        <v>0</v>
      </c>
      <c r="AH58" s="85">
        <v>0</v>
      </c>
      <c r="AI58" s="69">
        <f>AH58*3000</f>
        <v>0</v>
      </c>
      <c r="AJ58" s="85">
        <v>0</v>
      </c>
      <c r="AK58" s="69">
        <f>AJ58*3000</f>
        <v>0</v>
      </c>
      <c r="AL58" s="85">
        <v>0</v>
      </c>
      <c r="AM58" s="69">
        <f>AL58*3000</f>
        <v>0</v>
      </c>
      <c r="AN58" s="85">
        <v>0</v>
      </c>
      <c r="AO58" s="69">
        <f>AN58*3000</f>
        <v>0</v>
      </c>
      <c r="AP58" s="85">
        <v>0</v>
      </c>
      <c r="AQ58" s="69">
        <f>AP58*3000</f>
        <v>0</v>
      </c>
      <c r="AR58" s="85">
        <v>0</v>
      </c>
      <c r="AS58" s="69">
        <f>AR58*3000</f>
        <v>0</v>
      </c>
      <c r="AT58" s="85">
        <v>0</v>
      </c>
      <c r="AU58" s="69">
        <f>AT58*3000</f>
        <v>0</v>
      </c>
      <c r="AV58" s="85">
        <v>0</v>
      </c>
      <c r="AW58" s="69">
        <f>AV58*3000</f>
        <v>0</v>
      </c>
      <c r="AX58" s="85">
        <v>0</v>
      </c>
      <c r="AY58" s="69">
        <f>AX58*3000</f>
        <v>0</v>
      </c>
      <c r="AZ58" s="85">
        <v>0</v>
      </c>
      <c r="BA58" s="69">
        <f>AZ58*3000</f>
        <v>0</v>
      </c>
      <c r="BB58" s="85">
        <v>0</v>
      </c>
      <c r="BC58" s="69">
        <f>BB58*3000</f>
        <v>0</v>
      </c>
      <c r="BD58" s="85">
        <v>0</v>
      </c>
      <c r="BE58" s="69">
        <f>BD58*3000</f>
        <v>0</v>
      </c>
      <c r="BF58" s="85">
        <v>0</v>
      </c>
      <c r="BG58" s="69">
        <f>BF58*3000</f>
        <v>0</v>
      </c>
      <c r="BH58" s="85">
        <v>0</v>
      </c>
      <c r="BI58" s="69">
        <f>BH58*3000</f>
        <v>0</v>
      </c>
      <c r="BJ58" s="85">
        <f t="shared" si="46"/>
        <v>0</v>
      </c>
      <c r="BK58" s="85">
        <f t="shared" si="46"/>
        <v>0</v>
      </c>
      <c r="BL58" s="333" t="s">
        <v>469</v>
      </c>
      <c r="BN58" s="113">
        <v>0</v>
      </c>
      <c r="BO58" s="113">
        <v>0</v>
      </c>
      <c r="BP58" s="113">
        <v>0</v>
      </c>
      <c r="BQ58" s="113">
        <v>0</v>
      </c>
      <c r="BR58" s="113">
        <f t="shared" si="61"/>
        <v>0</v>
      </c>
      <c r="BS58" s="113">
        <v>0</v>
      </c>
      <c r="BT58" s="113">
        <v>0</v>
      </c>
      <c r="BU58" s="113">
        <f t="shared" si="62"/>
        <v>0</v>
      </c>
      <c r="BV58" s="181">
        <f t="shared" si="1"/>
        <v>0</v>
      </c>
    </row>
    <row r="59" spans="1:979" ht="30.75" customHeight="1" x14ac:dyDescent="0.25">
      <c r="A59" s="855"/>
      <c r="B59" s="186"/>
      <c r="C59" s="169" t="s">
        <v>136</v>
      </c>
      <c r="D59" s="169" t="s">
        <v>17</v>
      </c>
      <c r="E59" s="169">
        <f>0.03*100000</f>
        <v>3000</v>
      </c>
      <c r="F59" s="69">
        <f t="shared" si="44"/>
        <v>0</v>
      </c>
      <c r="G59" s="69">
        <f t="shared" si="45"/>
        <v>0</v>
      </c>
      <c r="H59" s="69">
        <f t="shared" si="47"/>
        <v>0</v>
      </c>
      <c r="I59" s="69">
        <f t="shared" si="48"/>
        <v>0</v>
      </c>
      <c r="J59" s="69">
        <f t="shared" si="49"/>
        <v>0</v>
      </c>
      <c r="K59" s="69">
        <f t="shared" si="50"/>
        <v>0</v>
      </c>
      <c r="L59" s="69">
        <f t="shared" si="51"/>
        <v>0</v>
      </c>
      <c r="M59" s="69">
        <f t="shared" si="52"/>
        <v>0</v>
      </c>
      <c r="N59" s="69">
        <f t="shared" si="53"/>
        <v>0</v>
      </c>
      <c r="O59" s="69">
        <f t="shared" si="54"/>
        <v>0</v>
      </c>
      <c r="P59" s="69">
        <f t="shared" si="55"/>
        <v>0</v>
      </c>
      <c r="Q59" s="69">
        <f t="shared" si="56"/>
        <v>0</v>
      </c>
      <c r="R59" s="187"/>
      <c r="S59" s="187"/>
      <c r="T59" s="187"/>
      <c r="U59" s="187"/>
      <c r="V59" s="69">
        <f t="shared" si="57"/>
        <v>0</v>
      </c>
      <c r="W59" s="69">
        <f t="shared" si="58"/>
        <v>0</v>
      </c>
      <c r="X59" s="69">
        <f t="shared" si="59"/>
        <v>0</v>
      </c>
      <c r="Y59" s="69">
        <f t="shared" si="60"/>
        <v>0</v>
      </c>
      <c r="Z59" s="85">
        <v>0</v>
      </c>
      <c r="AA59" s="69">
        <f>Z59*3000</f>
        <v>0</v>
      </c>
      <c r="AB59" s="85">
        <v>0</v>
      </c>
      <c r="AC59" s="69">
        <f>AB59*3000</f>
        <v>0</v>
      </c>
      <c r="AD59" s="85">
        <v>0</v>
      </c>
      <c r="AE59" s="69">
        <f>AD59*3000</f>
        <v>0</v>
      </c>
      <c r="AF59" s="85">
        <v>0</v>
      </c>
      <c r="AG59" s="69">
        <f>AF59*3000</f>
        <v>0</v>
      </c>
      <c r="AH59" s="85">
        <v>0</v>
      </c>
      <c r="AI59" s="69">
        <f>AH59*3000</f>
        <v>0</v>
      </c>
      <c r="AJ59" s="85">
        <v>0</v>
      </c>
      <c r="AK59" s="69">
        <f>AJ59*3000</f>
        <v>0</v>
      </c>
      <c r="AL59" s="85">
        <v>0</v>
      </c>
      <c r="AM59" s="69">
        <f>AL59*3000</f>
        <v>0</v>
      </c>
      <c r="AN59" s="85">
        <v>0</v>
      </c>
      <c r="AO59" s="69">
        <f>AN59*3000</f>
        <v>0</v>
      </c>
      <c r="AP59" s="85">
        <v>0</v>
      </c>
      <c r="AQ59" s="69">
        <f>AP59*3000</f>
        <v>0</v>
      </c>
      <c r="AR59" s="85">
        <v>0</v>
      </c>
      <c r="AS59" s="69">
        <f>AR59*3000</f>
        <v>0</v>
      </c>
      <c r="AT59" s="85">
        <v>0</v>
      </c>
      <c r="AU59" s="69">
        <f>AT59*3000</f>
        <v>0</v>
      </c>
      <c r="AV59" s="85">
        <v>0</v>
      </c>
      <c r="AW59" s="69">
        <f>AV59*3000</f>
        <v>0</v>
      </c>
      <c r="AX59" s="85">
        <v>0</v>
      </c>
      <c r="AY59" s="69">
        <f>AX59*3000</f>
        <v>0</v>
      </c>
      <c r="AZ59" s="85">
        <v>0</v>
      </c>
      <c r="BA59" s="69">
        <f>AZ59*3000</f>
        <v>0</v>
      </c>
      <c r="BB59" s="85">
        <v>0</v>
      </c>
      <c r="BC59" s="69">
        <f>BB59*3000</f>
        <v>0</v>
      </c>
      <c r="BD59" s="85">
        <v>0</v>
      </c>
      <c r="BE59" s="69">
        <f>BD59*3000</f>
        <v>0</v>
      </c>
      <c r="BF59" s="85">
        <v>0</v>
      </c>
      <c r="BG59" s="69">
        <f>BF59*3000</f>
        <v>0</v>
      </c>
      <c r="BH59" s="85">
        <v>0</v>
      </c>
      <c r="BI59" s="69">
        <f>BH59*3000</f>
        <v>0</v>
      </c>
      <c r="BJ59" s="85">
        <f t="shared" si="46"/>
        <v>0</v>
      </c>
      <c r="BK59" s="85">
        <f t="shared" si="46"/>
        <v>0</v>
      </c>
      <c r="BL59" s="333" t="s">
        <v>469</v>
      </c>
      <c r="BN59" s="113">
        <v>0</v>
      </c>
      <c r="BO59" s="113">
        <v>0</v>
      </c>
      <c r="BP59" s="113">
        <v>0</v>
      </c>
      <c r="BQ59" s="113">
        <v>0</v>
      </c>
      <c r="BR59" s="113">
        <f t="shared" si="61"/>
        <v>0</v>
      </c>
      <c r="BS59" s="113">
        <v>0</v>
      </c>
      <c r="BT59" s="113">
        <v>0</v>
      </c>
      <c r="BU59" s="113">
        <f t="shared" si="62"/>
        <v>0</v>
      </c>
      <c r="BV59" s="181">
        <f t="shared" si="1"/>
        <v>0</v>
      </c>
    </row>
    <row r="60" spans="1:979" ht="24" customHeight="1" x14ac:dyDescent="0.25">
      <c r="A60" s="855"/>
      <c r="B60" s="186"/>
      <c r="C60" s="169" t="s">
        <v>137</v>
      </c>
      <c r="D60" s="169" t="s">
        <v>44</v>
      </c>
      <c r="E60" s="169">
        <f>0.5*100000</f>
        <v>50000</v>
      </c>
      <c r="F60" s="69">
        <f t="shared" si="44"/>
        <v>0</v>
      </c>
      <c r="G60" s="69">
        <f t="shared" si="45"/>
        <v>0</v>
      </c>
      <c r="H60" s="69">
        <f t="shared" si="47"/>
        <v>0</v>
      </c>
      <c r="I60" s="69">
        <f t="shared" si="48"/>
        <v>0</v>
      </c>
      <c r="J60" s="69">
        <f t="shared" si="49"/>
        <v>0</v>
      </c>
      <c r="K60" s="69">
        <f t="shared" si="50"/>
        <v>0</v>
      </c>
      <c r="L60" s="69">
        <f t="shared" si="51"/>
        <v>0</v>
      </c>
      <c r="M60" s="69">
        <f t="shared" si="52"/>
        <v>0</v>
      </c>
      <c r="N60" s="69">
        <f t="shared" si="53"/>
        <v>0</v>
      </c>
      <c r="O60" s="69">
        <f t="shared" si="54"/>
        <v>0</v>
      </c>
      <c r="P60" s="69">
        <f t="shared" si="55"/>
        <v>0</v>
      </c>
      <c r="Q60" s="69">
        <f t="shared" si="56"/>
        <v>0</v>
      </c>
      <c r="R60" s="187"/>
      <c r="S60" s="187"/>
      <c r="T60" s="187"/>
      <c r="U60" s="187"/>
      <c r="V60" s="69">
        <f t="shared" si="57"/>
        <v>0</v>
      </c>
      <c r="W60" s="69">
        <f t="shared" si="58"/>
        <v>0</v>
      </c>
      <c r="X60" s="69">
        <f t="shared" si="59"/>
        <v>0</v>
      </c>
      <c r="Y60" s="69">
        <f t="shared" si="60"/>
        <v>0</v>
      </c>
      <c r="Z60" s="85">
        <v>0</v>
      </c>
      <c r="AA60" s="69">
        <f>Z60*50000</f>
        <v>0</v>
      </c>
      <c r="AB60" s="85">
        <v>0</v>
      </c>
      <c r="AC60" s="69">
        <f>AB60*50000</f>
        <v>0</v>
      </c>
      <c r="AD60" s="85">
        <v>0</v>
      </c>
      <c r="AE60" s="69">
        <f>AD60*50000</f>
        <v>0</v>
      </c>
      <c r="AF60" s="85">
        <v>0</v>
      </c>
      <c r="AG60" s="69">
        <f>AF60*50000</f>
        <v>0</v>
      </c>
      <c r="AH60" s="85">
        <v>0</v>
      </c>
      <c r="AI60" s="69">
        <f>AH60*50000</f>
        <v>0</v>
      </c>
      <c r="AJ60" s="85">
        <v>0</v>
      </c>
      <c r="AK60" s="69">
        <f>AJ60*50000</f>
        <v>0</v>
      </c>
      <c r="AL60" s="85">
        <v>0</v>
      </c>
      <c r="AM60" s="69">
        <f>AL60*50000</f>
        <v>0</v>
      </c>
      <c r="AN60" s="85">
        <v>0</v>
      </c>
      <c r="AO60" s="69">
        <f>AN60*50000</f>
        <v>0</v>
      </c>
      <c r="AP60" s="85">
        <v>0</v>
      </c>
      <c r="AQ60" s="69">
        <f>AP60*50000</f>
        <v>0</v>
      </c>
      <c r="AR60" s="85">
        <v>0</v>
      </c>
      <c r="AS60" s="69">
        <f>AR60*50000</f>
        <v>0</v>
      </c>
      <c r="AT60" s="85">
        <v>0</v>
      </c>
      <c r="AU60" s="69">
        <f>AT60*50000</f>
        <v>0</v>
      </c>
      <c r="AV60" s="85">
        <v>0</v>
      </c>
      <c r="AW60" s="69">
        <f>AV60*50000</f>
        <v>0</v>
      </c>
      <c r="AX60" s="85">
        <v>0</v>
      </c>
      <c r="AY60" s="69">
        <f>AX60*50000</f>
        <v>0</v>
      </c>
      <c r="AZ60" s="85">
        <v>0</v>
      </c>
      <c r="BA60" s="69">
        <f>AZ60*50000</f>
        <v>0</v>
      </c>
      <c r="BB60" s="85">
        <v>0</v>
      </c>
      <c r="BC60" s="69">
        <f>BB60*50000</f>
        <v>0</v>
      </c>
      <c r="BD60" s="85">
        <v>0</v>
      </c>
      <c r="BE60" s="69">
        <f>BD60*50000</f>
        <v>0</v>
      </c>
      <c r="BF60" s="85">
        <v>0</v>
      </c>
      <c r="BG60" s="69">
        <f>BF60*50000</f>
        <v>0</v>
      </c>
      <c r="BH60" s="85">
        <v>0</v>
      </c>
      <c r="BI60" s="69">
        <f>BH60*50000</f>
        <v>0</v>
      </c>
      <c r="BJ60" s="85">
        <f t="shared" si="46"/>
        <v>0</v>
      </c>
      <c r="BK60" s="85">
        <f t="shared" si="46"/>
        <v>0</v>
      </c>
      <c r="BL60" s="333" t="s">
        <v>469</v>
      </c>
      <c r="BN60" s="113">
        <v>0</v>
      </c>
      <c r="BO60" s="113">
        <v>0</v>
      </c>
      <c r="BP60" s="113">
        <v>0</v>
      </c>
      <c r="BQ60" s="113">
        <v>0</v>
      </c>
      <c r="BR60" s="113">
        <f t="shared" si="61"/>
        <v>0</v>
      </c>
      <c r="BS60" s="113">
        <v>0</v>
      </c>
      <c r="BT60" s="113">
        <v>0</v>
      </c>
      <c r="BU60" s="113">
        <f t="shared" si="62"/>
        <v>0</v>
      </c>
      <c r="BV60" s="181">
        <f t="shared" si="1"/>
        <v>0</v>
      </c>
    </row>
    <row r="61" spans="1:979" ht="24" customHeight="1" x14ac:dyDescent="0.25">
      <c r="A61" s="855"/>
      <c r="B61" s="579"/>
      <c r="C61" s="580"/>
      <c r="D61" s="140"/>
      <c r="E61" s="140"/>
      <c r="F61" s="140">
        <f>SUM(F52:F60)</f>
        <v>0</v>
      </c>
      <c r="G61" s="140">
        <f t="shared" ref="G61:BK61" si="63">SUM(G52:G60)</f>
        <v>0</v>
      </c>
      <c r="H61" s="140">
        <f t="shared" si="63"/>
        <v>0</v>
      </c>
      <c r="I61" s="140">
        <f t="shared" si="63"/>
        <v>0</v>
      </c>
      <c r="J61" s="140">
        <f t="shared" si="63"/>
        <v>0</v>
      </c>
      <c r="K61" s="140">
        <f t="shared" si="63"/>
        <v>0</v>
      </c>
      <c r="L61" s="140">
        <f t="shared" si="63"/>
        <v>0</v>
      </c>
      <c r="M61" s="140">
        <f t="shared" si="63"/>
        <v>0</v>
      </c>
      <c r="N61" s="140">
        <f t="shared" si="63"/>
        <v>0</v>
      </c>
      <c r="O61" s="140">
        <f t="shared" si="63"/>
        <v>0</v>
      </c>
      <c r="P61" s="140">
        <f t="shared" si="63"/>
        <v>0</v>
      </c>
      <c r="Q61" s="140">
        <f t="shared" si="63"/>
        <v>0</v>
      </c>
      <c r="R61" s="479">
        <f t="shared" si="63"/>
        <v>0</v>
      </c>
      <c r="S61" s="479">
        <f t="shared" si="63"/>
        <v>0</v>
      </c>
      <c r="T61" s="479">
        <f t="shared" si="63"/>
        <v>0</v>
      </c>
      <c r="U61" s="479">
        <f t="shared" si="63"/>
        <v>0</v>
      </c>
      <c r="V61" s="140">
        <f t="shared" si="63"/>
        <v>0</v>
      </c>
      <c r="W61" s="140">
        <f t="shared" si="63"/>
        <v>0</v>
      </c>
      <c r="X61" s="140">
        <f t="shared" si="63"/>
        <v>0</v>
      </c>
      <c r="Y61" s="140">
        <f t="shared" si="63"/>
        <v>0</v>
      </c>
      <c r="Z61" s="140">
        <f t="shared" si="63"/>
        <v>0</v>
      </c>
      <c r="AA61" s="140">
        <f t="shared" si="63"/>
        <v>0</v>
      </c>
      <c r="AB61" s="140">
        <f t="shared" si="63"/>
        <v>0</v>
      </c>
      <c r="AC61" s="140">
        <f t="shared" si="63"/>
        <v>0</v>
      </c>
      <c r="AD61" s="140">
        <f t="shared" si="63"/>
        <v>0</v>
      </c>
      <c r="AE61" s="140">
        <f t="shared" si="63"/>
        <v>0</v>
      </c>
      <c r="AF61" s="140">
        <f t="shared" si="63"/>
        <v>0</v>
      </c>
      <c r="AG61" s="140">
        <f t="shared" si="63"/>
        <v>0</v>
      </c>
      <c r="AH61" s="140">
        <f t="shared" si="63"/>
        <v>0</v>
      </c>
      <c r="AI61" s="140">
        <f t="shared" si="63"/>
        <v>0</v>
      </c>
      <c r="AJ61" s="140">
        <f t="shared" si="63"/>
        <v>0</v>
      </c>
      <c r="AK61" s="140">
        <f t="shared" si="63"/>
        <v>0</v>
      </c>
      <c r="AL61" s="140">
        <f t="shared" si="63"/>
        <v>0</v>
      </c>
      <c r="AM61" s="140">
        <f t="shared" si="63"/>
        <v>0</v>
      </c>
      <c r="AN61" s="140">
        <f t="shared" si="63"/>
        <v>0</v>
      </c>
      <c r="AO61" s="140">
        <f t="shared" si="63"/>
        <v>0</v>
      </c>
      <c r="AP61" s="140">
        <f t="shared" si="63"/>
        <v>0</v>
      </c>
      <c r="AQ61" s="140">
        <f t="shared" si="63"/>
        <v>0</v>
      </c>
      <c r="AR61" s="140">
        <f t="shared" si="63"/>
        <v>0</v>
      </c>
      <c r="AS61" s="140">
        <f t="shared" si="63"/>
        <v>0</v>
      </c>
      <c r="AT61" s="140">
        <f t="shared" si="63"/>
        <v>0</v>
      </c>
      <c r="AU61" s="140">
        <f t="shared" si="63"/>
        <v>0</v>
      </c>
      <c r="AV61" s="140">
        <f t="shared" si="63"/>
        <v>0</v>
      </c>
      <c r="AW61" s="140">
        <f t="shared" si="63"/>
        <v>0</v>
      </c>
      <c r="AX61" s="140">
        <f t="shared" si="63"/>
        <v>0</v>
      </c>
      <c r="AY61" s="140">
        <f t="shared" si="63"/>
        <v>0</v>
      </c>
      <c r="AZ61" s="140">
        <f t="shared" si="63"/>
        <v>0</v>
      </c>
      <c r="BA61" s="140">
        <f t="shared" si="63"/>
        <v>0</v>
      </c>
      <c r="BB61" s="140">
        <f t="shared" si="63"/>
        <v>0</v>
      </c>
      <c r="BC61" s="140">
        <f t="shared" si="63"/>
        <v>0</v>
      </c>
      <c r="BD61" s="140">
        <f t="shared" si="63"/>
        <v>0</v>
      </c>
      <c r="BE61" s="140">
        <f t="shared" si="63"/>
        <v>0</v>
      </c>
      <c r="BF61" s="140">
        <f t="shared" si="63"/>
        <v>0</v>
      </c>
      <c r="BG61" s="140">
        <f t="shared" si="63"/>
        <v>0</v>
      </c>
      <c r="BH61" s="140">
        <f t="shared" si="63"/>
        <v>0</v>
      </c>
      <c r="BI61" s="140">
        <f t="shared" si="63"/>
        <v>0</v>
      </c>
      <c r="BJ61" s="140">
        <f t="shared" si="63"/>
        <v>0</v>
      </c>
      <c r="BK61" s="140">
        <f t="shared" si="63"/>
        <v>0</v>
      </c>
      <c r="BL61" s="47"/>
      <c r="BN61" s="140">
        <f t="shared" ref="BN61:BU61" si="64">SUM(BN52:BN60)</f>
        <v>0</v>
      </c>
      <c r="BO61" s="140">
        <f t="shared" si="64"/>
        <v>0</v>
      </c>
      <c r="BP61" s="140">
        <f t="shared" si="64"/>
        <v>0</v>
      </c>
      <c r="BQ61" s="140">
        <f t="shared" si="64"/>
        <v>0</v>
      </c>
      <c r="BR61" s="140">
        <f t="shared" si="64"/>
        <v>0</v>
      </c>
      <c r="BS61" s="140">
        <f t="shared" si="64"/>
        <v>0</v>
      </c>
      <c r="BT61" s="140">
        <f t="shared" si="64"/>
        <v>0</v>
      </c>
      <c r="BU61" s="140">
        <f t="shared" si="64"/>
        <v>0</v>
      </c>
      <c r="BV61" s="485">
        <f t="shared" si="1"/>
        <v>0</v>
      </c>
    </row>
    <row r="62" spans="1:979" s="67" customFormat="1" ht="24" customHeight="1" x14ac:dyDescent="0.25">
      <c r="A62" s="855"/>
      <c r="B62" s="182"/>
      <c r="C62" s="183"/>
      <c r="D62" s="183"/>
      <c r="E62" s="184"/>
      <c r="F62" s="184">
        <f t="shared" ref="F62:BL62" si="65">F61+F50+F43</f>
        <v>4937</v>
      </c>
      <c r="G62" s="184">
        <f t="shared" si="65"/>
        <v>25154000</v>
      </c>
      <c r="H62" s="188">
        <f t="shared" si="65"/>
        <v>580800</v>
      </c>
      <c r="I62" s="188">
        <f t="shared" si="65"/>
        <v>24573200</v>
      </c>
      <c r="J62" s="188">
        <f t="shared" si="65"/>
        <v>0</v>
      </c>
      <c r="K62" s="188">
        <f t="shared" si="65"/>
        <v>0</v>
      </c>
      <c r="L62" s="188">
        <f t="shared" si="65"/>
        <v>0</v>
      </c>
      <c r="M62" s="188">
        <f t="shared" si="65"/>
        <v>0</v>
      </c>
      <c r="N62" s="188">
        <f t="shared" si="65"/>
        <v>0</v>
      </c>
      <c r="O62" s="188">
        <f t="shared" si="65"/>
        <v>0</v>
      </c>
      <c r="P62" s="188">
        <f t="shared" si="65"/>
        <v>0</v>
      </c>
      <c r="Q62" s="188">
        <f t="shared" si="65"/>
        <v>0</v>
      </c>
      <c r="R62" s="189">
        <f t="shared" si="65"/>
        <v>2602</v>
      </c>
      <c r="S62" s="189">
        <f t="shared" si="65"/>
        <v>1500</v>
      </c>
      <c r="T62" s="189">
        <f t="shared" si="65"/>
        <v>1325</v>
      </c>
      <c r="U62" s="189">
        <f t="shared" si="65"/>
        <v>660</v>
      </c>
      <c r="V62" s="188">
        <f t="shared" si="65"/>
        <v>22319000</v>
      </c>
      <c r="W62" s="188">
        <f t="shared" si="65"/>
        <v>9000000</v>
      </c>
      <c r="X62" s="188">
        <f t="shared" si="65"/>
        <v>8825000</v>
      </c>
      <c r="Y62" s="188">
        <f t="shared" si="65"/>
        <v>2260000</v>
      </c>
      <c r="Z62" s="188">
        <f t="shared" si="65"/>
        <v>272</v>
      </c>
      <c r="AA62" s="188">
        <f t="shared" si="65"/>
        <v>1352000</v>
      </c>
      <c r="AB62" s="188">
        <f t="shared" si="65"/>
        <v>259</v>
      </c>
      <c r="AC62" s="188">
        <f t="shared" si="65"/>
        <v>1339000</v>
      </c>
      <c r="AD62" s="188">
        <f t="shared" si="65"/>
        <v>272</v>
      </c>
      <c r="AE62" s="188">
        <f t="shared" si="65"/>
        <v>1352000</v>
      </c>
      <c r="AF62" s="188">
        <f t="shared" si="65"/>
        <v>275</v>
      </c>
      <c r="AG62" s="188">
        <f t="shared" si="65"/>
        <v>1215000</v>
      </c>
      <c r="AH62" s="188">
        <f t="shared" si="65"/>
        <v>246</v>
      </c>
      <c r="AI62" s="188">
        <f t="shared" si="65"/>
        <v>1326000</v>
      </c>
      <c r="AJ62" s="188">
        <f t="shared" si="65"/>
        <v>267</v>
      </c>
      <c r="AK62" s="188">
        <f t="shared" si="65"/>
        <v>1277000</v>
      </c>
      <c r="AL62" s="188">
        <f t="shared" si="65"/>
        <v>285</v>
      </c>
      <c r="AM62" s="188">
        <f t="shared" si="65"/>
        <v>1365000</v>
      </c>
      <c r="AN62" s="188">
        <f t="shared" si="65"/>
        <v>354</v>
      </c>
      <c r="AO62" s="188">
        <f t="shared" si="65"/>
        <v>1854000</v>
      </c>
      <c r="AP62" s="188">
        <f t="shared" si="65"/>
        <v>236</v>
      </c>
      <c r="AQ62" s="188">
        <f t="shared" si="65"/>
        <v>1176000</v>
      </c>
      <c r="AR62" s="188">
        <f t="shared" si="65"/>
        <v>249</v>
      </c>
      <c r="AS62" s="188">
        <f t="shared" si="65"/>
        <v>1189000</v>
      </c>
      <c r="AT62" s="188">
        <f t="shared" si="65"/>
        <v>288</v>
      </c>
      <c r="AU62" s="188">
        <f t="shared" si="65"/>
        <v>1228000</v>
      </c>
      <c r="AV62" s="188">
        <f t="shared" si="65"/>
        <v>275</v>
      </c>
      <c r="AW62" s="188">
        <f t="shared" si="65"/>
        <v>1215000</v>
      </c>
      <c r="AX62" s="188">
        <f t="shared" si="65"/>
        <v>327</v>
      </c>
      <c r="AY62" s="188">
        <f t="shared" si="65"/>
        <v>1267000</v>
      </c>
      <c r="AZ62" s="188">
        <f t="shared" si="65"/>
        <v>327</v>
      </c>
      <c r="BA62" s="188">
        <f t="shared" si="65"/>
        <v>1267000</v>
      </c>
      <c r="BB62" s="188">
        <f t="shared" si="65"/>
        <v>254</v>
      </c>
      <c r="BC62" s="188">
        <f t="shared" si="65"/>
        <v>1264000</v>
      </c>
      <c r="BD62" s="188">
        <f t="shared" si="65"/>
        <v>286</v>
      </c>
      <c r="BE62" s="188">
        <f t="shared" si="65"/>
        <v>1106000</v>
      </c>
      <c r="BF62" s="188">
        <f t="shared" si="65"/>
        <v>448</v>
      </c>
      <c r="BG62" s="188">
        <f t="shared" si="65"/>
        <v>2628000</v>
      </c>
      <c r="BH62" s="188">
        <f t="shared" si="65"/>
        <v>17</v>
      </c>
      <c r="BI62" s="188">
        <f t="shared" si="65"/>
        <v>1734000</v>
      </c>
      <c r="BJ62" s="188">
        <f t="shared" si="65"/>
        <v>4937</v>
      </c>
      <c r="BK62" s="188">
        <f t="shared" si="65"/>
        <v>25154000</v>
      </c>
      <c r="BL62" s="184">
        <f t="shared" si="65"/>
        <v>0</v>
      </c>
      <c r="BM62" s="301"/>
      <c r="BN62" s="184">
        <f t="shared" ref="BN62:BV62" si="66">BN61+BN50+BN43</f>
        <v>0</v>
      </c>
      <c r="BO62" s="184">
        <f t="shared" si="66"/>
        <v>1170000</v>
      </c>
      <c r="BP62" s="184">
        <f t="shared" si="66"/>
        <v>1734000</v>
      </c>
      <c r="BQ62" s="184">
        <f t="shared" si="66"/>
        <v>22250000</v>
      </c>
      <c r="BR62" s="184">
        <f t="shared" si="66"/>
        <v>25154000</v>
      </c>
      <c r="BS62" s="184">
        <f t="shared" si="66"/>
        <v>0</v>
      </c>
      <c r="BT62" s="184">
        <f t="shared" si="66"/>
        <v>0</v>
      </c>
      <c r="BU62" s="184">
        <f t="shared" si="66"/>
        <v>0</v>
      </c>
      <c r="BV62" s="184">
        <f t="shared" si="66"/>
        <v>25154000</v>
      </c>
    </row>
    <row r="63" spans="1:979" ht="24" customHeight="1" x14ac:dyDescent="0.25">
      <c r="A63" s="855"/>
      <c r="B63" s="454">
        <v>12400</v>
      </c>
      <c r="C63" s="578" t="s">
        <v>138</v>
      </c>
      <c r="D63" s="169"/>
      <c r="E63" s="1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87"/>
      <c r="S63" s="187"/>
      <c r="T63" s="187"/>
      <c r="U63" s="187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47"/>
      <c r="BN63" s="113"/>
      <c r="BO63" s="113"/>
      <c r="BP63" s="113"/>
      <c r="BQ63" s="113"/>
      <c r="BR63" s="113"/>
      <c r="BS63" s="113"/>
      <c r="BT63" s="113"/>
      <c r="BU63" s="113"/>
      <c r="BV63" s="181">
        <f t="shared" si="1"/>
        <v>0</v>
      </c>
    </row>
    <row r="64" spans="1:979" ht="24" customHeight="1" x14ac:dyDescent="0.25">
      <c r="A64" s="855"/>
      <c r="B64" s="454">
        <v>12410</v>
      </c>
      <c r="C64" s="169" t="s">
        <v>139</v>
      </c>
      <c r="D64" s="169"/>
      <c r="E64" s="1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187"/>
      <c r="S64" s="187"/>
      <c r="T64" s="187"/>
      <c r="U64" s="187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47"/>
      <c r="BN64" s="113">
        <v>0</v>
      </c>
      <c r="BO64" s="113">
        <v>0</v>
      </c>
      <c r="BP64" s="113">
        <v>0</v>
      </c>
      <c r="BQ64" s="113">
        <v>0</v>
      </c>
      <c r="BR64" s="113">
        <f>BN64+BO64+BP64+BQ64</f>
        <v>0</v>
      </c>
      <c r="BS64" s="113">
        <v>0</v>
      </c>
      <c r="BT64" s="113">
        <v>0</v>
      </c>
      <c r="BU64" s="113">
        <f>BS64+BT64</f>
        <v>0</v>
      </c>
      <c r="BV64" s="181">
        <f t="shared" si="1"/>
        <v>0</v>
      </c>
    </row>
    <row r="65" spans="1:979" ht="24" customHeight="1" x14ac:dyDescent="0.25">
      <c r="A65" s="855"/>
      <c r="B65" s="186"/>
      <c r="C65" s="169" t="s">
        <v>140</v>
      </c>
      <c r="D65" s="169" t="s">
        <v>17</v>
      </c>
      <c r="E65" s="169">
        <f>0.0025*100000</f>
        <v>250</v>
      </c>
      <c r="F65" s="69">
        <f t="shared" ref="F65:G68" si="67">BJ65</f>
        <v>1330</v>
      </c>
      <c r="G65" s="69">
        <f t="shared" si="67"/>
        <v>332500</v>
      </c>
      <c r="H65" s="69">
        <f>G65*0.2</f>
        <v>66500</v>
      </c>
      <c r="I65" s="69">
        <f>G65*0.8</f>
        <v>266000</v>
      </c>
      <c r="J65" s="69">
        <f>G65*0</f>
        <v>0</v>
      </c>
      <c r="K65" s="69">
        <f>G65*0</f>
        <v>0</v>
      </c>
      <c r="L65" s="69">
        <f>G65*0</f>
        <v>0</v>
      </c>
      <c r="M65" s="69">
        <f>G65*0</f>
        <v>0</v>
      </c>
      <c r="N65" s="69">
        <f>G65*0</f>
        <v>0</v>
      </c>
      <c r="O65" s="69">
        <f>G65*0</f>
        <v>0</v>
      </c>
      <c r="P65" s="69">
        <f>G65*0</f>
        <v>0</v>
      </c>
      <c r="Q65" s="69">
        <f>G65*0</f>
        <v>0</v>
      </c>
      <c r="R65" s="187">
        <f>F65*0.5</f>
        <v>665</v>
      </c>
      <c r="S65" s="187">
        <f>F65*0.25</f>
        <v>332.5</v>
      </c>
      <c r="T65" s="187">
        <f>F65*0.25</f>
        <v>332.5</v>
      </c>
      <c r="U65" s="47"/>
      <c r="V65" s="69">
        <f>R65*E65</f>
        <v>166250</v>
      </c>
      <c r="W65" s="69">
        <f>S65*E65</f>
        <v>83125</v>
      </c>
      <c r="X65" s="69">
        <f>T65*E65</f>
        <v>83125</v>
      </c>
      <c r="Y65" s="69">
        <f>U65*E65</f>
        <v>0</v>
      </c>
      <c r="Z65" s="85">
        <v>60</v>
      </c>
      <c r="AA65" s="69">
        <f>Z65*250</f>
        <v>15000</v>
      </c>
      <c r="AB65" s="85">
        <v>30</v>
      </c>
      <c r="AC65" s="69">
        <f>AB65*250</f>
        <v>7500</v>
      </c>
      <c r="AD65" s="85">
        <v>60</v>
      </c>
      <c r="AE65" s="69">
        <f>AD65*250</f>
        <v>15000</v>
      </c>
      <c r="AF65" s="85">
        <v>70</v>
      </c>
      <c r="AG65" s="69">
        <f>AF65*250</f>
        <v>17500</v>
      </c>
      <c r="AH65" s="85">
        <v>40</v>
      </c>
      <c r="AI65" s="69">
        <f>AH65*250</f>
        <v>10000</v>
      </c>
      <c r="AJ65" s="85">
        <v>30</v>
      </c>
      <c r="AK65" s="69">
        <f>AJ65*250</f>
        <v>7500</v>
      </c>
      <c r="AL65" s="85">
        <v>70</v>
      </c>
      <c r="AM65" s="69">
        <f>AL65*250</f>
        <v>17500</v>
      </c>
      <c r="AN65" s="85">
        <v>90</v>
      </c>
      <c r="AO65" s="69">
        <f>AN65*250</f>
        <v>22500</v>
      </c>
      <c r="AP65" s="85">
        <v>30</v>
      </c>
      <c r="AQ65" s="69">
        <f>AP65*250</f>
        <v>7500</v>
      </c>
      <c r="AR65" s="85">
        <v>60</v>
      </c>
      <c r="AS65" s="69">
        <f>AR65*250</f>
        <v>15000</v>
      </c>
      <c r="AT65" s="85">
        <v>70</v>
      </c>
      <c r="AU65" s="69">
        <f>AT65*250</f>
        <v>17500</v>
      </c>
      <c r="AV65" s="85">
        <v>60</v>
      </c>
      <c r="AW65" s="69">
        <f>AV65*250</f>
        <v>15000</v>
      </c>
      <c r="AX65" s="85">
        <v>70</v>
      </c>
      <c r="AY65" s="69">
        <f>AX65*250</f>
        <v>17500</v>
      </c>
      <c r="AZ65" s="85">
        <v>70</v>
      </c>
      <c r="BA65" s="69">
        <f>AZ65*250</f>
        <v>17500</v>
      </c>
      <c r="BB65" s="85">
        <v>50</v>
      </c>
      <c r="BC65" s="69">
        <f>BB65*250</f>
        <v>12500</v>
      </c>
      <c r="BD65" s="85">
        <v>300</v>
      </c>
      <c r="BE65" s="69">
        <f>BD65*250</f>
        <v>75000</v>
      </c>
      <c r="BF65" s="85">
        <v>170</v>
      </c>
      <c r="BG65" s="69">
        <f>BF65*250</f>
        <v>42500</v>
      </c>
      <c r="BH65" s="85">
        <v>0</v>
      </c>
      <c r="BI65" s="69">
        <f>BH65*250</f>
        <v>0</v>
      </c>
      <c r="BJ65" s="85">
        <f t="shared" ref="BJ65:BK68" si="68">Z65+AB65+AD65+AF65+AH65+AJ65+AL65+AN65+AP65+AR65+AT65+AV65+AX65+AZ65+BB65+BD65+BF65+BH65</f>
        <v>1330</v>
      </c>
      <c r="BK65" s="85">
        <f t="shared" si="68"/>
        <v>332500</v>
      </c>
      <c r="BL65" s="333" t="s">
        <v>469</v>
      </c>
      <c r="BN65" s="113">
        <v>0</v>
      </c>
      <c r="BO65" s="113">
        <f>G65</f>
        <v>332500</v>
      </c>
      <c r="BP65" s="113">
        <v>0</v>
      </c>
      <c r="BQ65" s="113">
        <v>0</v>
      </c>
      <c r="BR65" s="113">
        <f>BN65+BO65+BP65+BQ65</f>
        <v>332500</v>
      </c>
      <c r="BS65" s="113">
        <v>0</v>
      </c>
      <c r="BT65" s="113">
        <v>0</v>
      </c>
      <c r="BU65" s="113">
        <f>BS65+BT65</f>
        <v>0</v>
      </c>
      <c r="BV65" s="181">
        <f t="shared" si="1"/>
        <v>332500</v>
      </c>
    </row>
    <row r="66" spans="1:979" ht="24" customHeight="1" x14ac:dyDescent="0.25">
      <c r="A66" s="855"/>
      <c r="B66" s="186"/>
      <c r="C66" s="169" t="s">
        <v>141</v>
      </c>
      <c r="D66" s="169" t="s">
        <v>102</v>
      </c>
      <c r="E66" s="169">
        <f>0.02*100000</f>
        <v>2000</v>
      </c>
      <c r="F66" s="69">
        <f t="shared" si="67"/>
        <v>463</v>
      </c>
      <c r="G66" s="69">
        <f t="shared" si="67"/>
        <v>926000</v>
      </c>
      <c r="H66" s="69">
        <f>G66*0.2</f>
        <v>185200</v>
      </c>
      <c r="I66" s="69">
        <f>G66*0.8</f>
        <v>740800</v>
      </c>
      <c r="J66" s="69">
        <f>G66*0</f>
        <v>0</v>
      </c>
      <c r="K66" s="69">
        <f>G66*0</f>
        <v>0</v>
      </c>
      <c r="L66" s="69">
        <f>G66*0</f>
        <v>0</v>
      </c>
      <c r="M66" s="69">
        <f>G66*0</f>
        <v>0</v>
      </c>
      <c r="N66" s="69">
        <f>G66*0</f>
        <v>0</v>
      </c>
      <c r="O66" s="69">
        <f>G66*0</f>
        <v>0</v>
      </c>
      <c r="P66" s="69">
        <f>G66*0</f>
        <v>0</v>
      </c>
      <c r="Q66" s="69">
        <f>G66*0</f>
        <v>0</v>
      </c>
      <c r="R66" s="187">
        <f>F66*0.5</f>
        <v>231.5</v>
      </c>
      <c r="S66" s="187">
        <f>F66*0.25</f>
        <v>115.75</v>
      </c>
      <c r="T66" s="187">
        <f>F66*0.25</f>
        <v>115.75</v>
      </c>
      <c r="U66" s="47"/>
      <c r="V66" s="69">
        <f>R66*E66</f>
        <v>463000</v>
      </c>
      <c r="W66" s="69">
        <f>S66*E66</f>
        <v>231500</v>
      </c>
      <c r="X66" s="69">
        <f>T66*E66</f>
        <v>231500</v>
      </c>
      <c r="Y66" s="69">
        <f>U66*E66</f>
        <v>0</v>
      </c>
      <c r="Z66" s="85">
        <v>30</v>
      </c>
      <c r="AA66" s="69">
        <f>Z66*2000</f>
        <v>60000</v>
      </c>
      <c r="AB66" s="85">
        <v>16</v>
      </c>
      <c r="AC66" s="69">
        <f>AB66*2000</f>
        <v>32000</v>
      </c>
      <c r="AD66" s="85">
        <v>30</v>
      </c>
      <c r="AE66" s="69">
        <f>AD66*2000</f>
        <v>60000</v>
      </c>
      <c r="AF66" s="85">
        <v>30</v>
      </c>
      <c r="AG66" s="69">
        <f>AF66*2000</f>
        <v>60000</v>
      </c>
      <c r="AH66" s="85">
        <v>16</v>
      </c>
      <c r="AI66" s="69">
        <f>AH66*2000</f>
        <v>32000</v>
      </c>
      <c r="AJ66" s="85">
        <v>20</v>
      </c>
      <c r="AK66" s="69">
        <f>AJ66*2000</f>
        <v>40000</v>
      </c>
      <c r="AL66" s="85">
        <v>28</v>
      </c>
      <c r="AM66" s="69">
        <f>AL66*2000</f>
        <v>56000</v>
      </c>
      <c r="AN66" s="85">
        <v>30</v>
      </c>
      <c r="AO66" s="69">
        <f>AN66*2000</f>
        <v>60000</v>
      </c>
      <c r="AP66" s="85">
        <v>8</v>
      </c>
      <c r="AQ66" s="69">
        <f>AP66*2000</f>
        <v>16000</v>
      </c>
      <c r="AR66" s="85">
        <v>18</v>
      </c>
      <c r="AS66" s="69">
        <f>AR66*2000</f>
        <v>36000</v>
      </c>
      <c r="AT66" s="85">
        <v>20</v>
      </c>
      <c r="AU66" s="69">
        <f>AT66*2000</f>
        <v>40000</v>
      </c>
      <c r="AV66" s="85">
        <v>20</v>
      </c>
      <c r="AW66" s="69">
        <f>AV66*2000</f>
        <v>40000</v>
      </c>
      <c r="AX66" s="85">
        <v>32</v>
      </c>
      <c r="AY66" s="69">
        <f>AX66*2000</f>
        <v>64000</v>
      </c>
      <c r="AZ66" s="85">
        <v>25</v>
      </c>
      <c r="BA66" s="69">
        <f>AZ66*2000</f>
        <v>50000</v>
      </c>
      <c r="BB66" s="85">
        <v>50</v>
      </c>
      <c r="BC66" s="69">
        <f>BB66*2000</f>
        <v>100000</v>
      </c>
      <c r="BD66" s="85">
        <v>40</v>
      </c>
      <c r="BE66" s="69">
        <f>BD66*2000</f>
        <v>80000</v>
      </c>
      <c r="BF66" s="85">
        <v>50</v>
      </c>
      <c r="BG66" s="69">
        <f>BF66*2000</f>
        <v>100000</v>
      </c>
      <c r="BH66" s="85">
        <v>0</v>
      </c>
      <c r="BI66" s="69">
        <f>BH66*2000</f>
        <v>0</v>
      </c>
      <c r="BJ66" s="85">
        <f t="shared" si="68"/>
        <v>463</v>
      </c>
      <c r="BK66" s="85">
        <f t="shared" si="68"/>
        <v>926000</v>
      </c>
      <c r="BL66" s="333" t="s">
        <v>469</v>
      </c>
      <c r="BN66" s="113">
        <v>0</v>
      </c>
      <c r="BO66" s="113"/>
      <c r="BP66" s="113">
        <f>G66</f>
        <v>926000</v>
      </c>
      <c r="BQ66" s="113">
        <v>0</v>
      </c>
      <c r="BR66" s="113">
        <f>BN66+BO66+BP66+BQ66</f>
        <v>926000</v>
      </c>
      <c r="BS66" s="113">
        <v>0</v>
      </c>
      <c r="BT66" s="113">
        <v>0</v>
      </c>
      <c r="BU66" s="113">
        <f>BS66+BT66</f>
        <v>0</v>
      </c>
      <c r="BV66" s="181">
        <f t="shared" si="1"/>
        <v>926000</v>
      </c>
    </row>
    <row r="67" spans="1:979" ht="24" customHeight="1" x14ac:dyDescent="0.25">
      <c r="A67" s="855"/>
      <c r="B67" s="186"/>
      <c r="C67" s="169" t="s">
        <v>142</v>
      </c>
      <c r="D67" s="169" t="s">
        <v>102</v>
      </c>
      <c r="E67" s="169">
        <f>0.0525*100000</f>
        <v>5250</v>
      </c>
      <c r="F67" s="69">
        <f t="shared" si="67"/>
        <v>463</v>
      </c>
      <c r="G67" s="69">
        <f t="shared" si="67"/>
        <v>2430750</v>
      </c>
      <c r="H67" s="69">
        <f>G67*0.2</f>
        <v>486150</v>
      </c>
      <c r="I67" s="69">
        <f>G67*0.8</f>
        <v>1944600</v>
      </c>
      <c r="J67" s="69">
        <f>G67*0</f>
        <v>0</v>
      </c>
      <c r="K67" s="69">
        <f>G67*0</f>
        <v>0</v>
      </c>
      <c r="L67" s="69">
        <f>G67*0</f>
        <v>0</v>
      </c>
      <c r="M67" s="69">
        <f>G67*0</f>
        <v>0</v>
      </c>
      <c r="N67" s="69">
        <f>G67*0</f>
        <v>0</v>
      </c>
      <c r="O67" s="69">
        <f>G67*0</f>
        <v>0</v>
      </c>
      <c r="P67" s="69">
        <f>G67*0</f>
        <v>0</v>
      </c>
      <c r="Q67" s="69">
        <f>G67*0</f>
        <v>0</v>
      </c>
      <c r="R67" s="187">
        <f>F67*0.5</f>
        <v>231.5</v>
      </c>
      <c r="S67" s="187">
        <f>F67*0.25</f>
        <v>115.75</v>
      </c>
      <c r="T67" s="187">
        <f>F67*0.25</f>
        <v>115.75</v>
      </c>
      <c r="V67" s="69">
        <f>R67*E67</f>
        <v>1215375</v>
      </c>
      <c r="W67" s="69">
        <f>S67*E67</f>
        <v>607687.5</v>
      </c>
      <c r="X67" s="69">
        <f>T67*E67</f>
        <v>607687.5</v>
      </c>
      <c r="Y67" s="69">
        <f>U67*E67</f>
        <v>0</v>
      </c>
      <c r="Z67" s="85">
        <v>30</v>
      </c>
      <c r="AA67" s="69">
        <f>Z67*5250</f>
        <v>157500</v>
      </c>
      <c r="AB67" s="85">
        <v>16</v>
      </c>
      <c r="AC67" s="69">
        <f>AB67*5250</f>
        <v>84000</v>
      </c>
      <c r="AD67" s="85">
        <v>30</v>
      </c>
      <c r="AE67" s="69">
        <f>AD67*5250</f>
        <v>157500</v>
      </c>
      <c r="AF67" s="85">
        <v>30</v>
      </c>
      <c r="AG67" s="69">
        <f>AF67*5250</f>
        <v>157500</v>
      </c>
      <c r="AH67" s="85">
        <v>16</v>
      </c>
      <c r="AI67" s="69">
        <f>AH67*5250</f>
        <v>84000</v>
      </c>
      <c r="AJ67" s="85">
        <v>20</v>
      </c>
      <c r="AK67" s="69">
        <f>AJ67*5250</f>
        <v>105000</v>
      </c>
      <c r="AL67" s="85">
        <v>28</v>
      </c>
      <c r="AM67" s="69">
        <f>AL67*5250</f>
        <v>147000</v>
      </c>
      <c r="AN67" s="85">
        <v>30</v>
      </c>
      <c r="AO67" s="69">
        <f>AN67*5250</f>
        <v>157500</v>
      </c>
      <c r="AP67" s="85">
        <v>8</v>
      </c>
      <c r="AQ67" s="69">
        <f>AP67*5250</f>
        <v>42000</v>
      </c>
      <c r="AR67" s="85">
        <v>18</v>
      </c>
      <c r="AS67" s="69">
        <f>AR67*5250</f>
        <v>94500</v>
      </c>
      <c r="AT67" s="85">
        <v>20</v>
      </c>
      <c r="AU67" s="69">
        <f>AT67*5250</f>
        <v>105000</v>
      </c>
      <c r="AV67" s="85">
        <v>20</v>
      </c>
      <c r="AW67" s="69">
        <f>AV67*5250</f>
        <v>105000</v>
      </c>
      <c r="AX67" s="85">
        <v>32</v>
      </c>
      <c r="AY67" s="69">
        <f>AX67*5250</f>
        <v>168000</v>
      </c>
      <c r="AZ67" s="85">
        <v>25</v>
      </c>
      <c r="BA67" s="69">
        <f>AZ67*5250</f>
        <v>131250</v>
      </c>
      <c r="BB67" s="85">
        <v>50</v>
      </c>
      <c r="BC67" s="69">
        <f>BB67*5250</f>
        <v>262500</v>
      </c>
      <c r="BD67" s="85">
        <v>40</v>
      </c>
      <c r="BE67" s="69">
        <f>BD67*5250</f>
        <v>210000</v>
      </c>
      <c r="BF67" s="85">
        <v>50</v>
      </c>
      <c r="BG67" s="69">
        <f>BF67*5250</f>
        <v>262500</v>
      </c>
      <c r="BH67" s="85">
        <v>0</v>
      </c>
      <c r="BI67" s="69">
        <f>BH67*5250</f>
        <v>0</v>
      </c>
      <c r="BJ67" s="85">
        <f t="shared" si="68"/>
        <v>463</v>
      </c>
      <c r="BK67" s="85">
        <f t="shared" si="68"/>
        <v>2430750</v>
      </c>
      <c r="BL67" s="333" t="s">
        <v>469</v>
      </c>
      <c r="BN67" s="113">
        <v>0</v>
      </c>
      <c r="BO67" s="113">
        <v>0</v>
      </c>
      <c r="BP67" s="113">
        <f>G67</f>
        <v>2430750</v>
      </c>
      <c r="BQ67" s="113">
        <v>0</v>
      </c>
      <c r="BR67" s="113">
        <f>BN67+BO67+BP67+BQ67</f>
        <v>2430750</v>
      </c>
      <c r="BS67" s="113">
        <v>0</v>
      </c>
      <c r="BT67" s="113">
        <v>0</v>
      </c>
      <c r="BU67" s="113">
        <f>BS67+BT67</f>
        <v>0</v>
      </c>
      <c r="BV67" s="181">
        <f t="shared" ref="BV67:BV74" si="69">BR67+BU67</f>
        <v>2430750</v>
      </c>
    </row>
    <row r="68" spans="1:979" s="581" customFormat="1" ht="37.5" customHeight="1" x14ac:dyDescent="0.25">
      <c r="A68" s="855"/>
      <c r="B68" s="730"/>
      <c r="C68" s="731" t="s">
        <v>742</v>
      </c>
      <c r="D68" s="731" t="s">
        <v>102</v>
      </c>
      <c r="E68" s="731">
        <v>50000</v>
      </c>
      <c r="F68" s="732">
        <f t="shared" si="67"/>
        <v>9</v>
      </c>
      <c r="G68" s="732">
        <f t="shared" si="67"/>
        <v>450000</v>
      </c>
      <c r="H68" s="732"/>
      <c r="I68" s="732">
        <f>G68*1</f>
        <v>450000</v>
      </c>
      <c r="J68" s="732"/>
      <c r="K68" s="732"/>
      <c r="L68" s="732"/>
      <c r="M68" s="732"/>
      <c r="N68" s="732"/>
      <c r="O68" s="732"/>
      <c r="P68" s="732"/>
      <c r="Q68" s="732"/>
      <c r="R68" s="733">
        <v>10</v>
      </c>
      <c r="S68" s="733">
        <v>7</v>
      </c>
      <c r="T68" s="733"/>
      <c r="U68" s="733"/>
      <c r="V68" s="732">
        <f>R68*E68</f>
        <v>500000</v>
      </c>
      <c r="W68" s="732">
        <f>S68*E68</f>
        <v>350000</v>
      </c>
      <c r="X68" s="732">
        <f>T68*E68</f>
        <v>0</v>
      </c>
      <c r="Y68" s="732">
        <f>U68*E68</f>
        <v>0</v>
      </c>
      <c r="Z68" s="734">
        <v>1</v>
      </c>
      <c r="AA68" s="732">
        <f>Z68*E68</f>
        <v>50000</v>
      </c>
      <c r="AB68" s="734">
        <v>1</v>
      </c>
      <c r="AC68" s="732">
        <f>AB68*E68</f>
        <v>50000</v>
      </c>
      <c r="AD68" s="734">
        <v>1</v>
      </c>
      <c r="AE68" s="732">
        <f>AD68*E68</f>
        <v>50000</v>
      </c>
      <c r="AF68" s="734">
        <v>0</v>
      </c>
      <c r="AG68" s="732">
        <f>AF68*E68</f>
        <v>0</v>
      </c>
      <c r="AH68" s="734">
        <v>1</v>
      </c>
      <c r="AI68" s="732">
        <f>AH68*E68</f>
        <v>50000</v>
      </c>
      <c r="AJ68" s="734">
        <v>0</v>
      </c>
      <c r="AK68" s="732">
        <f>AJ68*E68</f>
        <v>0</v>
      </c>
      <c r="AL68" s="734">
        <v>0</v>
      </c>
      <c r="AM68" s="732">
        <f>AL68*E68</f>
        <v>0</v>
      </c>
      <c r="AN68" s="734">
        <v>0</v>
      </c>
      <c r="AO68" s="732">
        <f>AN68*E68</f>
        <v>0</v>
      </c>
      <c r="AP68" s="734">
        <v>1</v>
      </c>
      <c r="AQ68" s="732">
        <f>AP68*E68</f>
        <v>50000</v>
      </c>
      <c r="AR68" s="734">
        <v>1</v>
      </c>
      <c r="AS68" s="732">
        <f>AR68*E68</f>
        <v>50000</v>
      </c>
      <c r="AT68" s="734">
        <v>0</v>
      </c>
      <c r="AU68" s="732">
        <f>AT68*E68</f>
        <v>0</v>
      </c>
      <c r="AV68" s="734">
        <v>1</v>
      </c>
      <c r="AW68" s="732">
        <f>AV68*E68</f>
        <v>50000</v>
      </c>
      <c r="AX68" s="734">
        <v>0</v>
      </c>
      <c r="AY68" s="732">
        <f>AX68*E68</f>
        <v>0</v>
      </c>
      <c r="AZ68" s="734">
        <v>0</v>
      </c>
      <c r="BA68" s="732">
        <f>AZ68*E68</f>
        <v>0</v>
      </c>
      <c r="BB68" s="734">
        <v>1</v>
      </c>
      <c r="BC68" s="732">
        <f>BB68*E68</f>
        <v>50000</v>
      </c>
      <c r="BD68" s="734">
        <v>0</v>
      </c>
      <c r="BE68" s="732">
        <f>BD68*E68</f>
        <v>0</v>
      </c>
      <c r="BF68" s="734">
        <v>1</v>
      </c>
      <c r="BG68" s="732">
        <f>BF68*E68</f>
        <v>50000</v>
      </c>
      <c r="BH68" s="734">
        <v>0</v>
      </c>
      <c r="BI68" s="732">
        <v>0</v>
      </c>
      <c r="BJ68" s="734">
        <f t="shared" si="68"/>
        <v>9</v>
      </c>
      <c r="BK68" s="734">
        <f t="shared" si="68"/>
        <v>450000</v>
      </c>
      <c r="BL68" s="735" t="s">
        <v>471</v>
      </c>
      <c r="BN68" s="736"/>
      <c r="BO68" s="736"/>
      <c r="BP68" s="736"/>
      <c r="BQ68" s="736"/>
      <c r="BR68" s="736"/>
      <c r="BS68" s="736"/>
      <c r="BT68" s="736"/>
      <c r="BU68" s="736"/>
      <c r="BV68" s="737"/>
    </row>
    <row r="69" spans="1:979" ht="24" customHeight="1" x14ac:dyDescent="0.25">
      <c r="A69" s="855"/>
      <c r="B69" s="579"/>
      <c r="C69" s="580"/>
      <c r="D69" s="140"/>
      <c r="E69" s="140"/>
      <c r="F69" s="140">
        <f>SUM(F65:F68)</f>
        <v>2265</v>
      </c>
      <c r="G69" s="140">
        <f>SUM(G65:G68)</f>
        <v>4139250</v>
      </c>
      <c r="H69" s="140">
        <f t="shared" ref="H69:Y69" si="70">SUM(H65:H67)</f>
        <v>737850</v>
      </c>
      <c r="I69" s="140">
        <f>SUM(I65:I68)</f>
        <v>3401400</v>
      </c>
      <c r="J69" s="140">
        <f t="shared" si="70"/>
        <v>0</v>
      </c>
      <c r="K69" s="140">
        <f t="shared" si="70"/>
        <v>0</v>
      </c>
      <c r="L69" s="140">
        <f t="shared" si="70"/>
        <v>0</v>
      </c>
      <c r="M69" s="140">
        <f t="shared" si="70"/>
        <v>0</v>
      </c>
      <c r="N69" s="140">
        <f t="shared" si="70"/>
        <v>0</v>
      </c>
      <c r="O69" s="140">
        <f t="shared" si="70"/>
        <v>0</v>
      </c>
      <c r="P69" s="140">
        <f t="shared" si="70"/>
        <v>0</v>
      </c>
      <c r="Q69" s="140">
        <f t="shared" si="70"/>
        <v>0</v>
      </c>
      <c r="R69" s="479">
        <f>SUM(R65:R67)</f>
        <v>1128</v>
      </c>
      <c r="S69" s="479">
        <f t="shared" si="70"/>
        <v>564</v>
      </c>
      <c r="T69" s="479">
        <f t="shared" si="70"/>
        <v>564</v>
      </c>
      <c r="U69" s="479">
        <f t="shared" si="70"/>
        <v>0</v>
      </c>
      <c r="V69" s="140">
        <f t="shared" si="70"/>
        <v>1844625</v>
      </c>
      <c r="W69" s="140">
        <f t="shared" si="70"/>
        <v>922312.5</v>
      </c>
      <c r="X69" s="140">
        <f t="shared" si="70"/>
        <v>922312.5</v>
      </c>
      <c r="Y69" s="140">
        <f t="shared" si="70"/>
        <v>0</v>
      </c>
      <c r="Z69" s="140">
        <f>SUM(Z65:Z68)</f>
        <v>121</v>
      </c>
      <c r="AA69" s="140">
        <f t="shared" ref="AA69:BK69" si="71">SUM(AA65:AA68)</f>
        <v>282500</v>
      </c>
      <c r="AB69" s="140">
        <f t="shared" si="71"/>
        <v>63</v>
      </c>
      <c r="AC69" s="140">
        <f t="shared" si="71"/>
        <v>173500</v>
      </c>
      <c r="AD69" s="140">
        <f t="shared" si="71"/>
        <v>121</v>
      </c>
      <c r="AE69" s="140">
        <f t="shared" si="71"/>
        <v>282500</v>
      </c>
      <c r="AF69" s="140">
        <f t="shared" si="71"/>
        <v>130</v>
      </c>
      <c r="AG69" s="140">
        <f t="shared" si="71"/>
        <v>235000</v>
      </c>
      <c r="AH69" s="140">
        <f t="shared" si="71"/>
        <v>73</v>
      </c>
      <c r="AI69" s="140">
        <f t="shared" si="71"/>
        <v>176000</v>
      </c>
      <c r="AJ69" s="140">
        <f t="shared" si="71"/>
        <v>70</v>
      </c>
      <c r="AK69" s="140">
        <f t="shared" si="71"/>
        <v>152500</v>
      </c>
      <c r="AL69" s="140">
        <f t="shared" si="71"/>
        <v>126</v>
      </c>
      <c r="AM69" s="140">
        <f t="shared" si="71"/>
        <v>220500</v>
      </c>
      <c r="AN69" s="140">
        <f t="shared" si="71"/>
        <v>150</v>
      </c>
      <c r="AO69" s="140">
        <f t="shared" si="71"/>
        <v>240000</v>
      </c>
      <c r="AP69" s="140">
        <f t="shared" si="71"/>
        <v>47</v>
      </c>
      <c r="AQ69" s="140">
        <f t="shared" si="71"/>
        <v>115500</v>
      </c>
      <c r="AR69" s="140">
        <f t="shared" si="71"/>
        <v>97</v>
      </c>
      <c r="AS69" s="140">
        <f t="shared" si="71"/>
        <v>195500</v>
      </c>
      <c r="AT69" s="140">
        <f t="shared" si="71"/>
        <v>110</v>
      </c>
      <c r="AU69" s="140">
        <f t="shared" si="71"/>
        <v>162500</v>
      </c>
      <c r="AV69" s="140">
        <f t="shared" si="71"/>
        <v>101</v>
      </c>
      <c r="AW69" s="140">
        <f t="shared" si="71"/>
        <v>210000</v>
      </c>
      <c r="AX69" s="140">
        <f t="shared" si="71"/>
        <v>134</v>
      </c>
      <c r="AY69" s="140">
        <f t="shared" si="71"/>
        <v>249500</v>
      </c>
      <c r="AZ69" s="140">
        <f t="shared" si="71"/>
        <v>120</v>
      </c>
      <c r="BA69" s="140">
        <f t="shared" si="71"/>
        <v>198750</v>
      </c>
      <c r="BB69" s="140">
        <f t="shared" si="71"/>
        <v>151</v>
      </c>
      <c r="BC69" s="140">
        <f t="shared" si="71"/>
        <v>425000</v>
      </c>
      <c r="BD69" s="140">
        <f t="shared" si="71"/>
        <v>380</v>
      </c>
      <c r="BE69" s="140">
        <f t="shared" si="71"/>
        <v>365000</v>
      </c>
      <c r="BF69" s="140">
        <f t="shared" si="71"/>
        <v>271</v>
      </c>
      <c r="BG69" s="140">
        <f t="shared" si="71"/>
        <v>455000</v>
      </c>
      <c r="BH69" s="140">
        <f t="shared" si="71"/>
        <v>0</v>
      </c>
      <c r="BI69" s="140">
        <f t="shared" si="71"/>
        <v>0</v>
      </c>
      <c r="BJ69" s="140">
        <f t="shared" si="71"/>
        <v>2265</v>
      </c>
      <c r="BK69" s="140">
        <f t="shared" si="71"/>
        <v>4139250</v>
      </c>
      <c r="BL69" s="47"/>
      <c r="BN69" s="140">
        <f t="shared" ref="BN69:BU69" si="72">SUM(BN65:BN67)</f>
        <v>0</v>
      </c>
      <c r="BO69" s="140">
        <f t="shared" si="72"/>
        <v>332500</v>
      </c>
      <c r="BP69" s="140">
        <f t="shared" si="72"/>
        <v>3356750</v>
      </c>
      <c r="BQ69" s="140">
        <f t="shared" si="72"/>
        <v>0</v>
      </c>
      <c r="BR69" s="140">
        <f t="shared" si="72"/>
        <v>3689250</v>
      </c>
      <c r="BS69" s="140">
        <f t="shared" si="72"/>
        <v>0</v>
      </c>
      <c r="BT69" s="140">
        <f t="shared" si="72"/>
        <v>0</v>
      </c>
      <c r="BU69" s="140">
        <f t="shared" si="72"/>
        <v>0</v>
      </c>
      <c r="BV69" s="485">
        <f t="shared" si="69"/>
        <v>3689250</v>
      </c>
    </row>
    <row r="70" spans="1:979" ht="24" customHeight="1" x14ac:dyDescent="0.25">
      <c r="A70" s="855"/>
      <c r="B70" s="454">
        <v>12420</v>
      </c>
      <c r="C70" s="169" t="s">
        <v>143</v>
      </c>
      <c r="D70" s="169"/>
      <c r="E70" s="1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187"/>
      <c r="S70" s="187"/>
      <c r="T70" s="187"/>
      <c r="U70" s="187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47"/>
      <c r="BN70" s="113"/>
      <c r="BO70" s="113"/>
      <c r="BP70" s="113"/>
      <c r="BQ70" s="113"/>
      <c r="BR70" s="113"/>
      <c r="BS70" s="113"/>
      <c r="BT70" s="113"/>
      <c r="BU70" s="113"/>
      <c r="BV70" s="181">
        <f t="shared" si="69"/>
        <v>0</v>
      </c>
    </row>
    <row r="71" spans="1:979" s="99" customFormat="1" ht="38.25" customHeight="1" x14ac:dyDescent="0.25">
      <c r="A71" s="855"/>
      <c r="B71" s="190"/>
      <c r="C71" s="174" t="s">
        <v>144</v>
      </c>
      <c r="D71" s="174" t="s">
        <v>120</v>
      </c>
      <c r="E71" s="174">
        <f>0.02*100000</f>
        <v>2000</v>
      </c>
      <c r="F71" s="69">
        <f>BJ71</f>
        <v>358</v>
      </c>
      <c r="G71" s="176">
        <f>E71*F71</f>
        <v>716000</v>
      </c>
      <c r="H71" s="176">
        <f>G71*0</f>
        <v>0</v>
      </c>
      <c r="I71" s="176">
        <f>G71*1</f>
        <v>716000</v>
      </c>
      <c r="J71" s="176">
        <f>G71*0</f>
        <v>0</v>
      </c>
      <c r="K71" s="176">
        <f>G71*0</f>
        <v>0</v>
      </c>
      <c r="L71" s="176">
        <f>G71*0</f>
        <v>0</v>
      </c>
      <c r="M71" s="176">
        <f>G71*0</f>
        <v>0</v>
      </c>
      <c r="N71" s="176">
        <f>G71*0</f>
        <v>0</v>
      </c>
      <c r="O71" s="176">
        <f>G71*0</f>
        <v>0</v>
      </c>
      <c r="P71" s="176">
        <f>G71*0</f>
        <v>0</v>
      </c>
      <c r="Q71" s="176">
        <f>G71*0</f>
        <v>0</v>
      </c>
      <c r="R71" s="177"/>
      <c r="S71" s="177">
        <f>F71*0.5</f>
        <v>179</v>
      </c>
      <c r="T71" s="177">
        <f>F71*0.25</f>
        <v>89.5</v>
      </c>
      <c r="U71" s="177">
        <f>F71*0.25</f>
        <v>89.5</v>
      </c>
      <c r="V71" s="176"/>
      <c r="W71" s="176">
        <f>S71*E71</f>
        <v>358000</v>
      </c>
      <c r="X71" s="176">
        <f>T71*E71</f>
        <v>179000</v>
      </c>
      <c r="Y71" s="176">
        <f>U71*E71</f>
        <v>179000</v>
      </c>
      <c r="Z71" s="176">
        <v>21</v>
      </c>
      <c r="AA71" s="176">
        <f>Z71*2000</f>
        <v>42000</v>
      </c>
      <c r="AB71" s="176">
        <v>20</v>
      </c>
      <c r="AC71" s="176">
        <f>AB71*2000</f>
        <v>40000</v>
      </c>
      <c r="AD71" s="176">
        <v>20</v>
      </c>
      <c r="AE71" s="176">
        <f>AD71*2000</f>
        <v>40000</v>
      </c>
      <c r="AF71" s="176">
        <v>10</v>
      </c>
      <c r="AG71" s="176">
        <f>AF71*2000</f>
        <v>20000</v>
      </c>
      <c r="AH71" s="176">
        <v>20</v>
      </c>
      <c r="AI71" s="176">
        <f>AH71*2000</f>
        <v>40000</v>
      </c>
      <c r="AJ71" s="176">
        <v>30</v>
      </c>
      <c r="AK71" s="176">
        <f>AJ71*2000</f>
        <v>60000</v>
      </c>
      <c r="AL71" s="176">
        <v>10</v>
      </c>
      <c r="AM71" s="176">
        <f>AL71*2000</f>
        <v>20000</v>
      </c>
      <c r="AN71" s="176">
        <v>20</v>
      </c>
      <c r="AO71" s="176">
        <f>AN71*2000</f>
        <v>40000</v>
      </c>
      <c r="AP71" s="176">
        <v>5</v>
      </c>
      <c r="AQ71" s="176">
        <f>AP71*2000</f>
        <v>10000</v>
      </c>
      <c r="AR71" s="176">
        <v>10</v>
      </c>
      <c r="AS71" s="176">
        <f>AR71*2000</f>
        <v>20000</v>
      </c>
      <c r="AT71" s="176">
        <v>20</v>
      </c>
      <c r="AU71" s="176">
        <f>AT71*2000</f>
        <v>40000</v>
      </c>
      <c r="AV71" s="176">
        <v>30</v>
      </c>
      <c r="AW71" s="176">
        <f>AV71*2000</f>
        <v>60000</v>
      </c>
      <c r="AX71" s="176">
        <v>32</v>
      </c>
      <c r="AY71" s="176">
        <f>AX71*2000</f>
        <v>64000</v>
      </c>
      <c r="AZ71" s="176">
        <v>10</v>
      </c>
      <c r="BA71" s="176">
        <f>AZ71*2000</f>
        <v>20000</v>
      </c>
      <c r="BB71" s="176">
        <v>40</v>
      </c>
      <c r="BC71" s="176">
        <f>BB71*2000</f>
        <v>80000</v>
      </c>
      <c r="BD71" s="176">
        <v>30</v>
      </c>
      <c r="BE71" s="176">
        <f>BD71*2000</f>
        <v>60000</v>
      </c>
      <c r="BF71" s="176">
        <v>30</v>
      </c>
      <c r="BG71" s="176">
        <f>BF71*2000</f>
        <v>60000</v>
      </c>
      <c r="BH71" s="176">
        <v>0</v>
      </c>
      <c r="BI71" s="176">
        <f>BH71*2000</f>
        <v>0</v>
      </c>
      <c r="BJ71" s="176">
        <f>Z71+AB71+AD71+AF71+AH71+AJ71+AL71+AN71+AP71+AR71+AT71+AV71+AX71+AZ71+BB71+BD71+BF71+BH71</f>
        <v>358</v>
      </c>
      <c r="BK71" s="176">
        <f>AA71+AC71+AE71+AG71+AI71+AK71+AM71+AO71+AQ71+AS71+AU71+AW71+AY71+BA71+BC71+BE71+BG71+BI71</f>
        <v>716000</v>
      </c>
      <c r="BL71" s="335" t="s">
        <v>471</v>
      </c>
      <c r="BM71" s="106"/>
      <c r="BN71" s="112"/>
      <c r="BO71" s="112"/>
      <c r="BP71" s="112"/>
      <c r="BQ71" s="112">
        <f>G71</f>
        <v>716000</v>
      </c>
      <c r="BR71" s="112">
        <f>BN71+BO71+BP71+BQ71</f>
        <v>716000</v>
      </c>
      <c r="BS71" s="112">
        <v>0</v>
      </c>
      <c r="BT71" s="112">
        <v>0</v>
      </c>
      <c r="BU71" s="112">
        <f>BS71+BT71</f>
        <v>0</v>
      </c>
      <c r="BV71" s="224">
        <f t="shared" si="69"/>
        <v>716000</v>
      </c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06"/>
      <c r="IZ71" s="106"/>
      <c r="JA71" s="106"/>
      <c r="JB71" s="106"/>
      <c r="JC71" s="106"/>
      <c r="JD71" s="106"/>
      <c r="JE71" s="106"/>
      <c r="JF71" s="106"/>
      <c r="JG71" s="106"/>
      <c r="JH71" s="106"/>
      <c r="JI71" s="106"/>
      <c r="JJ71" s="106"/>
      <c r="JK71" s="106"/>
      <c r="JL71" s="106"/>
      <c r="JM71" s="106"/>
      <c r="JN71" s="106"/>
      <c r="JO71" s="106"/>
      <c r="JP71" s="106"/>
      <c r="JQ71" s="106"/>
      <c r="JR71" s="106"/>
      <c r="JS71" s="106"/>
      <c r="JT71" s="106"/>
      <c r="JU71" s="106"/>
      <c r="JV71" s="106"/>
      <c r="JW71" s="106"/>
      <c r="JX71" s="106"/>
      <c r="JY71" s="106"/>
      <c r="JZ71" s="106"/>
      <c r="KA71" s="106"/>
      <c r="KB71" s="106"/>
      <c r="KC71" s="106"/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106"/>
      <c r="LJ71" s="106"/>
      <c r="LK71" s="106"/>
      <c r="LL71" s="106"/>
      <c r="LM71" s="106"/>
      <c r="LN71" s="106"/>
      <c r="LO71" s="106"/>
      <c r="LP71" s="106"/>
      <c r="LQ71" s="106"/>
      <c r="LR71" s="106"/>
      <c r="LS71" s="106"/>
      <c r="LT71" s="106"/>
      <c r="LU71" s="106"/>
      <c r="LV71" s="106"/>
      <c r="LW71" s="106"/>
      <c r="LX71" s="106"/>
      <c r="LY71" s="106"/>
      <c r="LZ71" s="106"/>
      <c r="MA71" s="106"/>
      <c r="MB71" s="106"/>
      <c r="MC71" s="106"/>
      <c r="MD71" s="106"/>
      <c r="ME71" s="106"/>
      <c r="MF71" s="106"/>
      <c r="MG71" s="106"/>
      <c r="MH71" s="106"/>
      <c r="MI71" s="106"/>
      <c r="MJ71" s="106"/>
      <c r="MK71" s="106"/>
      <c r="ML71" s="106"/>
      <c r="MM71" s="106"/>
      <c r="MN71" s="106"/>
      <c r="MO71" s="106"/>
      <c r="MP71" s="106"/>
      <c r="MQ71" s="106"/>
      <c r="MR71" s="106"/>
      <c r="MS71" s="106"/>
      <c r="MT71" s="106"/>
      <c r="MU71" s="106"/>
      <c r="MV71" s="106"/>
      <c r="MW71" s="106"/>
      <c r="MX71" s="106"/>
      <c r="MY71" s="106"/>
      <c r="MZ71" s="106"/>
      <c r="NA71" s="106"/>
      <c r="NB71" s="106"/>
      <c r="NC71" s="106"/>
      <c r="ND71" s="106"/>
      <c r="NE71" s="106"/>
      <c r="NF71" s="106"/>
      <c r="NG71" s="106"/>
      <c r="NH71" s="106"/>
      <c r="NI71" s="106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6"/>
      <c r="NX71" s="106"/>
      <c r="NY71" s="106"/>
      <c r="NZ71" s="106"/>
      <c r="OA71" s="106"/>
      <c r="OB71" s="106"/>
      <c r="OC71" s="106"/>
      <c r="OD71" s="106"/>
      <c r="OE71" s="106"/>
      <c r="OF71" s="106"/>
      <c r="OG71" s="106"/>
      <c r="OH71" s="106"/>
      <c r="OI71" s="106"/>
      <c r="OJ71" s="106"/>
      <c r="OK71" s="106"/>
      <c r="OL71" s="106"/>
      <c r="OM71" s="106"/>
      <c r="ON71" s="106"/>
      <c r="OO71" s="106"/>
      <c r="OP71" s="106"/>
      <c r="OQ71" s="106"/>
      <c r="OR71" s="106"/>
      <c r="OS71" s="106"/>
      <c r="OT71" s="106"/>
      <c r="OU71" s="106"/>
      <c r="OV71" s="106"/>
      <c r="OW71" s="106"/>
      <c r="OX71" s="106"/>
      <c r="OY71" s="106"/>
      <c r="OZ71" s="106"/>
      <c r="PA71" s="106"/>
      <c r="PB71" s="106"/>
      <c r="PC71" s="106"/>
      <c r="PD71" s="106"/>
      <c r="PE71" s="106"/>
      <c r="PF71" s="106"/>
      <c r="PG71" s="106"/>
      <c r="PH71" s="106"/>
      <c r="PI71" s="106"/>
      <c r="PJ71" s="106"/>
      <c r="PK71" s="106"/>
      <c r="PL71" s="106"/>
      <c r="PM71" s="106"/>
      <c r="PN71" s="106"/>
      <c r="PO71" s="106"/>
      <c r="PP71" s="106"/>
      <c r="PQ71" s="106"/>
      <c r="PR71" s="106"/>
      <c r="PS71" s="106"/>
      <c r="PT71" s="106"/>
      <c r="PU71" s="106"/>
      <c r="PV71" s="106"/>
      <c r="PW71" s="106"/>
      <c r="PX71" s="106"/>
      <c r="PY71" s="106"/>
      <c r="PZ71" s="106"/>
      <c r="QA71" s="106"/>
      <c r="QB71" s="106"/>
      <c r="QC71" s="106"/>
      <c r="QD71" s="106"/>
      <c r="QE71" s="106"/>
      <c r="QF71" s="106"/>
      <c r="QG71" s="106"/>
      <c r="QH71" s="106"/>
      <c r="QI71" s="106"/>
      <c r="QJ71" s="106"/>
      <c r="QK71" s="106"/>
      <c r="QL71" s="106"/>
      <c r="QM71" s="106"/>
      <c r="QN71" s="106"/>
      <c r="QO71" s="106"/>
      <c r="QP71" s="106"/>
      <c r="QQ71" s="106"/>
      <c r="QR71" s="106"/>
      <c r="QS71" s="106"/>
      <c r="QT71" s="106"/>
      <c r="QU71" s="106"/>
      <c r="QV71" s="106"/>
      <c r="QW71" s="106"/>
      <c r="QX71" s="106"/>
      <c r="QY71" s="106"/>
      <c r="QZ71" s="106"/>
      <c r="RA71" s="106"/>
      <c r="RB71" s="106"/>
      <c r="RC71" s="106"/>
      <c r="RD71" s="106"/>
      <c r="RE71" s="106"/>
      <c r="RF71" s="106"/>
      <c r="RG71" s="106"/>
      <c r="RH71" s="106"/>
      <c r="RI71" s="106"/>
      <c r="RJ71" s="106"/>
      <c r="RK71" s="106"/>
      <c r="RL71" s="106"/>
      <c r="RM71" s="106"/>
      <c r="RN71" s="106"/>
      <c r="RO71" s="106"/>
      <c r="RP71" s="106"/>
      <c r="RQ71" s="106"/>
      <c r="RR71" s="106"/>
      <c r="RS71" s="106"/>
      <c r="RT71" s="106"/>
      <c r="RU71" s="106"/>
      <c r="RV71" s="106"/>
      <c r="RW71" s="106"/>
      <c r="RX71" s="106"/>
      <c r="RY71" s="106"/>
      <c r="RZ71" s="106"/>
      <c r="SA71" s="106"/>
      <c r="SB71" s="106"/>
      <c r="SC71" s="106"/>
      <c r="SD71" s="106"/>
      <c r="SE71" s="106"/>
      <c r="SF71" s="106"/>
      <c r="SG71" s="106"/>
      <c r="SH71" s="106"/>
      <c r="SI71" s="106"/>
      <c r="SJ71" s="106"/>
      <c r="SK71" s="106"/>
      <c r="SL71" s="106"/>
      <c r="SM71" s="106"/>
      <c r="SN71" s="106"/>
      <c r="SO71" s="106"/>
      <c r="SP71" s="106"/>
      <c r="SQ71" s="106"/>
      <c r="SR71" s="106"/>
      <c r="SS71" s="106"/>
      <c r="ST71" s="106"/>
      <c r="SU71" s="106"/>
      <c r="SV71" s="106"/>
      <c r="SW71" s="106"/>
      <c r="SX71" s="106"/>
      <c r="SY71" s="106"/>
      <c r="SZ71" s="106"/>
      <c r="TA71" s="106"/>
      <c r="TB71" s="106"/>
      <c r="TC71" s="106"/>
      <c r="TD71" s="106"/>
      <c r="TE71" s="106"/>
      <c r="TF71" s="106"/>
      <c r="TG71" s="106"/>
      <c r="TH71" s="106"/>
      <c r="TI71" s="106"/>
      <c r="TJ71" s="106"/>
      <c r="TK71" s="106"/>
      <c r="TL71" s="106"/>
      <c r="TM71" s="106"/>
      <c r="TN71" s="106"/>
      <c r="TO71" s="106"/>
      <c r="TP71" s="106"/>
      <c r="TQ71" s="106"/>
      <c r="TR71" s="106"/>
      <c r="TS71" s="106"/>
      <c r="TT71" s="106"/>
      <c r="TU71" s="106"/>
      <c r="TV71" s="106"/>
      <c r="TW71" s="106"/>
      <c r="TX71" s="106"/>
      <c r="TY71" s="106"/>
      <c r="TZ71" s="106"/>
      <c r="UA71" s="106"/>
      <c r="UB71" s="106"/>
      <c r="UC71" s="106"/>
      <c r="UD71" s="106"/>
      <c r="UE71" s="106"/>
      <c r="UF71" s="106"/>
      <c r="UG71" s="106"/>
      <c r="UH71" s="106"/>
      <c r="UI71" s="106"/>
      <c r="UJ71" s="106"/>
      <c r="UK71" s="106"/>
      <c r="UL71" s="106"/>
      <c r="UM71" s="106"/>
      <c r="UN71" s="106"/>
      <c r="UO71" s="106"/>
      <c r="UP71" s="106"/>
      <c r="UQ71" s="106"/>
      <c r="UR71" s="106"/>
      <c r="US71" s="106"/>
      <c r="UT71" s="106"/>
      <c r="UU71" s="106"/>
      <c r="UV71" s="106"/>
      <c r="UW71" s="106"/>
      <c r="UX71" s="106"/>
      <c r="UY71" s="106"/>
      <c r="UZ71" s="106"/>
      <c r="VA71" s="106"/>
      <c r="VB71" s="106"/>
      <c r="VC71" s="106"/>
      <c r="VD71" s="106"/>
      <c r="VE71" s="106"/>
      <c r="VF71" s="106"/>
      <c r="VG71" s="106"/>
      <c r="VH71" s="106"/>
      <c r="VI71" s="106"/>
      <c r="VJ71" s="106"/>
      <c r="VK71" s="106"/>
      <c r="VL71" s="106"/>
      <c r="VM71" s="106"/>
      <c r="VN71" s="106"/>
      <c r="VO71" s="106"/>
      <c r="VP71" s="106"/>
      <c r="VQ71" s="106"/>
      <c r="VR71" s="106"/>
      <c r="VS71" s="106"/>
      <c r="VT71" s="106"/>
      <c r="VU71" s="106"/>
      <c r="VV71" s="106"/>
      <c r="VW71" s="106"/>
      <c r="VX71" s="106"/>
      <c r="VY71" s="106"/>
      <c r="VZ71" s="106"/>
      <c r="WA71" s="106"/>
      <c r="WB71" s="106"/>
      <c r="WC71" s="106"/>
      <c r="WD71" s="106"/>
      <c r="WE71" s="106"/>
      <c r="WF71" s="106"/>
      <c r="WG71" s="106"/>
      <c r="WH71" s="106"/>
      <c r="WI71" s="106"/>
      <c r="WJ71" s="106"/>
      <c r="WK71" s="106"/>
      <c r="WL71" s="106"/>
      <c r="WM71" s="106"/>
      <c r="WN71" s="106"/>
      <c r="WO71" s="106"/>
      <c r="WP71" s="106"/>
      <c r="WQ71" s="106"/>
      <c r="WR71" s="106"/>
      <c r="WS71" s="106"/>
      <c r="WT71" s="106"/>
      <c r="WU71" s="106"/>
      <c r="WV71" s="106"/>
      <c r="WW71" s="106"/>
      <c r="WX71" s="106"/>
      <c r="WY71" s="106"/>
      <c r="WZ71" s="106"/>
      <c r="XA71" s="106"/>
      <c r="XB71" s="106"/>
      <c r="XC71" s="106"/>
      <c r="XD71" s="106"/>
      <c r="XE71" s="106"/>
      <c r="XF71" s="106"/>
      <c r="XG71" s="106"/>
      <c r="XH71" s="106"/>
      <c r="XI71" s="106"/>
      <c r="XJ71" s="106"/>
      <c r="XK71" s="106"/>
      <c r="XL71" s="106"/>
      <c r="XM71" s="106"/>
      <c r="XN71" s="106"/>
      <c r="XO71" s="106"/>
      <c r="XP71" s="106"/>
      <c r="XQ71" s="106"/>
      <c r="XR71" s="106"/>
      <c r="XS71" s="106"/>
      <c r="XT71" s="106"/>
      <c r="XU71" s="106"/>
      <c r="XV71" s="106"/>
      <c r="XW71" s="106"/>
      <c r="XX71" s="106"/>
      <c r="XY71" s="106"/>
      <c r="XZ71" s="106"/>
      <c r="YA71" s="106"/>
      <c r="YB71" s="106"/>
      <c r="YC71" s="106"/>
      <c r="YD71" s="106"/>
      <c r="YE71" s="106"/>
      <c r="YF71" s="106"/>
      <c r="YG71" s="106"/>
      <c r="YH71" s="106"/>
      <c r="YI71" s="106"/>
      <c r="YJ71" s="106"/>
      <c r="YK71" s="106"/>
      <c r="YL71" s="106"/>
      <c r="YM71" s="106"/>
      <c r="YN71" s="106"/>
      <c r="YO71" s="106"/>
      <c r="YP71" s="106"/>
      <c r="YQ71" s="106"/>
      <c r="YR71" s="106"/>
      <c r="YS71" s="106"/>
      <c r="YT71" s="106"/>
      <c r="YU71" s="106"/>
      <c r="YV71" s="106"/>
      <c r="YW71" s="106"/>
      <c r="YX71" s="106"/>
      <c r="YY71" s="106"/>
      <c r="YZ71" s="106"/>
      <c r="ZA71" s="106"/>
      <c r="ZB71" s="106"/>
      <c r="ZC71" s="106"/>
      <c r="ZD71" s="106"/>
      <c r="ZE71" s="106"/>
      <c r="ZF71" s="106"/>
      <c r="ZG71" s="106"/>
      <c r="ZH71" s="106"/>
      <c r="ZI71" s="106"/>
      <c r="ZJ71" s="106"/>
      <c r="ZK71" s="106"/>
      <c r="ZL71" s="106"/>
      <c r="ZM71" s="106"/>
      <c r="ZN71" s="106"/>
      <c r="ZO71" s="106"/>
      <c r="ZP71" s="106"/>
      <c r="ZQ71" s="106"/>
      <c r="ZR71" s="106"/>
      <c r="ZS71" s="106"/>
      <c r="ZT71" s="106"/>
      <c r="ZU71" s="106"/>
      <c r="ZV71" s="106"/>
      <c r="ZW71" s="106"/>
      <c r="ZX71" s="106"/>
      <c r="ZY71" s="106"/>
      <c r="ZZ71" s="106"/>
      <c r="AAA71" s="106"/>
      <c r="AAB71" s="106"/>
      <c r="AAC71" s="106"/>
      <c r="AAD71" s="106"/>
      <c r="AAE71" s="106"/>
      <c r="AAF71" s="106"/>
      <c r="AAG71" s="106"/>
      <c r="AAH71" s="106"/>
      <c r="AAI71" s="106"/>
      <c r="AAJ71" s="106"/>
      <c r="AAK71" s="106"/>
      <c r="AAL71" s="106"/>
      <c r="AAM71" s="106"/>
      <c r="AAN71" s="106"/>
      <c r="AAO71" s="106"/>
      <c r="AAP71" s="106"/>
      <c r="AAQ71" s="106"/>
      <c r="AAR71" s="106"/>
      <c r="AAS71" s="106"/>
      <c r="AAT71" s="106"/>
      <c r="AAU71" s="106"/>
      <c r="AAV71" s="106"/>
      <c r="AAW71" s="106"/>
      <c r="AAX71" s="106"/>
      <c r="AAY71" s="106"/>
      <c r="AAZ71" s="106"/>
      <c r="ABA71" s="106"/>
      <c r="ABB71" s="106"/>
      <c r="ABC71" s="106"/>
      <c r="ABD71" s="106"/>
      <c r="ABE71" s="106"/>
      <c r="ABF71" s="106"/>
      <c r="ABG71" s="106"/>
      <c r="ABH71" s="106"/>
      <c r="ABI71" s="106"/>
      <c r="ABJ71" s="106"/>
      <c r="ABK71" s="106"/>
      <c r="ABL71" s="106"/>
      <c r="ABM71" s="106"/>
      <c r="ABN71" s="106"/>
      <c r="ABO71" s="106"/>
      <c r="ABP71" s="106"/>
      <c r="ABQ71" s="106"/>
      <c r="ABR71" s="106"/>
      <c r="ABS71" s="106"/>
      <c r="ABT71" s="106"/>
      <c r="ABU71" s="106"/>
      <c r="ABV71" s="106"/>
      <c r="ABW71" s="106"/>
      <c r="ABX71" s="106"/>
      <c r="ABY71" s="106"/>
      <c r="ABZ71" s="106"/>
      <c r="ACA71" s="106"/>
      <c r="ACB71" s="106"/>
      <c r="ACC71" s="106"/>
      <c r="ACD71" s="106"/>
      <c r="ACE71" s="106"/>
      <c r="ACF71" s="106"/>
      <c r="ACG71" s="106"/>
      <c r="ACH71" s="106"/>
      <c r="ACI71" s="106"/>
      <c r="ACJ71" s="106"/>
      <c r="ACK71" s="106"/>
      <c r="ACL71" s="106"/>
      <c r="ACM71" s="106"/>
      <c r="ACN71" s="106"/>
      <c r="ACO71" s="106"/>
      <c r="ACP71" s="106"/>
      <c r="ACQ71" s="106"/>
      <c r="ACR71" s="106"/>
      <c r="ACS71" s="106"/>
      <c r="ACT71" s="106"/>
      <c r="ACU71" s="106"/>
      <c r="ACV71" s="106"/>
      <c r="ACW71" s="106"/>
      <c r="ACX71" s="106"/>
      <c r="ACY71" s="106"/>
      <c r="ACZ71" s="106"/>
      <c r="ADA71" s="106"/>
      <c r="ADB71" s="106"/>
      <c r="ADC71" s="106"/>
      <c r="ADD71" s="106"/>
      <c r="ADE71" s="106"/>
      <c r="ADF71" s="106"/>
      <c r="ADG71" s="106"/>
      <c r="ADH71" s="106"/>
      <c r="ADI71" s="106"/>
      <c r="ADJ71" s="106"/>
      <c r="ADK71" s="106"/>
      <c r="ADL71" s="106"/>
      <c r="ADM71" s="106"/>
      <c r="ADN71" s="106"/>
      <c r="ADO71" s="106"/>
      <c r="ADP71" s="106"/>
      <c r="ADQ71" s="106"/>
      <c r="ADR71" s="106"/>
      <c r="ADS71" s="106"/>
      <c r="ADT71" s="106"/>
      <c r="ADU71" s="106"/>
      <c r="ADV71" s="106"/>
      <c r="ADW71" s="106"/>
      <c r="ADX71" s="106"/>
      <c r="ADY71" s="106"/>
      <c r="ADZ71" s="106"/>
      <c r="AEA71" s="106"/>
      <c r="AEB71" s="106"/>
      <c r="AEC71" s="106"/>
      <c r="AED71" s="106"/>
      <c r="AEE71" s="106"/>
      <c r="AEF71" s="106"/>
      <c r="AEG71" s="106"/>
      <c r="AEH71" s="106"/>
      <c r="AEI71" s="106"/>
      <c r="AEJ71" s="106"/>
      <c r="AEK71" s="106"/>
      <c r="AEL71" s="106"/>
      <c r="AEM71" s="106"/>
      <c r="AEN71" s="106"/>
      <c r="AEO71" s="106"/>
      <c r="AEP71" s="106"/>
      <c r="AEQ71" s="106"/>
      <c r="AER71" s="106"/>
      <c r="AES71" s="106"/>
      <c r="AET71" s="106"/>
      <c r="AEU71" s="106"/>
      <c r="AEV71" s="106"/>
      <c r="AEW71" s="106"/>
      <c r="AEX71" s="106"/>
      <c r="AEY71" s="106"/>
      <c r="AEZ71" s="106"/>
      <c r="AFA71" s="106"/>
      <c r="AFB71" s="106"/>
      <c r="AFC71" s="106"/>
      <c r="AFD71" s="106"/>
      <c r="AFE71" s="106"/>
      <c r="AFF71" s="106"/>
      <c r="AFG71" s="106"/>
      <c r="AFH71" s="106"/>
      <c r="AFI71" s="106"/>
      <c r="AFJ71" s="106"/>
      <c r="AFK71" s="106"/>
      <c r="AFL71" s="106"/>
      <c r="AFM71" s="106"/>
      <c r="AFN71" s="106"/>
      <c r="AFO71" s="106"/>
      <c r="AFP71" s="106"/>
      <c r="AFQ71" s="106"/>
      <c r="AFR71" s="106"/>
      <c r="AFS71" s="106"/>
      <c r="AFT71" s="106"/>
      <c r="AFU71" s="106"/>
      <c r="AFV71" s="106"/>
      <c r="AFW71" s="106"/>
      <c r="AFX71" s="106"/>
      <c r="AFY71" s="106"/>
      <c r="AFZ71" s="106"/>
      <c r="AGA71" s="106"/>
      <c r="AGB71" s="106"/>
      <c r="AGC71" s="106"/>
      <c r="AGD71" s="106"/>
      <c r="AGE71" s="106"/>
      <c r="AGF71" s="106"/>
      <c r="AGG71" s="106"/>
      <c r="AGH71" s="106"/>
      <c r="AGI71" s="106"/>
      <c r="AGJ71" s="106"/>
      <c r="AGK71" s="106"/>
      <c r="AGL71" s="106"/>
      <c r="AGM71" s="106"/>
      <c r="AGN71" s="106"/>
      <c r="AGO71" s="106"/>
      <c r="AGP71" s="106"/>
      <c r="AGQ71" s="106"/>
      <c r="AGR71" s="106"/>
      <c r="AGS71" s="106"/>
      <c r="AGT71" s="106"/>
      <c r="AGU71" s="106"/>
      <c r="AGV71" s="106"/>
      <c r="AGW71" s="106"/>
      <c r="AGX71" s="106"/>
      <c r="AGY71" s="106"/>
      <c r="AGZ71" s="106"/>
      <c r="AHA71" s="106"/>
      <c r="AHB71" s="106"/>
      <c r="AHC71" s="106"/>
      <c r="AHD71" s="106"/>
      <c r="AHE71" s="106"/>
      <c r="AHF71" s="106"/>
      <c r="AHG71" s="106"/>
      <c r="AHH71" s="106"/>
      <c r="AHI71" s="106"/>
      <c r="AHJ71" s="106"/>
      <c r="AHK71" s="106"/>
      <c r="AHL71" s="106"/>
      <c r="AHM71" s="106"/>
      <c r="AHN71" s="106"/>
      <c r="AHO71" s="106"/>
      <c r="AHP71" s="106"/>
      <c r="AHQ71" s="106"/>
      <c r="AHR71" s="106"/>
      <c r="AHS71" s="106"/>
      <c r="AHT71" s="106"/>
      <c r="AHU71" s="106"/>
      <c r="AHV71" s="106"/>
      <c r="AHW71" s="106"/>
      <c r="AHX71" s="106"/>
      <c r="AHY71" s="106"/>
      <c r="AHZ71" s="106"/>
      <c r="AIA71" s="106"/>
      <c r="AIB71" s="106"/>
      <c r="AIC71" s="106"/>
      <c r="AID71" s="106"/>
      <c r="AIE71" s="106"/>
      <c r="AIF71" s="106"/>
      <c r="AIG71" s="106"/>
      <c r="AIH71" s="106"/>
      <c r="AII71" s="106"/>
      <c r="AIJ71" s="106"/>
      <c r="AIK71" s="106"/>
      <c r="AIL71" s="106"/>
      <c r="AIM71" s="106"/>
      <c r="AIN71" s="106"/>
      <c r="AIO71" s="106"/>
      <c r="AIP71" s="106"/>
      <c r="AIQ71" s="106"/>
      <c r="AIR71" s="106"/>
      <c r="AIS71" s="106"/>
      <c r="AIT71" s="106"/>
      <c r="AIU71" s="106"/>
      <c r="AIV71" s="106"/>
      <c r="AIW71" s="106"/>
      <c r="AIX71" s="106"/>
      <c r="AIY71" s="106"/>
      <c r="AIZ71" s="106"/>
      <c r="AJA71" s="106"/>
      <c r="AJB71" s="106"/>
      <c r="AJC71" s="106"/>
      <c r="AJD71" s="106"/>
      <c r="AJE71" s="106"/>
      <c r="AJF71" s="106"/>
      <c r="AJG71" s="106"/>
      <c r="AJH71" s="106"/>
      <c r="AJI71" s="106"/>
      <c r="AJJ71" s="106"/>
      <c r="AJK71" s="106"/>
      <c r="AJL71" s="106"/>
      <c r="AJM71" s="106"/>
      <c r="AJN71" s="106"/>
      <c r="AJO71" s="106"/>
      <c r="AJP71" s="106"/>
      <c r="AJQ71" s="106"/>
      <c r="AJR71" s="106"/>
      <c r="AJS71" s="106"/>
      <c r="AJT71" s="106"/>
      <c r="AJU71" s="106"/>
      <c r="AJV71" s="106"/>
      <c r="AJW71" s="106"/>
      <c r="AJX71" s="106"/>
      <c r="AJY71" s="106"/>
      <c r="AJZ71" s="106"/>
      <c r="AKA71" s="106"/>
      <c r="AKB71" s="106"/>
      <c r="AKC71" s="106"/>
      <c r="AKD71" s="106"/>
      <c r="AKE71" s="106"/>
      <c r="AKF71" s="106"/>
      <c r="AKG71" s="106"/>
      <c r="AKH71" s="106"/>
      <c r="AKI71" s="106"/>
      <c r="AKJ71" s="106"/>
      <c r="AKK71" s="106"/>
      <c r="AKL71" s="106"/>
      <c r="AKM71" s="106"/>
      <c r="AKN71" s="106"/>
      <c r="AKO71" s="106"/>
      <c r="AKP71" s="106"/>
      <c r="AKQ71" s="106"/>
    </row>
    <row r="72" spans="1:979" ht="24" customHeight="1" x14ac:dyDescent="0.25">
      <c r="A72" s="855"/>
      <c r="B72" s="579"/>
      <c r="C72" s="582" t="s">
        <v>36</v>
      </c>
      <c r="D72" s="140"/>
      <c r="E72" s="140"/>
      <c r="F72" s="479">
        <f>SUM(F71)</f>
        <v>358</v>
      </c>
      <c r="G72" s="140">
        <f t="shared" ref="G72:BK72" si="73">SUM(G71)</f>
        <v>716000</v>
      </c>
      <c r="H72" s="140">
        <f t="shared" si="73"/>
        <v>0</v>
      </c>
      <c r="I72" s="140">
        <f t="shared" si="73"/>
        <v>716000</v>
      </c>
      <c r="J72" s="140">
        <f t="shared" si="73"/>
        <v>0</v>
      </c>
      <c r="K72" s="140">
        <f t="shared" si="73"/>
        <v>0</v>
      </c>
      <c r="L72" s="140">
        <f t="shared" si="73"/>
        <v>0</v>
      </c>
      <c r="M72" s="140">
        <f t="shared" si="73"/>
        <v>0</v>
      </c>
      <c r="N72" s="140">
        <f t="shared" si="73"/>
        <v>0</v>
      </c>
      <c r="O72" s="140">
        <f t="shared" si="73"/>
        <v>0</v>
      </c>
      <c r="P72" s="140">
        <f t="shared" si="73"/>
        <v>0</v>
      </c>
      <c r="Q72" s="140">
        <f t="shared" si="73"/>
        <v>0</v>
      </c>
      <c r="R72" s="479">
        <f>SUM(R71)</f>
        <v>0</v>
      </c>
      <c r="S72" s="479">
        <f>SUM(S71)</f>
        <v>179</v>
      </c>
      <c r="T72" s="479">
        <f>SUM(T71)</f>
        <v>89.5</v>
      </c>
      <c r="U72" s="479">
        <f>SUM(U71)</f>
        <v>89.5</v>
      </c>
      <c r="V72" s="140">
        <f t="shared" si="73"/>
        <v>0</v>
      </c>
      <c r="W72" s="140">
        <f t="shared" si="73"/>
        <v>358000</v>
      </c>
      <c r="X72" s="140">
        <f t="shared" si="73"/>
        <v>179000</v>
      </c>
      <c r="Y72" s="140">
        <f t="shared" si="73"/>
        <v>179000</v>
      </c>
      <c r="Z72" s="140">
        <f t="shared" si="73"/>
        <v>21</v>
      </c>
      <c r="AA72" s="140">
        <f t="shared" si="73"/>
        <v>42000</v>
      </c>
      <c r="AB72" s="140">
        <f t="shared" si="73"/>
        <v>20</v>
      </c>
      <c r="AC72" s="140">
        <f t="shared" si="73"/>
        <v>40000</v>
      </c>
      <c r="AD72" s="140">
        <f t="shared" si="73"/>
        <v>20</v>
      </c>
      <c r="AE72" s="140">
        <f t="shared" si="73"/>
        <v>40000</v>
      </c>
      <c r="AF72" s="140">
        <f t="shared" si="73"/>
        <v>10</v>
      </c>
      <c r="AG72" s="140">
        <f t="shared" si="73"/>
        <v>20000</v>
      </c>
      <c r="AH72" s="140">
        <f t="shared" si="73"/>
        <v>20</v>
      </c>
      <c r="AI72" s="140">
        <f t="shared" si="73"/>
        <v>40000</v>
      </c>
      <c r="AJ72" s="140">
        <f t="shared" si="73"/>
        <v>30</v>
      </c>
      <c r="AK72" s="140">
        <f t="shared" si="73"/>
        <v>60000</v>
      </c>
      <c r="AL72" s="140">
        <f t="shared" si="73"/>
        <v>10</v>
      </c>
      <c r="AM72" s="140">
        <f t="shared" si="73"/>
        <v>20000</v>
      </c>
      <c r="AN72" s="140">
        <f t="shared" si="73"/>
        <v>20</v>
      </c>
      <c r="AO72" s="140">
        <f t="shared" si="73"/>
        <v>40000</v>
      </c>
      <c r="AP72" s="140">
        <f t="shared" si="73"/>
        <v>5</v>
      </c>
      <c r="AQ72" s="140">
        <f t="shared" si="73"/>
        <v>10000</v>
      </c>
      <c r="AR72" s="140">
        <f t="shared" si="73"/>
        <v>10</v>
      </c>
      <c r="AS72" s="140">
        <f t="shared" si="73"/>
        <v>20000</v>
      </c>
      <c r="AT72" s="140">
        <f t="shared" si="73"/>
        <v>20</v>
      </c>
      <c r="AU72" s="140">
        <f t="shared" si="73"/>
        <v>40000</v>
      </c>
      <c r="AV72" s="140">
        <f t="shared" si="73"/>
        <v>30</v>
      </c>
      <c r="AW72" s="140">
        <f t="shared" si="73"/>
        <v>60000</v>
      </c>
      <c r="AX72" s="140">
        <f t="shared" si="73"/>
        <v>32</v>
      </c>
      <c r="AY72" s="140">
        <f t="shared" si="73"/>
        <v>64000</v>
      </c>
      <c r="AZ72" s="140">
        <f t="shared" si="73"/>
        <v>10</v>
      </c>
      <c r="BA72" s="140">
        <f t="shared" si="73"/>
        <v>20000</v>
      </c>
      <c r="BB72" s="140">
        <f t="shared" si="73"/>
        <v>40</v>
      </c>
      <c r="BC72" s="140">
        <f t="shared" si="73"/>
        <v>80000</v>
      </c>
      <c r="BD72" s="140">
        <f t="shared" si="73"/>
        <v>30</v>
      </c>
      <c r="BE72" s="140">
        <f t="shared" si="73"/>
        <v>60000</v>
      </c>
      <c r="BF72" s="140">
        <f t="shared" si="73"/>
        <v>30</v>
      </c>
      <c r="BG72" s="140">
        <f t="shared" si="73"/>
        <v>60000</v>
      </c>
      <c r="BH72" s="140">
        <f t="shared" si="73"/>
        <v>0</v>
      </c>
      <c r="BI72" s="140">
        <f t="shared" si="73"/>
        <v>0</v>
      </c>
      <c r="BJ72" s="140">
        <f t="shared" si="73"/>
        <v>358</v>
      </c>
      <c r="BK72" s="140">
        <f t="shared" si="73"/>
        <v>716000</v>
      </c>
      <c r="BL72" s="47"/>
      <c r="BN72" s="140">
        <f t="shared" ref="BN72:BU72" si="74">SUM(BN71)</f>
        <v>0</v>
      </c>
      <c r="BO72" s="140">
        <f t="shared" si="74"/>
        <v>0</v>
      </c>
      <c r="BP72" s="140">
        <f t="shared" si="74"/>
        <v>0</v>
      </c>
      <c r="BQ72" s="140">
        <f t="shared" si="74"/>
        <v>716000</v>
      </c>
      <c r="BR72" s="140">
        <f t="shared" si="74"/>
        <v>716000</v>
      </c>
      <c r="BS72" s="140">
        <f t="shared" si="74"/>
        <v>0</v>
      </c>
      <c r="BT72" s="140">
        <f t="shared" si="74"/>
        <v>0</v>
      </c>
      <c r="BU72" s="140">
        <f t="shared" si="74"/>
        <v>0</v>
      </c>
      <c r="BV72" s="485">
        <f t="shared" si="69"/>
        <v>716000</v>
      </c>
    </row>
    <row r="73" spans="1:979" ht="24" customHeight="1" x14ac:dyDescent="0.25">
      <c r="A73" s="855"/>
      <c r="B73" s="132"/>
      <c r="C73" s="568" t="s">
        <v>13</v>
      </c>
      <c r="D73" s="130"/>
      <c r="E73" s="71"/>
      <c r="F73" s="157">
        <f>F72+F69</f>
        <v>2623</v>
      </c>
      <c r="G73" s="71">
        <f t="shared" ref="G73:BK73" si="75">G72+G69</f>
        <v>4855250</v>
      </c>
      <c r="H73" s="71">
        <f t="shared" si="75"/>
        <v>737850</v>
      </c>
      <c r="I73" s="71">
        <f t="shared" si="75"/>
        <v>4117400</v>
      </c>
      <c r="J73" s="71">
        <f t="shared" si="75"/>
        <v>0</v>
      </c>
      <c r="K73" s="71">
        <f t="shared" si="75"/>
        <v>0</v>
      </c>
      <c r="L73" s="71">
        <f t="shared" si="75"/>
        <v>0</v>
      </c>
      <c r="M73" s="71">
        <f t="shared" si="75"/>
        <v>0</v>
      </c>
      <c r="N73" s="71">
        <f t="shared" si="75"/>
        <v>0</v>
      </c>
      <c r="O73" s="71">
        <f t="shared" si="75"/>
        <v>0</v>
      </c>
      <c r="P73" s="71">
        <f t="shared" si="75"/>
        <v>0</v>
      </c>
      <c r="Q73" s="71">
        <f t="shared" si="75"/>
        <v>0</v>
      </c>
      <c r="R73" s="157">
        <f t="shared" si="75"/>
        <v>1128</v>
      </c>
      <c r="S73" s="157">
        <f t="shared" si="75"/>
        <v>743</v>
      </c>
      <c r="T73" s="157">
        <f t="shared" si="75"/>
        <v>653.5</v>
      </c>
      <c r="U73" s="157">
        <f t="shared" si="75"/>
        <v>89.5</v>
      </c>
      <c r="V73" s="71">
        <f t="shared" si="75"/>
        <v>1844625</v>
      </c>
      <c r="W73" s="71">
        <f t="shared" si="75"/>
        <v>1280312.5</v>
      </c>
      <c r="X73" s="71">
        <f t="shared" si="75"/>
        <v>1101312.5</v>
      </c>
      <c r="Y73" s="71">
        <f t="shared" si="75"/>
        <v>179000</v>
      </c>
      <c r="Z73" s="71">
        <f t="shared" si="75"/>
        <v>142</v>
      </c>
      <c r="AA73" s="71">
        <f t="shared" si="75"/>
        <v>324500</v>
      </c>
      <c r="AB73" s="71">
        <f t="shared" si="75"/>
        <v>83</v>
      </c>
      <c r="AC73" s="71">
        <f t="shared" si="75"/>
        <v>213500</v>
      </c>
      <c r="AD73" s="71">
        <f t="shared" si="75"/>
        <v>141</v>
      </c>
      <c r="AE73" s="71">
        <f t="shared" si="75"/>
        <v>322500</v>
      </c>
      <c r="AF73" s="71">
        <f t="shared" si="75"/>
        <v>140</v>
      </c>
      <c r="AG73" s="71">
        <f t="shared" si="75"/>
        <v>255000</v>
      </c>
      <c r="AH73" s="71">
        <f t="shared" si="75"/>
        <v>93</v>
      </c>
      <c r="AI73" s="71">
        <f t="shared" si="75"/>
        <v>216000</v>
      </c>
      <c r="AJ73" s="71">
        <f t="shared" si="75"/>
        <v>100</v>
      </c>
      <c r="AK73" s="71">
        <f t="shared" si="75"/>
        <v>212500</v>
      </c>
      <c r="AL73" s="71">
        <f t="shared" si="75"/>
        <v>136</v>
      </c>
      <c r="AM73" s="71">
        <f t="shared" si="75"/>
        <v>240500</v>
      </c>
      <c r="AN73" s="71">
        <f t="shared" si="75"/>
        <v>170</v>
      </c>
      <c r="AO73" s="71">
        <f t="shared" si="75"/>
        <v>280000</v>
      </c>
      <c r="AP73" s="71">
        <f t="shared" si="75"/>
        <v>52</v>
      </c>
      <c r="AQ73" s="71">
        <f t="shared" si="75"/>
        <v>125500</v>
      </c>
      <c r="AR73" s="71">
        <f t="shared" si="75"/>
        <v>107</v>
      </c>
      <c r="AS73" s="71">
        <f t="shared" si="75"/>
        <v>215500</v>
      </c>
      <c r="AT73" s="71">
        <f t="shared" si="75"/>
        <v>130</v>
      </c>
      <c r="AU73" s="71">
        <f t="shared" si="75"/>
        <v>202500</v>
      </c>
      <c r="AV73" s="71">
        <f t="shared" si="75"/>
        <v>131</v>
      </c>
      <c r="AW73" s="71">
        <f t="shared" si="75"/>
        <v>270000</v>
      </c>
      <c r="AX73" s="71">
        <f t="shared" si="75"/>
        <v>166</v>
      </c>
      <c r="AY73" s="71">
        <f t="shared" si="75"/>
        <v>313500</v>
      </c>
      <c r="AZ73" s="71">
        <f t="shared" si="75"/>
        <v>130</v>
      </c>
      <c r="BA73" s="71">
        <f t="shared" si="75"/>
        <v>218750</v>
      </c>
      <c r="BB73" s="71">
        <f t="shared" si="75"/>
        <v>191</v>
      </c>
      <c r="BC73" s="71">
        <f t="shared" si="75"/>
        <v>505000</v>
      </c>
      <c r="BD73" s="71">
        <f t="shared" si="75"/>
        <v>410</v>
      </c>
      <c r="BE73" s="71">
        <f t="shared" si="75"/>
        <v>425000</v>
      </c>
      <c r="BF73" s="71">
        <f t="shared" si="75"/>
        <v>301</v>
      </c>
      <c r="BG73" s="71">
        <f t="shared" si="75"/>
        <v>515000</v>
      </c>
      <c r="BH73" s="71">
        <f t="shared" si="75"/>
        <v>0</v>
      </c>
      <c r="BI73" s="71">
        <f t="shared" si="75"/>
        <v>0</v>
      </c>
      <c r="BJ73" s="71">
        <f t="shared" si="75"/>
        <v>2623</v>
      </c>
      <c r="BK73" s="71">
        <f t="shared" si="75"/>
        <v>4855250</v>
      </c>
      <c r="BL73" s="47"/>
      <c r="BN73" s="71">
        <f t="shared" ref="BN73:BU73" si="76">BN72+BN69</f>
        <v>0</v>
      </c>
      <c r="BO73" s="71">
        <f t="shared" si="76"/>
        <v>332500</v>
      </c>
      <c r="BP73" s="71">
        <f t="shared" si="76"/>
        <v>3356750</v>
      </c>
      <c r="BQ73" s="71">
        <f t="shared" si="76"/>
        <v>716000</v>
      </c>
      <c r="BR73" s="71">
        <f t="shared" si="76"/>
        <v>4405250</v>
      </c>
      <c r="BS73" s="71">
        <f t="shared" si="76"/>
        <v>0</v>
      </c>
      <c r="BT73" s="71">
        <f t="shared" si="76"/>
        <v>0</v>
      </c>
      <c r="BU73" s="71">
        <f t="shared" si="76"/>
        <v>0</v>
      </c>
      <c r="BV73" s="447">
        <f t="shared" si="69"/>
        <v>4405250</v>
      </c>
    </row>
    <row r="74" spans="1:979" ht="24" customHeight="1" x14ac:dyDescent="0.25">
      <c r="A74" s="855"/>
      <c r="B74" s="583"/>
      <c r="C74" s="184" t="s">
        <v>42</v>
      </c>
      <c r="D74" s="568"/>
      <c r="E74" s="568"/>
      <c r="F74" s="584">
        <f t="shared" ref="F74:BK74" si="77">F73+F62+F31+F17</f>
        <v>38357</v>
      </c>
      <c r="G74" s="568">
        <f t="shared" si="77"/>
        <v>46923950</v>
      </c>
      <c r="H74" s="568">
        <f t="shared" si="77"/>
        <v>4701590</v>
      </c>
      <c r="I74" s="568">
        <f t="shared" si="77"/>
        <v>42222360</v>
      </c>
      <c r="J74" s="568">
        <f t="shared" si="77"/>
        <v>0</v>
      </c>
      <c r="K74" s="568">
        <f t="shared" si="77"/>
        <v>0</v>
      </c>
      <c r="L74" s="568">
        <f t="shared" si="77"/>
        <v>0</v>
      </c>
      <c r="M74" s="568">
        <f t="shared" si="77"/>
        <v>0</v>
      </c>
      <c r="N74" s="568">
        <f t="shared" si="77"/>
        <v>0</v>
      </c>
      <c r="O74" s="568">
        <f t="shared" si="77"/>
        <v>0</v>
      </c>
      <c r="P74" s="568">
        <f t="shared" si="77"/>
        <v>0</v>
      </c>
      <c r="Q74" s="568">
        <f t="shared" si="77"/>
        <v>0</v>
      </c>
      <c r="R74" s="584">
        <f t="shared" si="77"/>
        <v>12439.5</v>
      </c>
      <c r="S74" s="584">
        <f t="shared" si="77"/>
        <v>9852.5</v>
      </c>
      <c r="T74" s="584">
        <f t="shared" si="77"/>
        <v>9309.5</v>
      </c>
      <c r="U74" s="584">
        <f t="shared" si="77"/>
        <v>7896.5</v>
      </c>
      <c r="V74" s="568">
        <f t="shared" si="77"/>
        <v>29804175</v>
      </c>
      <c r="W74" s="568">
        <f t="shared" si="77"/>
        <v>15120862.5</v>
      </c>
      <c r="X74" s="568">
        <f t="shared" si="77"/>
        <v>13664362.5</v>
      </c>
      <c r="Y74" s="568">
        <f t="shared" si="77"/>
        <v>5134550</v>
      </c>
      <c r="Z74" s="568">
        <f t="shared" si="77"/>
        <v>2180</v>
      </c>
      <c r="AA74" s="568">
        <f t="shared" si="77"/>
        <v>2634850</v>
      </c>
      <c r="AB74" s="568">
        <f t="shared" si="77"/>
        <v>1326</v>
      </c>
      <c r="AC74" s="568">
        <f t="shared" si="77"/>
        <v>2131250</v>
      </c>
      <c r="AD74" s="568">
        <f t="shared" si="77"/>
        <v>2157</v>
      </c>
      <c r="AE74" s="568">
        <f t="shared" si="77"/>
        <v>2618550</v>
      </c>
      <c r="AF74" s="568">
        <f t="shared" si="77"/>
        <v>2484</v>
      </c>
      <c r="AG74" s="568">
        <f t="shared" si="77"/>
        <v>2676000</v>
      </c>
      <c r="AH74" s="568">
        <f t="shared" si="77"/>
        <v>1787</v>
      </c>
      <c r="AI74" s="568">
        <f t="shared" si="77"/>
        <v>2309050</v>
      </c>
      <c r="AJ74" s="568">
        <f t="shared" si="77"/>
        <v>1425</v>
      </c>
      <c r="AK74" s="568">
        <f t="shared" si="77"/>
        <v>2163150</v>
      </c>
      <c r="AL74" s="568">
        <f t="shared" si="77"/>
        <v>2391</v>
      </c>
      <c r="AM74" s="568">
        <f t="shared" si="77"/>
        <v>2596350</v>
      </c>
      <c r="AN74" s="568">
        <f t="shared" si="77"/>
        <v>3086</v>
      </c>
      <c r="AO74" s="568">
        <f t="shared" si="77"/>
        <v>3536750</v>
      </c>
      <c r="AP74" s="568">
        <f t="shared" si="77"/>
        <v>1239</v>
      </c>
      <c r="AQ74" s="568">
        <f t="shared" si="77"/>
        <v>1780800</v>
      </c>
      <c r="AR74" s="568">
        <f t="shared" si="77"/>
        <v>2112</v>
      </c>
      <c r="AS74" s="568">
        <f t="shared" si="77"/>
        <v>2345950</v>
      </c>
      <c r="AT74" s="568">
        <f t="shared" si="77"/>
        <v>2455</v>
      </c>
      <c r="AU74" s="568">
        <f t="shared" si="77"/>
        <v>2506500</v>
      </c>
      <c r="AV74" s="568">
        <f t="shared" si="77"/>
        <v>2275</v>
      </c>
      <c r="AW74" s="568">
        <f t="shared" si="77"/>
        <v>2510300</v>
      </c>
      <c r="AX74" s="568">
        <f t="shared" si="77"/>
        <v>2737</v>
      </c>
      <c r="AY74" s="568">
        <f t="shared" si="77"/>
        <v>2791050</v>
      </c>
      <c r="AZ74" s="568">
        <f t="shared" si="77"/>
        <v>2543</v>
      </c>
      <c r="BA74" s="568">
        <f t="shared" si="77"/>
        <v>2593600</v>
      </c>
      <c r="BB74" s="568">
        <f t="shared" si="77"/>
        <v>1972</v>
      </c>
      <c r="BC74" s="568">
        <f t="shared" si="77"/>
        <v>2708500</v>
      </c>
      <c r="BD74" s="568">
        <f t="shared" si="77"/>
        <v>3368</v>
      </c>
      <c r="BE74" s="568">
        <f t="shared" si="77"/>
        <v>3057250</v>
      </c>
      <c r="BF74" s="568">
        <f t="shared" si="77"/>
        <v>2803</v>
      </c>
      <c r="BG74" s="568">
        <f t="shared" si="77"/>
        <v>4230050</v>
      </c>
      <c r="BH74" s="568">
        <f t="shared" si="77"/>
        <v>17</v>
      </c>
      <c r="BI74" s="568">
        <f t="shared" si="77"/>
        <v>1734000</v>
      </c>
      <c r="BJ74" s="568">
        <f t="shared" si="77"/>
        <v>38357</v>
      </c>
      <c r="BK74" s="568">
        <f t="shared" si="77"/>
        <v>46923950</v>
      </c>
      <c r="BL74" s="47"/>
      <c r="BN74" s="568">
        <f t="shared" ref="BN74:BU74" si="78">BN73+BN62+BN31+BN17</f>
        <v>0</v>
      </c>
      <c r="BO74" s="568">
        <f t="shared" si="78"/>
        <v>16735000</v>
      </c>
      <c r="BP74" s="568">
        <f t="shared" si="78"/>
        <v>6772950</v>
      </c>
      <c r="BQ74" s="568">
        <f t="shared" si="78"/>
        <v>22966000</v>
      </c>
      <c r="BR74" s="568">
        <f t="shared" si="78"/>
        <v>46473950</v>
      </c>
      <c r="BS74" s="568">
        <f t="shared" si="78"/>
        <v>0</v>
      </c>
      <c r="BT74" s="568">
        <f t="shared" si="78"/>
        <v>0</v>
      </c>
      <c r="BU74" s="568">
        <f t="shared" si="78"/>
        <v>0</v>
      </c>
      <c r="BV74" s="452">
        <f t="shared" si="69"/>
        <v>46473950</v>
      </c>
    </row>
    <row r="75" spans="1:979" ht="33.75" customHeight="1" x14ac:dyDescent="0.25">
      <c r="C75" s="39" t="s">
        <v>507</v>
      </c>
      <c r="G75" s="586"/>
      <c r="H75" s="586"/>
      <c r="I75" s="586"/>
      <c r="J75" s="586"/>
      <c r="K75" s="586"/>
      <c r="L75" s="586"/>
      <c r="M75" s="586"/>
      <c r="N75" s="586"/>
    </row>
    <row r="76" spans="1:979" ht="14.25" customHeight="1" x14ac:dyDescent="0.25">
      <c r="C76" s="39" t="s">
        <v>523</v>
      </c>
    </row>
    <row r="77" spans="1:979" ht="14.25" customHeight="1" x14ac:dyDescent="0.25">
      <c r="C77" s="39" t="s">
        <v>782</v>
      </c>
    </row>
    <row r="78" spans="1:979" ht="14.25" customHeight="1" x14ac:dyDescent="0.25">
      <c r="C78" s="39" t="s">
        <v>524</v>
      </c>
    </row>
    <row r="79" spans="1:979" ht="14.25" customHeight="1" x14ac:dyDescent="0.25">
      <c r="C79" s="39" t="s">
        <v>525</v>
      </c>
    </row>
    <row r="80" spans="1:979" ht="14.25" customHeight="1" x14ac:dyDescent="0.25">
      <c r="C80" s="39" t="s">
        <v>526</v>
      </c>
    </row>
    <row r="81" spans="3:3" ht="14.25" customHeight="1" x14ac:dyDescent="0.25">
      <c r="C81" s="39" t="s">
        <v>527</v>
      </c>
    </row>
    <row r="82" spans="3:3" ht="14.25" customHeight="1" x14ac:dyDescent="0.25">
      <c r="C82" s="39" t="s">
        <v>528</v>
      </c>
    </row>
    <row r="83" spans="3:3" ht="14.25" customHeight="1" x14ac:dyDescent="0.25">
      <c r="C83" s="39" t="s">
        <v>529</v>
      </c>
    </row>
    <row r="84" spans="3:3" ht="14.25" customHeight="1" x14ac:dyDescent="0.25">
      <c r="C84" s="39" t="s">
        <v>530</v>
      </c>
    </row>
    <row r="85" spans="3:3" ht="14.25" customHeight="1" x14ac:dyDescent="0.25">
      <c r="C85" s="39" t="s">
        <v>531</v>
      </c>
    </row>
    <row r="86" spans="3:3" ht="14.25" customHeight="1" x14ac:dyDescent="0.25">
      <c r="C86" s="39" t="s">
        <v>532</v>
      </c>
    </row>
    <row r="87" spans="3:3" ht="14.25" customHeight="1" x14ac:dyDescent="0.25">
      <c r="C87" s="39" t="s">
        <v>533</v>
      </c>
    </row>
    <row r="88" spans="3:3" ht="14.25" customHeight="1" x14ac:dyDescent="0.25">
      <c r="C88" s="39" t="s">
        <v>534</v>
      </c>
    </row>
    <row r="89" spans="3:3" ht="14.25" customHeight="1" x14ac:dyDescent="0.25">
      <c r="C89" s="39" t="s">
        <v>535</v>
      </c>
    </row>
    <row r="90" spans="3:3" ht="14.25" customHeight="1" x14ac:dyDescent="0.25">
      <c r="C90" s="39" t="s">
        <v>536</v>
      </c>
    </row>
  </sheetData>
  <mergeCells count="41">
    <mergeCell ref="A9:A74"/>
    <mergeCell ref="BN7:BR7"/>
    <mergeCell ref="BS7:BU7"/>
    <mergeCell ref="BV7:BV8"/>
    <mergeCell ref="R6:U7"/>
    <mergeCell ref="V6:Y7"/>
    <mergeCell ref="Z6:AA7"/>
    <mergeCell ref="AB6:AC7"/>
    <mergeCell ref="AD6:AE7"/>
    <mergeCell ref="AF6:AG7"/>
    <mergeCell ref="AR6:AS7"/>
    <mergeCell ref="AN6:AO7"/>
    <mergeCell ref="AJ6:AK7"/>
    <mergeCell ref="BL7:BL9"/>
    <mergeCell ref="AL6:AM7"/>
    <mergeCell ref="AP6:AQ7"/>
    <mergeCell ref="A1:B1"/>
    <mergeCell ref="C1:Q1"/>
    <mergeCell ref="A2:B2"/>
    <mergeCell ref="C2:Q2"/>
    <mergeCell ref="BH6:BI7"/>
    <mergeCell ref="AT6:AU7"/>
    <mergeCell ref="AZ6:BA7"/>
    <mergeCell ref="BB6:BC7"/>
    <mergeCell ref="BD6:BE7"/>
    <mergeCell ref="BF6:BG7"/>
    <mergeCell ref="BJ6:BK7"/>
    <mergeCell ref="A3:B3"/>
    <mergeCell ref="C3:Q3"/>
    <mergeCell ref="A4:B4"/>
    <mergeCell ref="C4:Q4"/>
    <mergeCell ref="A5:B5"/>
    <mergeCell ref="C5:Q5"/>
    <mergeCell ref="A7:A8"/>
    <mergeCell ref="B7:B8"/>
    <mergeCell ref="C7:C8"/>
    <mergeCell ref="F6:G6"/>
    <mergeCell ref="AH6:AI7"/>
    <mergeCell ref="H6:Q6"/>
    <mergeCell ref="AV6:AW7"/>
    <mergeCell ref="AX6:AY7"/>
  </mergeCells>
  <pageMargins left="0.31" right="0.17" top="0.56000000000000005" bottom="0.41" header="0.3" footer="0.3"/>
  <pageSetup paperSize="9" scal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CE143"/>
  <sheetViews>
    <sheetView workbookViewId="0">
      <pane xSplit="8" ySplit="10" topLeftCell="AG107" activePane="bottomRight" state="frozen"/>
      <selection pane="topRight" activeCell="I1" sqref="I1"/>
      <selection pane="bottomLeft" activeCell="A11" sqref="A11"/>
      <selection pane="bottomRight" activeCell="AH109" sqref="AH109"/>
    </sheetView>
  </sheetViews>
  <sheetFormatPr defaultRowHeight="15.75" x14ac:dyDescent="0.25"/>
  <cols>
    <col min="1" max="1" width="7.140625" style="32" hidden="1" customWidth="1"/>
    <col min="2" max="2" width="6.28515625" style="32" hidden="1" customWidth="1"/>
    <col min="3" max="3" width="9.42578125" style="32" hidden="1" customWidth="1"/>
    <col min="4" max="4" width="36" style="32" customWidth="1"/>
    <col min="5" max="5" width="11.85546875" style="32" customWidth="1"/>
    <col min="6" max="6" width="17" style="32" customWidth="1"/>
    <col min="7" max="7" width="9.140625" style="95" customWidth="1"/>
    <col min="8" max="8" width="20.7109375" style="95" customWidth="1"/>
    <col min="9" max="9" width="17.85546875" style="95" customWidth="1"/>
    <col min="10" max="10" width="16.7109375" style="95" bestFit="1" customWidth="1"/>
    <col min="11" max="11" width="11.5703125" style="95" customWidth="1"/>
    <col min="12" max="12" width="13.5703125" style="95" customWidth="1"/>
    <col min="13" max="13" width="17.85546875" style="95" customWidth="1"/>
    <col min="14" max="14" width="17.85546875" style="95" bestFit="1" customWidth="1"/>
    <col min="15" max="15" width="5.85546875" style="95" bestFit="1" customWidth="1"/>
    <col min="16" max="16" width="4.85546875" style="95" customWidth="1"/>
    <col min="17" max="17" width="16.5703125" style="95" bestFit="1" customWidth="1"/>
    <col min="18" max="18" width="16.7109375" style="95" customWidth="1"/>
    <col min="19" max="19" width="9.28515625" style="101" customWidth="1"/>
    <col min="20" max="20" width="10.85546875" style="101" customWidth="1"/>
    <col min="21" max="21" width="8.7109375" style="101" customWidth="1"/>
    <col min="22" max="22" width="8.5703125" style="101" customWidth="1"/>
    <col min="23" max="23" width="17.28515625" style="102" customWidth="1"/>
    <col min="24" max="24" width="16.140625" style="102" customWidth="1"/>
    <col min="25" max="25" width="16" style="102" customWidth="1"/>
    <col min="26" max="26" width="18.140625" style="102" customWidth="1"/>
    <col min="27" max="27" width="8.42578125" style="95" customWidth="1"/>
    <col min="28" max="28" width="15.5703125" style="95" customWidth="1"/>
    <col min="29" max="29" width="8.28515625" style="95" customWidth="1"/>
    <col min="30" max="30" width="15.42578125" style="95" customWidth="1"/>
    <col min="31" max="31" width="8.5703125" style="95" customWidth="1"/>
    <col min="32" max="32" width="14.85546875" style="95" customWidth="1"/>
    <col min="33" max="33" width="9.85546875" style="95" customWidth="1"/>
    <col min="34" max="34" width="19.140625" style="95" customWidth="1"/>
    <col min="35" max="35" width="10" style="95" customWidth="1"/>
    <col min="36" max="36" width="17.7109375" style="95" customWidth="1"/>
    <col min="37" max="37" width="9" style="95" customWidth="1"/>
    <col min="38" max="38" width="18" style="95" customWidth="1"/>
    <col min="39" max="39" width="6.28515625" style="95" customWidth="1"/>
    <col min="40" max="40" width="16" style="95" customWidth="1"/>
    <col min="41" max="41" width="6.85546875" style="95" customWidth="1"/>
    <col min="42" max="42" width="16.7109375" style="95" customWidth="1"/>
    <col min="43" max="43" width="7.7109375" style="95" customWidth="1"/>
    <col min="44" max="44" width="13.7109375" style="95" customWidth="1"/>
    <col min="45" max="45" width="7.85546875" style="95" customWidth="1"/>
    <col min="46" max="46" width="14.140625" style="95" customWidth="1"/>
    <col min="47" max="47" width="7" style="95" customWidth="1"/>
    <col min="48" max="48" width="14.85546875" style="95" customWidth="1"/>
    <col min="49" max="49" width="7.140625" style="95" customWidth="1"/>
    <col min="50" max="50" width="14.42578125" style="95" customWidth="1"/>
    <col min="51" max="51" width="8" style="197" customWidth="1"/>
    <col min="52" max="52" width="13.85546875" style="95" customWidth="1"/>
    <col min="53" max="53" width="11.140625" style="95" customWidth="1"/>
    <col min="54" max="54" width="14.7109375" style="95" customWidth="1"/>
    <col min="55" max="55" width="11" style="95" customWidth="1"/>
    <col min="56" max="56" width="16.5703125" style="95" customWidth="1"/>
    <col min="57" max="57" width="10.42578125" style="197" customWidth="1"/>
    <col min="58" max="58" width="16.5703125" style="95" customWidth="1"/>
    <col min="59" max="59" width="10" style="95" customWidth="1"/>
    <col min="60" max="60" width="17.28515625" style="95" customWidth="1"/>
    <col min="61" max="61" width="7.140625" style="95" customWidth="1"/>
    <col min="62" max="62" width="15.7109375" style="95" customWidth="1"/>
    <col min="63" max="63" width="12" style="95" customWidth="1"/>
    <col min="64" max="64" width="17.140625" style="95" customWidth="1"/>
    <col min="65" max="65" width="35.140625" style="312" customWidth="1"/>
    <col min="66" max="66" width="18.5703125" style="32" customWidth="1"/>
    <col min="67" max="67" width="18.7109375" style="32" customWidth="1"/>
    <col min="68" max="68" width="18.5703125" style="32" customWidth="1"/>
    <col min="69" max="69" width="16.7109375" style="32" customWidth="1"/>
    <col min="70" max="70" width="11.5703125" style="32" customWidth="1"/>
    <col min="71" max="71" width="18.140625" style="32" bestFit="1" customWidth="1"/>
    <col min="72" max="73" width="9.140625" style="32" customWidth="1"/>
    <col min="74" max="74" width="16.7109375" style="32" customWidth="1"/>
    <col min="75" max="75" width="19" style="32" customWidth="1"/>
    <col min="76" max="16384" width="9.140625" style="32"/>
  </cols>
  <sheetData>
    <row r="1" spans="1:75" ht="12.75" customHeight="1" x14ac:dyDescent="0.25">
      <c r="A1" s="886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7"/>
      <c r="AY1" s="95"/>
      <c r="BE1" s="95"/>
    </row>
    <row r="2" spans="1:75" ht="13.5" customHeight="1" x14ac:dyDescent="0.25">
      <c r="A2" s="877" t="s">
        <v>409</v>
      </c>
      <c r="B2" s="877"/>
      <c r="C2" s="877"/>
      <c r="D2" s="878" t="s">
        <v>403</v>
      </c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9"/>
      <c r="S2" s="90"/>
      <c r="T2" s="90"/>
      <c r="U2" s="90"/>
      <c r="V2" s="90"/>
      <c r="W2" s="96"/>
      <c r="X2" s="96"/>
      <c r="Y2" s="96"/>
      <c r="Z2" s="96"/>
      <c r="AY2" s="95"/>
      <c r="BE2" s="95"/>
    </row>
    <row r="3" spans="1:75" ht="13.5" customHeight="1" x14ac:dyDescent="0.25">
      <c r="A3" s="877" t="s">
        <v>405</v>
      </c>
      <c r="B3" s="877"/>
      <c r="C3" s="877"/>
      <c r="D3" s="878" t="s">
        <v>404</v>
      </c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9"/>
      <c r="S3" s="90"/>
      <c r="T3" s="90"/>
      <c r="U3" s="90"/>
      <c r="V3" s="90"/>
      <c r="W3" s="96"/>
      <c r="X3" s="96"/>
      <c r="Y3" s="96"/>
      <c r="Z3" s="96"/>
      <c r="AA3" s="95" t="s">
        <v>787</v>
      </c>
      <c r="AB3" s="95">
        <v>8.34</v>
      </c>
      <c r="AD3" s="95">
        <v>2.85</v>
      </c>
      <c r="AF3" s="95">
        <v>8.3800000000000008</v>
      </c>
      <c r="AH3" s="95">
        <v>7.49</v>
      </c>
      <c r="AJ3" s="95">
        <v>3.33</v>
      </c>
      <c r="AL3" s="95">
        <v>6.64</v>
      </c>
      <c r="AN3" s="95">
        <v>3.67</v>
      </c>
      <c r="AP3" s="95">
        <v>5.0599999999999996</v>
      </c>
      <c r="AR3" s="95">
        <v>5.94</v>
      </c>
      <c r="AT3" s="95">
        <v>6.85</v>
      </c>
      <c r="AV3" s="95">
        <v>7.45</v>
      </c>
      <c r="AX3" s="95">
        <v>5.13</v>
      </c>
      <c r="AY3" s="95"/>
      <c r="AZ3" s="95">
        <v>4.8600000000000003</v>
      </c>
      <c r="BB3" s="95">
        <v>5.79</v>
      </c>
      <c r="BD3" s="95">
        <v>5.3</v>
      </c>
      <c r="BE3" s="95"/>
      <c r="BF3" s="95">
        <v>3.47</v>
      </c>
      <c r="BH3" s="95">
        <v>9.42</v>
      </c>
    </row>
    <row r="4" spans="1:75" ht="15" customHeight="1" x14ac:dyDescent="0.25">
      <c r="A4" s="877" t="s">
        <v>406</v>
      </c>
      <c r="B4" s="877"/>
      <c r="C4" s="877"/>
      <c r="D4" s="878" t="s">
        <v>752</v>
      </c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9"/>
      <c r="S4" s="90"/>
      <c r="T4" s="90"/>
      <c r="U4" s="90"/>
      <c r="V4" s="90"/>
      <c r="W4" s="96"/>
      <c r="X4" s="96"/>
      <c r="Y4" s="96"/>
      <c r="Z4" s="96"/>
      <c r="AA4" s="95" t="s">
        <v>785</v>
      </c>
      <c r="AB4" s="95">
        <v>48</v>
      </c>
      <c r="AD4" s="95">
        <v>23</v>
      </c>
      <c r="AF4" s="95">
        <v>80</v>
      </c>
      <c r="AH4" s="95">
        <v>105</v>
      </c>
      <c r="AJ4" s="95">
        <v>43</v>
      </c>
      <c r="AL4" s="95">
        <v>75</v>
      </c>
      <c r="AN4" s="95">
        <v>41</v>
      </c>
      <c r="AP4" s="95">
        <v>101</v>
      </c>
      <c r="AR4" s="95">
        <v>8</v>
      </c>
      <c r="AT4" s="95">
        <v>33</v>
      </c>
      <c r="AV4" s="95">
        <v>53</v>
      </c>
      <c r="AX4" s="95">
        <v>52</v>
      </c>
      <c r="AY4" s="95"/>
      <c r="AZ4" s="95">
        <v>76</v>
      </c>
      <c r="BB4" s="95">
        <v>82</v>
      </c>
      <c r="BD4" s="95">
        <v>104</v>
      </c>
      <c r="BE4" s="95"/>
      <c r="BF4" s="95">
        <v>147</v>
      </c>
      <c r="BH4" s="95">
        <v>54</v>
      </c>
    </row>
    <row r="5" spans="1:75" ht="16.5" customHeight="1" x14ac:dyDescent="0.25">
      <c r="A5" s="877" t="s">
        <v>422</v>
      </c>
      <c r="B5" s="877"/>
      <c r="C5" s="877"/>
      <c r="D5" s="878" t="s">
        <v>201</v>
      </c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9"/>
      <c r="S5" s="90"/>
      <c r="T5" s="90"/>
      <c r="U5" s="90"/>
      <c r="V5" s="90"/>
      <c r="W5" s="96"/>
      <c r="X5" s="96"/>
      <c r="Y5" s="96"/>
      <c r="Z5" s="96"/>
      <c r="AA5" s="95" t="s">
        <v>786</v>
      </c>
      <c r="AB5" s="196">
        <f>AB4/1125*100</f>
        <v>4.2666666666666666</v>
      </c>
      <c r="AC5" s="196">
        <f t="shared" ref="AC5:BH5" si="0">AC4/1125*100</f>
        <v>0</v>
      </c>
      <c r="AD5" s="196">
        <f t="shared" si="0"/>
        <v>2.0444444444444447</v>
      </c>
      <c r="AE5" s="196">
        <f t="shared" si="0"/>
        <v>0</v>
      </c>
      <c r="AF5" s="196">
        <f t="shared" si="0"/>
        <v>7.1111111111111107</v>
      </c>
      <c r="AG5" s="196">
        <f t="shared" si="0"/>
        <v>0</v>
      </c>
      <c r="AH5" s="196">
        <f t="shared" si="0"/>
        <v>9.3333333333333339</v>
      </c>
      <c r="AI5" s="196">
        <f t="shared" si="0"/>
        <v>0</v>
      </c>
      <c r="AJ5" s="196">
        <f t="shared" si="0"/>
        <v>3.822222222222222</v>
      </c>
      <c r="AK5" s="196">
        <f t="shared" si="0"/>
        <v>0</v>
      </c>
      <c r="AL5" s="196">
        <f t="shared" si="0"/>
        <v>6.666666666666667</v>
      </c>
      <c r="AM5" s="196">
        <f t="shared" si="0"/>
        <v>0</v>
      </c>
      <c r="AN5" s="196">
        <f t="shared" si="0"/>
        <v>3.6444444444444448</v>
      </c>
      <c r="AO5" s="196">
        <f t="shared" si="0"/>
        <v>0</v>
      </c>
      <c r="AP5" s="196">
        <f t="shared" si="0"/>
        <v>8.9777777777777779</v>
      </c>
      <c r="AQ5" s="196">
        <f t="shared" si="0"/>
        <v>0</v>
      </c>
      <c r="AR5" s="196">
        <f t="shared" si="0"/>
        <v>0.71111111111111114</v>
      </c>
      <c r="AS5" s="196">
        <f t="shared" si="0"/>
        <v>0</v>
      </c>
      <c r="AT5" s="196">
        <f t="shared" si="0"/>
        <v>2.9333333333333331</v>
      </c>
      <c r="AU5" s="196">
        <f t="shared" si="0"/>
        <v>0</v>
      </c>
      <c r="AV5" s="196">
        <f t="shared" si="0"/>
        <v>4.7111111111111112</v>
      </c>
      <c r="AW5" s="196">
        <f t="shared" si="0"/>
        <v>0</v>
      </c>
      <c r="AX5" s="196">
        <f t="shared" si="0"/>
        <v>4.6222222222222218</v>
      </c>
      <c r="AY5" s="196">
        <f t="shared" si="0"/>
        <v>0</v>
      </c>
      <c r="AZ5" s="196">
        <f t="shared" si="0"/>
        <v>6.7555555555555546</v>
      </c>
      <c r="BA5" s="196">
        <f t="shared" si="0"/>
        <v>0</v>
      </c>
      <c r="BB5" s="196">
        <f t="shared" si="0"/>
        <v>7.2888888888888896</v>
      </c>
      <c r="BC5" s="196">
        <f t="shared" si="0"/>
        <v>0</v>
      </c>
      <c r="BD5" s="196">
        <f t="shared" si="0"/>
        <v>9.2444444444444436</v>
      </c>
      <c r="BE5" s="196">
        <f t="shared" si="0"/>
        <v>0</v>
      </c>
      <c r="BF5" s="196">
        <f t="shared" si="0"/>
        <v>13.066666666666665</v>
      </c>
      <c r="BG5" s="196">
        <f t="shared" si="0"/>
        <v>0</v>
      </c>
      <c r="BH5" s="196">
        <f t="shared" si="0"/>
        <v>4.8</v>
      </c>
    </row>
    <row r="6" spans="1:75" ht="11.25" customHeight="1" x14ac:dyDescent="0.25">
      <c r="A6" s="877" t="s">
        <v>428</v>
      </c>
      <c r="B6" s="877"/>
      <c r="C6" s="877"/>
      <c r="D6" s="878" t="s">
        <v>429</v>
      </c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9"/>
      <c r="S6" s="90"/>
      <c r="T6" s="90"/>
      <c r="U6" s="90"/>
      <c r="V6" s="90"/>
      <c r="W6" s="96"/>
      <c r="X6" s="96"/>
      <c r="Y6" s="96"/>
      <c r="Z6" s="96"/>
      <c r="AY6" s="95"/>
      <c r="BE6" s="95"/>
    </row>
    <row r="7" spans="1:75" ht="15.75" customHeight="1" x14ac:dyDescent="0.25">
      <c r="A7" s="878"/>
      <c r="B7" s="878"/>
      <c r="C7" s="878"/>
      <c r="D7" s="878"/>
      <c r="E7" s="878"/>
      <c r="F7" s="33"/>
      <c r="G7" s="880" t="s">
        <v>22</v>
      </c>
      <c r="H7" s="880"/>
      <c r="I7" s="881" t="s">
        <v>402</v>
      </c>
      <c r="J7" s="882"/>
      <c r="K7" s="882"/>
      <c r="L7" s="882"/>
      <c r="M7" s="882"/>
      <c r="N7" s="882"/>
      <c r="O7" s="882"/>
      <c r="P7" s="882"/>
      <c r="Q7" s="882"/>
      <c r="R7" s="883"/>
      <c r="S7" s="884" t="s">
        <v>67</v>
      </c>
      <c r="T7" s="884"/>
      <c r="U7" s="884"/>
      <c r="V7" s="884"/>
      <c r="W7" s="885" t="s">
        <v>6</v>
      </c>
      <c r="X7" s="885"/>
      <c r="Y7" s="885"/>
      <c r="Z7" s="885"/>
      <c r="AA7" s="866" t="s">
        <v>434</v>
      </c>
      <c r="AB7" s="866"/>
      <c r="AC7" s="866" t="s">
        <v>435</v>
      </c>
      <c r="AD7" s="866"/>
      <c r="AE7" s="866" t="s">
        <v>436</v>
      </c>
      <c r="AF7" s="866"/>
      <c r="AG7" s="866" t="s">
        <v>437</v>
      </c>
      <c r="AH7" s="866"/>
      <c r="AI7" s="866" t="s">
        <v>438</v>
      </c>
      <c r="AJ7" s="866"/>
      <c r="AK7" s="866" t="s">
        <v>439</v>
      </c>
      <c r="AL7" s="866"/>
      <c r="AM7" s="866" t="s">
        <v>440</v>
      </c>
      <c r="AN7" s="866"/>
      <c r="AO7" s="866" t="s">
        <v>441</v>
      </c>
      <c r="AP7" s="866"/>
      <c r="AQ7" s="866" t="s">
        <v>442</v>
      </c>
      <c r="AR7" s="866"/>
      <c r="AS7" s="866" t="s">
        <v>443</v>
      </c>
      <c r="AT7" s="866"/>
      <c r="AU7" s="866" t="s">
        <v>444</v>
      </c>
      <c r="AV7" s="866"/>
      <c r="AW7" s="866" t="s">
        <v>445</v>
      </c>
      <c r="AX7" s="866"/>
      <c r="AY7" s="866" t="s">
        <v>446</v>
      </c>
      <c r="AZ7" s="866"/>
      <c r="BA7" s="866" t="s">
        <v>447</v>
      </c>
      <c r="BB7" s="866"/>
      <c r="BC7" s="866" t="s">
        <v>448</v>
      </c>
      <c r="BD7" s="866"/>
      <c r="BE7" s="866" t="s">
        <v>449</v>
      </c>
      <c r="BF7" s="866"/>
      <c r="BG7" s="866" t="s">
        <v>450</v>
      </c>
      <c r="BH7" s="866"/>
      <c r="BI7" s="876" t="s">
        <v>451</v>
      </c>
      <c r="BJ7" s="876"/>
      <c r="BK7" s="868" t="s">
        <v>18</v>
      </c>
      <c r="BL7" s="868"/>
      <c r="BM7" s="212"/>
      <c r="BN7" s="872"/>
      <c r="BW7" s="114"/>
    </row>
    <row r="8" spans="1:75" s="103" customFormat="1" ht="40.5" customHeight="1" x14ac:dyDescent="0.25">
      <c r="A8" s="213" t="s">
        <v>14</v>
      </c>
      <c r="B8" s="213"/>
      <c r="C8" s="213" t="s">
        <v>1</v>
      </c>
      <c r="D8" s="869" t="s">
        <v>12</v>
      </c>
      <c r="E8" s="869" t="s">
        <v>15</v>
      </c>
      <c r="F8" s="869" t="s">
        <v>432</v>
      </c>
      <c r="G8" s="870" t="s">
        <v>20</v>
      </c>
      <c r="H8" s="870" t="s">
        <v>26</v>
      </c>
      <c r="I8" s="104" t="s">
        <v>457</v>
      </c>
      <c r="J8" s="104" t="s">
        <v>458</v>
      </c>
      <c r="K8" s="104" t="s">
        <v>459</v>
      </c>
      <c r="L8" s="104" t="s">
        <v>460</v>
      </c>
      <c r="M8" s="104" t="s">
        <v>461</v>
      </c>
      <c r="N8" s="104" t="s">
        <v>462</v>
      </c>
      <c r="O8" s="104" t="s">
        <v>463</v>
      </c>
      <c r="P8" s="104" t="s">
        <v>464</v>
      </c>
      <c r="Q8" s="104" t="s">
        <v>465</v>
      </c>
      <c r="R8" s="104" t="s">
        <v>466</v>
      </c>
      <c r="S8" s="884"/>
      <c r="T8" s="884"/>
      <c r="U8" s="884"/>
      <c r="V8" s="884"/>
      <c r="W8" s="885"/>
      <c r="X8" s="885"/>
      <c r="Y8" s="885"/>
      <c r="Z8" s="885"/>
      <c r="AA8" s="866"/>
      <c r="AB8" s="866"/>
      <c r="AC8" s="866" t="s">
        <v>49</v>
      </c>
      <c r="AD8" s="866"/>
      <c r="AE8" s="866" t="s">
        <v>50</v>
      </c>
      <c r="AF8" s="866"/>
      <c r="AG8" s="866" t="s">
        <v>51</v>
      </c>
      <c r="AH8" s="866"/>
      <c r="AI8" s="866" t="s">
        <v>52</v>
      </c>
      <c r="AJ8" s="866"/>
      <c r="AK8" s="866" t="s">
        <v>53</v>
      </c>
      <c r="AL8" s="866"/>
      <c r="AM8" s="866" t="s">
        <v>54</v>
      </c>
      <c r="AN8" s="866"/>
      <c r="AO8" s="866" t="s">
        <v>55</v>
      </c>
      <c r="AP8" s="866"/>
      <c r="AQ8" s="866" t="s">
        <v>56</v>
      </c>
      <c r="AR8" s="866"/>
      <c r="AS8" s="866" t="s">
        <v>57</v>
      </c>
      <c r="AT8" s="866"/>
      <c r="AU8" s="866" t="s">
        <v>58</v>
      </c>
      <c r="AV8" s="866"/>
      <c r="AW8" s="866" t="s">
        <v>59</v>
      </c>
      <c r="AX8" s="866"/>
      <c r="AY8" s="866" t="s">
        <v>60</v>
      </c>
      <c r="AZ8" s="866"/>
      <c r="BA8" s="866" t="s">
        <v>61</v>
      </c>
      <c r="BB8" s="866"/>
      <c r="BC8" s="866" t="s">
        <v>45</v>
      </c>
      <c r="BD8" s="866"/>
      <c r="BE8" s="866" t="s">
        <v>42</v>
      </c>
      <c r="BF8" s="866"/>
      <c r="BG8" s="866"/>
      <c r="BH8" s="866"/>
      <c r="BI8" s="876"/>
      <c r="BJ8" s="876"/>
      <c r="BK8" s="868"/>
      <c r="BL8" s="868"/>
      <c r="BM8" s="314" t="s">
        <v>498</v>
      </c>
      <c r="BN8" s="872"/>
      <c r="BO8" s="871" t="s">
        <v>496</v>
      </c>
      <c r="BP8" s="871"/>
      <c r="BQ8" s="871"/>
      <c r="BR8" s="871"/>
      <c r="BS8" s="871"/>
      <c r="BT8" s="871" t="s">
        <v>497</v>
      </c>
      <c r="BU8" s="871"/>
      <c r="BV8" s="871"/>
      <c r="BW8" s="867" t="s">
        <v>18</v>
      </c>
    </row>
    <row r="9" spans="1:75" s="103" customFormat="1" ht="43.5" customHeight="1" x14ac:dyDescent="0.25">
      <c r="A9" s="213"/>
      <c r="B9" s="213" t="s">
        <v>665</v>
      </c>
      <c r="C9" s="213" t="s">
        <v>2</v>
      </c>
      <c r="D9" s="869"/>
      <c r="E9" s="869"/>
      <c r="F9" s="869" t="s">
        <v>23</v>
      </c>
      <c r="G9" s="870" t="s">
        <v>24</v>
      </c>
      <c r="H9" s="870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91" t="s">
        <v>7</v>
      </c>
      <c r="T9" s="91" t="s">
        <v>8</v>
      </c>
      <c r="U9" s="91" t="s">
        <v>9</v>
      </c>
      <c r="V9" s="91" t="s">
        <v>10</v>
      </c>
      <c r="W9" s="97" t="s">
        <v>7</v>
      </c>
      <c r="X9" s="97" t="s">
        <v>8</v>
      </c>
      <c r="Y9" s="97" t="s">
        <v>9</v>
      </c>
      <c r="Z9" s="97" t="s">
        <v>10</v>
      </c>
      <c r="AA9" s="97" t="s">
        <v>15</v>
      </c>
      <c r="AB9" s="97" t="s">
        <v>16</v>
      </c>
      <c r="AC9" s="97" t="s">
        <v>15</v>
      </c>
      <c r="AD9" s="97" t="s">
        <v>16</v>
      </c>
      <c r="AE9" s="97" t="s">
        <v>15</v>
      </c>
      <c r="AF9" s="97" t="s">
        <v>16</v>
      </c>
      <c r="AG9" s="97" t="s">
        <v>15</v>
      </c>
      <c r="AH9" s="97" t="s">
        <v>16</v>
      </c>
      <c r="AI9" s="97" t="s">
        <v>15</v>
      </c>
      <c r="AJ9" s="97" t="s">
        <v>16</v>
      </c>
      <c r="AK9" s="97" t="s">
        <v>15</v>
      </c>
      <c r="AL9" s="97" t="s">
        <v>16</v>
      </c>
      <c r="AM9" s="97" t="s">
        <v>15</v>
      </c>
      <c r="AN9" s="97" t="s">
        <v>16</v>
      </c>
      <c r="AO9" s="97" t="s">
        <v>15</v>
      </c>
      <c r="AP9" s="97" t="s">
        <v>16</v>
      </c>
      <c r="AQ9" s="97" t="s">
        <v>15</v>
      </c>
      <c r="AR9" s="97" t="s">
        <v>16</v>
      </c>
      <c r="AS9" s="97" t="s">
        <v>15</v>
      </c>
      <c r="AT9" s="97" t="s">
        <v>16</v>
      </c>
      <c r="AU9" s="97" t="s">
        <v>15</v>
      </c>
      <c r="AV9" s="97" t="s">
        <v>16</v>
      </c>
      <c r="AW9" s="97" t="s">
        <v>15</v>
      </c>
      <c r="AX9" s="97" t="s">
        <v>16</v>
      </c>
      <c r="AY9" s="97" t="s">
        <v>15</v>
      </c>
      <c r="AZ9" s="97" t="s">
        <v>16</v>
      </c>
      <c r="BA9" s="97" t="s">
        <v>15</v>
      </c>
      <c r="BB9" s="97" t="s">
        <v>16</v>
      </c>
      <c r="BC9" s="97" t="s">
        <v>15</v>
      </c>
      <c r="BD9" s="97" t="s">
        <v>16</v>
      </c>
      <c r="BE9" s="97" t="s">
        <v>15</v>
      </c>
      <c r="BF9" s="97" t="s">
        <v>16</v>
      </c>
      <c r="BG9" s="97" t="s">
        <v>15</v>
      </c>
      <c r="BH9" s="97" t="s">
        <v>16</v>
      </c>
      <c r="BI9" s="97" t="s">
        <v>15</v>
      </c>
      <c r="BJ9" s="97" t="s">
        <v>16</v>
      </c>
      <c r="BK9" s="97" t="s">
        <v>15</v>
      </c>
      <c r="BL9" s="97" t="s">
        <v>16</v>
      </c>
      <c r="BM9" s="314"/>
      <c r="BN9" s="872"/>
      <c r="BO9" s="33" t="s">
        <v>487</v>
      </c>
      <c r="BP9" s="30" t="s">
        <v>488</v>
      </c>
      <c r="BQ9" s="30" t="s">
        <v>489</v>
      </c>
      <c r="BR9" s="310" t="s">
        <v>490</v>
      </c>
      <c r="BS9" s="30" t="s">
        <v>491</v>
      </c>
      <c r="BT9" s="30" t="s">
        <v>492</v>
      </c>
      <c r="BU9" s="30" t="s">
        <v>493</v>
      </c>
      <c r="BV9" s="30" t="s">
        <v>494</v>
      </c>
      <c r="BW9" s="867"/>
    </row>
    <row r="10" spans="1:75" ht="21" customHeight="1" x14ac:dyDescent="0.25">
      <c r="A10" s="873" t="s">
        <v>201</v>
      </c>
      <c r="B10" s="127"/>
      <c r="C10" s="31">
        <v>21000</v>
      </c>
      <c r="D10" s="34" t="s">
        <v>146</v>
      </c>
      <c r="E10" s="35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68"/>
      <c r="Q10" s="68"/>
      <c r="R10" s="68"/>
      <c r="S10" s="92"/>
      <c r="T10" s="92"/>
      <c r="U10" s="98"/>
      <c r="V10" s="98"/>
      <c r="W10" s="214"/>
      <c r="X10" s="214"/>
      <c r="Y10" s="214"/>
      <c r="Z10" s="21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3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212"/>
      <c r="BO10" s="111"/>
      <c r="BP10" s="111"/>
      <c r="BQ10" s="111"/>
      <c r="BR10" s="111"/>
      <c r="BS10" s="111"/>
      <c r="BT10" s="111"/>
      <c r="BU10" s="111"/>
      <c r="BV10" s="111"/>
      <c r="BW10" s="115">
        <f t="shared" ref="BW10:BW25" si="1">BS10+BV10</f>
        <v>0</v>
      </c>
    </row>
    <row r="11" spans="1:75" ht="18" customHeight="1" x14ac:dyDescent="0.25">
      <c r="A11" s="874"/>
      <c r="B11" s="127"/>
      <c r="C11" s="31">
        <v>21100</v>
      </c>
      <c r="D11" s="31" t="s">
        <v>148</v>
      </c>
      <c r="E11" s="35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68"/>
      <c r="Q11" s="68"/>
      <c r="R11" s="68"/>
      <c r="S11" s="92"/>
      <c r="T11" s="92"/>
      <c r="U11" s="98"/>
      <c r="V11" s="98"/>
      <c r="W11" s="214"/>
      <c r="X11" s="214"/>
      <c r="Y11" s="214"/>
      <c r="Z11" s="21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3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212"/>
      <c r="BO11" s="111"/>
      <c r="BP11" s="111"/>
      <c r="BQ11" s="111"/>
      <c r="BR11" s="111"/>
      <c r="BS11" s="111"/>
      <c r="BT11" s="111"/>
      <c r="BU11" s="111"/>
      <c r="BV11" s="111"/>
      <c r="BW11" s="115">
        <f t="shared" si="1"/>
        <v>0</v>
      </c>
    </row>
    <row r="12" spans="1:75" ht="31.5" x14ac:dyDescent="0.25">
      <c r="A12" s="874"/>
      <c r="B12" s="127"/>
      <c r="C12" s="31"/>
      <c r="D12" s="31" t="s">
        <v>788</v>
      </c>
      <c r="E12" s="31" t="s">
        <v>120</v>
      </c>
      <c r="F12" s="162">
        <f>0.0015*100000</f>
        <v>150</v>
      </c>
      <c r="G12" s="215">
        <f>BK12</f>
        <v>3435</v>
      </c>
      <c r="H12" s="74">
        <f>G12*F12</f>
        <v>515250</v>
      </c>
      <c r="I12" s="74">
        <f>H12*0.2</f>
        <v>103050</v>
      </c>
      <c r="J12" s="74">
        <f>H12*0.8</f>
        <v>412200</v>
      </c>
      <c r="K12" s="74">
        <f>H12*0</f>
        <v>0</v>
      </c>
      <c r="L12" s="74">
        <f>H12*0</f>
        <v>0</v>
      </c>
      <c r="M12" s="74">
        <f>H12*0</f>
        <v>0</v>
      </c>
      <c r="N12" s="74">
        <f>H12*0</f>
        <v>0</v>
      </c>
      <c r="O12" s="74">
        <f>H12*0</f>
        <v>0</v>
      </c>
      <c r="P12" s="74">
        <f t="shared" ref="P12:Q14" si="2">J12*0</f>
        <v>0</v>
      </c>
      <c r="Q12" s="74">
        <f t="shared" si="2"/>
        <v>0</v>
      </c>
      <c r="R12" s="74">
        <f>H12*0</f>
        <v>0</v>
      </c>
      <c r="S12" s="93">
        <f>G12*0.25</f>
        <v>858.75</v>
      </c>
      <c r="T12" s="93">
        <f>G12*0.6</f>
        <v>2061</v>
      </c>
      <c r="U12" s="93">
        <f>G12*0.1</f>
        <v>343.5</v>
      </c>
      <c r="V12" s="93">
        <f>G12*0.05</f>
        <v>171.75</v>
      </c>
      <c r="W12" s="94">
        <f>S12*F12</f>
        <v>128812.5</v>
      </c>
      <c r="X12" s="94">
        <f>T12*F12</f>
        <v>309150</v>
      </c>
      <c r="Y12" s="94">
        <f>U12*F12</f>
        <v>51525</v>
      </c>
      <c r="Z12" s="94">
        <f>V12*F12</f>
        <v>25762.5</v>
      </c>
      <c r="AA12" s="93">
        <v>480</v>
      </c>
      <c r="AB12" s="94">
        <f>AA12*F12</f>
        <v>72000</v>
      </c>
      <c r="AC12" s="93">
        <v>140</v>
      </c>
      <c r="AD12" s="94">
        <f>AC12*F12</f>
        <v>21000</v>
      </c>
      <c r="AE12" s="93">
        <v>150</v>
      </c>
      <c r="AF12" s="94">
        <f>AE12*F12</f>
        <v>22500</v>
      </c>
      <c r="AG12" s="93">
        <v>350</v>
      </c>
      <c r="AH12" s="94">
        <f>AG12*F12</f>
        <v>52500</v>
      </c>
      <c r="AI12" s="93">
        <v>300</v>
      </c>
      <c r="AJ12" s="94">
        <f>AI12*F12</f>
        <v>45000</v>
      </c>
      <c r="AK12" s="93">
        <v>220</v>
      </c>
      <c r="AL12" s="94">
        <f>AK12*F12</f>
        <v>33000</v>
      </c>
      <c r="AM12" s="93">
        <v>120</v>
      </c>
      <c r="AN12" s="94">
        <f>AM12*F12</f>
        <v>18000</v>
      </c>
      <c r="AO12" s="93">
        <v>150</v>
      </c>
      <c r="AP12" s="94">
        <f>AO12*F12</f>
        <v>22500</v>
      </c>
      <c r="AQ12" s="93">
        <v>250</v>
      </c>
      <c r="AR12" s="94">
        <f>AQ12*F12</f>
        <v>37500</v>
      </c>
      <c r="AS12" s="93">
        <v>150</v>
      </c>
      <c r="AT12" s="94">
        <f>AS12*F12</f>
        <v>22500</v>
      </c>
      <c r="AU12" s="93">
        <v>70</v>
      </c>
      <c r="AV12" s="94">
        <f>AU12*F12</f>
        <v>10500</v>
      </c>
      <c r="AW12" s="93">
        <v>95</v>
      </c>
      <c r="AX12" s="94">
        <f>AW12*F12</f>
        <v>14250</v>
      </c>
      <c r="AY12" s="94">
        <v>120</v>
      </c>
      <c r="AZ12" s="94">
        <f>AY12*F12</f>
        <v>18000</v>
      </c>
      <c r="BA12" s="93">
        <v>200</v>
      </c>
      <c r="BB12" s="94">
        <f>BA12*F12</f>
        <v>30000</v>
      </c>
      <c r="BC12" s="93">
        <v>220</v>
      </c>
      <c r="BD12" s="94">
        <f>BC12*F12</f>
        <v>33000</v>
      </c>
      <c r="BE12" s="93">
        <v>120</v>
      </c>
      <c r="BF12" s="94">
        <f>BE12*F12</f>
        <v>18000</v>
      </c>
      <c r="BG12" s="93">
        <v>300</v>
      </c>
      <c r="BH12" s="94">
        <f>BG12*F12</f>
        <v>45000</v>
      </c>
      <c r="BI12" s="93">
        <v>0</v>
      </c>
      <c r="BJ12" s="94">
        <f>BI12*F12</f>
        <v>0</v>
      </c>
      <c r="BK12" s="93">
        <f t="shared" ref="BK12:BL28" si="3">AA12+AC12+AE12+AG12+AI12+AK12+AM12+AO12+AQ12+AS12+AU12+AW12+AY12+BA12+BC12+BE12+BG12+BI12</f>
        <v>3435</v>
      </c>
      <c r="BL12" s="94">
        <f t="shared" si="3"/>
        <v>515250</v>
      </c>
      <c r="BM12" s="315" t="s">
        <v>469</v>
      </c>
      <c r="BN12" s="708">
        <f>BJ12+BH12+BF12+BD12+BB12+AZ12+AX12+AV12+AT12+AR12+AP12+AN12+AL12+AJ12+AH12+AF12+AD12+AB12</f>
        <v>515250</v>
      </c>
      <c r="BO12" s="111"/>
      <c r="BP12" s="111">
        <f>H12</f>
        <v>515250</v>
      </c>
      <c r="BQ12" s="111"/>
      <c r="BR12" s="111"/>
      <c r="BS12" s="111">
        <f>BO12+BP12+BQ12+BR12</f>
        <v>515250</v>
      </c>
      <c r="BT12" s="111"/>
      <c r="BU12" s="111"/>
      <c r="BV12" s="111">
        <f>BT12+BU12</f>
        <v>0</v>
      </c>
      <c r="BW12" s="115">
        <f t="shared" si="1"/>
        <v>515250</v>
      </c>
    </row>
    <row r="13" spans="1:75" x14ac:dyDescent="0.25">
      <c r="A13" s="874"/>
      <c r="B13" s="127"/>
      <c r="C13" s="36"/>
      <c r="D13" s="31" t="s">
        <v>789</v>
      </c>
      <c r="E13" s="31" t="s">
        <v>120</v>
      </c>
      <c r="F13" s="162">
        <f>0.0015*100000</f>
        <v>150</v>
      </c>
      <c r="G13" s="215">
        <f t="shared" ref="G13:G76" si="4">BK13</f>
        <v>3080</v>
      </c>
      <c r="H13" s="74">
        <f>G13*F13</f>
        <v>462000</v>
      </c>
      <c r="I13" s="74">
        <f>H13*0.2</f>
        <v>92400</v>
      </c>
      <c r="J13" s="74">
        <f>H13*0.8</f>
        <v>369600</v>
      </c>
      <c r="K13" s="74">
        <f>H13*0</f>
        <v>0</v>
      </c>
      <c r="L13" s="74">
        <f>H13*0</f>
        <v>0</v>
      </c>
      <c r="M13" s="74">
        <f>H13*0</f>
        <v>0</v>
      </c>
      <c r="N13" s="74">
        <f>H13*0</f>
        <v>0</v>
      </c>
      <c r="O13" s="74">
        <f>H13*0</f>
        <v>0</v>
      </c>
      <c r="P13" s="74">
        <f t="shared" si="2"/>
        <v>0</v>
      </c>
      <c r="Q13" s="74">
        <f t="shared" si="2"/>
        <v>0</v>
      </c>
      <c r="R13" s="74">
        <f>H13*0</f>
        <v>0</v>
      </c>
      <c r="S13" s="93">
        <f>G13*0.25</f>
        <v>770</v>
      </c>
      <c r="T13" s="93">
        <f>G13*0.6</f>
        <v>1848</v>
      </c>
      <c r="U13" s="93">
        <f>G13*0.1</f>
        <v>308</v>
      </c>
      <c r="V13" s="93">
        <f>G13*0.05</f>
        <v>154</v>
      </c>
      <c r="W13" s="94">
        <f>S13*F13</f>
        <v>115500</v>
      </c>
      <c r="X13" s="94">
        <f>T13*F13</f>
        <v>277200</v>
      </c>
      <c r="Y13" s="94">
        <f>U13*F13</f>
        <v>46200</v>
      </c>
      <c r="Z13" s="94">
        <f>V13*F13</f>
        <v>23100</v>
      </c>
      <c r="AA13" s="93">
        <v>480</v>
      </c>
      <c r="AB13" s="94">
        <f t="shared" ref="AB13:AB25" si="5">AA13*F13</f>
        <v>72000</v>
      </c>
      <c r="AC13" s="93">
        <v>150</v>
      </c>
      <c r="AD13" s="94">
        <f t="shared" ref="AD13:AD27" si="6">AC13*F13</f>
        <v>22500</v>
      </c>
      <c r="AE13" s="93">
        <v>130</v>
      </c>
      <c r="AF13" s="94">
        <f t="shared" ref="AF13:AF76" si="7">AE13*F13</f>
        <v>19500</v>
      </c>
      <c r="AG13" s="93">
        <v>300</v>
      </c>
      <c r="AH13" s="94">
        <f t="shared" ref="AH13:AH76" si="8">AG13*F13</f>
        <v>45000</v>
      </c>
      <c r="AI13" s="93">
        <v>250</v>
      </c>
      <c r="AJ13" s="94">
        <f t="shared" ref="AJ13:AJ76" si="9">AI13*F13</f>
        <v>37500</v>
      </c>
      <c r="AK13" s="93">
        <v>115</v>
      </c>
      <c r="AL13" s="94">
        <f t="shared" ref="AL13:AL76" si="10">AK13*F13</f>
        <v>17250</v>
      </c>
      <c r="AM13" s="93">
        <v>120</v>
      </c>
      <c r="AN13" s="94">
        <f t="shared" ref="AN13:AN76" si="11">AM13*F13</f>
        <v>18000</v>
      </c>
      <c r="AO13" s="93">
        <v>150</v>
      </c>
      <c r="AP13" s="94">
        <f t="shared" ref="AP13:AP76" si="12">AO13*F13</f>
        <v>22500</v>
      </c>
      <c r="AQ13" s="93">
        <v>150</v>
      </c>
      <c r="AR13" s="94">
        <f t="shared" ref="AR13:AR76" si="13">AQ13*F13</f>
        <v>22500</v>
      </c>
      <c r="AS13" s="93">
        <v>150</v>
      </c>
      <c r="AT13" s="94">
        <f t="shared" ref="AT13:AT76" si="14">AS13*F13</f>
        <v>22500</v>
      </c>
      <c r="AU13" s="93">
        <v>80</v>
      </c>
      <c r="AV13" s="94">
        <f t="shared" ref="AV13:AV76" si="15">AU13*F13</f>
        <v>12000</v>
      </c>
      <c r="AW13" s="93">
        <v>110</v>
      </c>
      <c r="AX13" s="94">
        <f t="shared" ref="AX13:AX76" si="16">AW13*F13</f>
        <v>16500</v>
      </c>
      <c r="AY13" s="94">
        <v>125</v>
      </c>
      <c r="AZ13" s="94">
        <f t="shared" ref="AZ13:AZ76" si="17">AY13*F13</f>
        <v>18750</v>
      </c>
      <c r="BA13" s="93">
        <v>150</v>
      </c>
      <c r="BB13" s="94">
        <f t="shared" ref="BB13:BB76" si="18">BA13*F13</f>
        <v>22500</v>
      </c>
      <c r="BC13" s="93">
        <v>220</v>
      </c>
      <c r="BD13" s="94">
        <f t="shared" ref="BD13:BD76" si="19">BC13*F13</f>
        <v>33000</v>
      </c>
      <c r="BE13" s="93">
        <v>100</v>
      </c>
      <c r="BF13" s="94">
        <f t="shared" ref="BF13:BF76" si="20">BE13*F13</f>
        <v>15000</v>
      </c>
      <c r="BG13" s="93">
        <v>300</v>
      </c>
      <c r="BH13" s="94">
        <f t="shared" ref="BH13:BH76" si="21">BG13*F13</f>
        <v>45000</v>
      </c>
      <c r="BI13" s="93">
        <v>0</v>
      </c>
      <c r="BJ13" s="94">
        <f t="shared" ref="BJ13:BJ76" si="22">BI13*F13</f>
        <v>0</v>
      </c>
      <c r="BK13" s="93">
        <f t="shared" si="3"/>
        <v>3080</v>
      </c>
      <c r="BL13" s="94">
        <f t="shared" si="3"/>
        <v>462000</v>
      </c>
      <c r="BM13" s="315" t="s">
        <v>469</v>
      </c>
      <c r="BN13" s="708">
        <f>BJ13+BH13+BF13+BD13+BB13+AZ13+AX13+AV13+AT13+AR13+AP13+AN13+AL13+AJ13+AH13+AF13+AD13+AB13</f>
        <v>462000</v>
      </c>
      <c r="BO13" s="111"/>
      <c r="BP13" s="111">
        <f>H13</f>
        <v>462000</v>
      </c>
      <c r="BQ13" s="111"/>
      <c r="BR13" s="111"/>
      <c r="BS13" s="111">
        <f>BO13+BP13+BQ13+BR13</f>
        <v>462000</v>
      </c>
      <c r="BT13" s="111"/>
      <c r="BU13" s="111"/>
      <c r="BV13" s="111">
        <f>BT13+BU13</f>
        <v>0</v>
      </c>
      <c r="BW13" s="115">
        <f t="shared" si="1"/>
        <v>462000</v>
      </c>
    </row>
    <row r="14" spans="1:75" x14ac:dyDescent="0.25">
      <c r="A14" s="874"/>
      <c r="B14" s="127"/>
      <c r="C14" s="36"/>
      <c r="D14" s="31" t="s">
        <v>147</v>
      </c>
      <c r="E14" s="31" t="s">
        <v>120</v>
      </c>
      <c r="F14" s="162">
        <f>0.0045*100000</f>
        <v>449.99999999999994</v>
      </c>
      <c r="G14" s="215">
        <f t="shared" si="4"/>
        <v>2265</v>
      </c>
      <c r="H14" s="74">
        <f>G14*F14</f>
        <v>1019249.9999999999</v>
      </c>
      <c r="I14" s="74">
        <f>H14*0.2</f>
        <v>203850</v>
      </c>
      <c r="J14" s="74">
        <f>H14*0.8</f>
        <v>815400</v>
      </c>
      <c r="K14" s="74">
        <f>H14*0</f>
        <v>0</v>
      </c>
      <c r="L14" s="74">
        <f>H14*0</f>
        <v>0</v>
      </c>
      <c r="M14" s="74">
        <f>H14*0</f>
        <v>0</v>
      </c>
      <c r="N14" s="74">
        <f>H14*0</f>
        <v>0</v>
      </c>
      <c r="O14" s="74">
        <f>H14*0</f>
        <v>0</v>
      </c>
      <c r="P14" s="74">
        <f t="shared" si="2"/>
        <v>0</v>
      </c>
      <c r="Q14" s="74">
        <f t="shared" si="2"/>
        <v>0</v>
      </c>
      <c r="R14" s="74">
        <f>H14*0</f>
        <v>0</v>
      </c>
      <c r="S14" s="93">
        <f>G14*0.25</f>
        <v>566.25</v>
      </c>
      <c r="T14" s="93">
        <f>G14*0.6</f>
        <v>1359</v>
      </c>
      <c r="U14" s="93">
        <f>G14*0.1</f>
        <v>226.5</v>
      </c>
      <c r="V14" s="93">
        <f>G14*0.05</f>
        <v>113.25</v>
      </c>
      <c r="W14" s="94">
        <f>S14*F14</f>
        <v>254812.49999999997</v>
      </c>
      <c r="X14" s="94">
        <f>T14*F14</f>
        <v>611549.99999999988</v>
      </c>
      <c r="Y14" s="94">
        <f>U14*F14</f>
        <v>101924.99999999999</v>
      </c>
      <c r="Z14" s="94">
        <f>V14*F14</f>
        <v>50962.499999999993</v>
      </c>
      <c r="AA14" s="89">
        <v>500</v>
      </c>
      <c r="AB14" s="94">
        <f t="shared" si="5"/>
        <v>224999.99999999997</v>
      </c>
      <c r="AC14" s="89">
        <v>80</v>
      </c>
      <c r="AD14" s="94">
        <f t="shared" si="6"/>
        <v>35999.999999999993</v>
      </c>
      <c r="AE14" s="89">
        <v>55</v>
      </c>
      <c r="AF14" s="94">
        <f t="shared" si="7"/>
        <v>24749.999999999996</v>
      </c>
      <c r="AG14" s="89">
        <v>250</v>
      </c>
      <c r="AH14" s="94">
        <f t="shared" si="8"/>
        <v>112499.99999999999</v>
      </c>
      <c r="AI14" s="89">
        <v>100</v>
      </c>
      <c r="AJ14" s="94">
        <f t="shared" si="9"/>
        <v>44999.999999999993</v>
      </c>
      <c r="AK14" s="89">
        <v>120</v>
      </c>
      <c r="AL14" s="94">
        <f t="shared" si="10"/>
        <v>53999.999999999993</v>
      </c>
      <c r="AM14" s="89">
        <v>90</v>
      </c>
      <c r="AN14" s="94">
        <f t="shared" si="11"/>
        <v>40499.999999999993</v>
      </c>
      <c r="AO14" s="89">
        <v>60</v>
      </c>
      <c r="AP14" s="94">
        <f t="shared" si="12"/>
        <v>26999.999999999996</v>
      </c>
      <c r="AQ14" s="89">
        <v>150</v>
      </c>
      <c r="AR14" s="94">
        <f t="shared" si="13"/>
        <v>67499.999999999985</v>
      </c>
      <c r="AS14" s="89">
        <v>150</v>
      </c>
      <c r="AT14" s="94">
        <f t="shared" si="14"/>
        <v>67499.999999999985</v>
      </c>
      <c r="AU14" s="89">
        <v>40</v>
      </c>
      <c r="AV14" s="94">
        <f t="shared" si="15"/>
        <v>17999.999999999996</v>
      </c>
      <c r="AW14" s="89">
        <v>50</v>
      </c>
      <c r="AX14" s="94">
        <f t="shared" si="16"/>
        <v>22499.999999999996</v>
      </c>
      <c r="AY14" s="37">
        <v>70</v>
      </c>
      <c r="AZ14" s="94">
        <f t="shared" si="17"/>
        <v>31499.999999999996</v>
      </c>
      <c r="BA14" s="89">
        <v>140</v>
      </c>
      <c r="BB14" s="94">
        <f t="shared" si="18"/>
        <v>62999.999999999993</v>
      </c>
      <c r="BC14" s="89">
        <v>200</v>
      </c>
      <c r="BD14" s="94">
        <f t="shared" si="19"/>
        <v>89999.999999999985</v>
      </c>
      <c r="BE14" s="89">
        <v>10</v>
      </c>
      <c r="BF14" s="94">
        <f t="shared" si="20"/>
        <v>4499.9999999999991</v>
      </c>
      <c r="BG14" s="89">
        <v>200</v>
      </c>
      <c r="BH14" s="94">
        <f t="shared" si="21"/>
        <v>89999.999999999985</v>
      </c>
      <c r="BI14" s="89">
        <v>0</v>
      </c>
      <c r="BJ14" s="94">
        <f t="shared" si="22"/>
        <v>0</v>
      </c>
      <c r="BK14" s="93">
        <f t="shared" si="3"/>
        <v>2265</v>
      </c>
      <c r="BL14" s="94">
        <f t="shared" si="3"/>
        <v>1019249.9999999999</v>
      </c>
      <c r="BM14" s="315" t="s">
        <v>469</v>
      </c>
      <c r="BN14" s="708">
        <f>BJ14+BH14+BF14+BD14+BB14+AZ14+AX14+AV14+AT14+AR14+AP14+AN14+AL14+AJ14+AH14+AF14+AD14+AB14</f>
        <v>1019249.9999999999</v>
      </c>
      <c r="BO14" s="111"/>
      <c r="BP14" s="111">
        <f>H14</f>
        <v>1019249.9999999999</v>
      </c>
      <c r="BQ14" s="111"/>
      <c r="BR14" s="111"/>
      <c r="BS14" s="111">
        <f>BO14+BP14+BQ14+BR14</f>
        <v>1019249.9999999999</v>
      </c>
      <c r="BT14" s="111"/>
      <c r="BU14" s="111"/>
      <c r="BV14" s="111">
        <f>BT14+BU14</f>
        <v>0</v>
      </c>
      <c r="BW14" s="115">
        <f t="shared" si="1"/>
        <v>1019249.9999999999</v>
      </c>
    </row>
    <row r="15" spans="1:75" s="104" customFormat="1" x14ac:dyDescent="0.25">
      <c r="A15" s="874"/>
      <c r="B15" s="198"/>
      <c r="C15" s="199"/>
      <c r="D15" s="200" t="s">
        <v>3</v>
      </c>
      <c r="E15" s="200"/>
      <c r="F15" s="201"/>
      <c r="G15" s="552">
        <f>SUM(G12:G14)</f>
        <v>8780</v>
      </c>
      <c r="H15" s="201">
        <f>SUM(H12:H14)</f>
        <v>1996500</v>
      </c>
      <c r="I15" s="201">
        <f>SUM(I12:I14)</f>
        <v>399300</v>
      </c>
      <c r="J15" s="201">
        <f t="shared" ref="J15:R15" si="23">SUM(J12:J14)</f>
        <v>1597200</v>
      </c>
      <c r="K15" s="201">
        <f t="shared" si="23"/>
        <v>0</v>
      </c>
      <c r="L15" s="201">
        <f t="shared" si="23"/>
        <v>0</v>
      </c>
      <c r="M15" s="201">
        <f t="shared" si="23"/>
        <v>0</v>
      </c>
      <c r="N15" s="201">
        <f t="shared" si="23"/>
        <v>0</v>
      </c>
      <c r="O15" s="201">
        <f t="shared" si="23"/>
        <v>0</v>
      </c>
      <c r="P15" s="201">
        <f t="shared" si="23"/>
        <v>0</v>
      </c>
      <c r="Q15" s="201">
        <f t="shared" si="23"/>
        <v>0</v>
      </c>
      <c r="R15" s="201">
        <f t="shared" si="23"/>
        <v>0</v>
      </c>
      <c r="S15" s="201">
        <f t="shared" ref="S15:Z15" si="24">SUM(S12:S14)</f>
        <v>2195</v>
      </c>
      <c r="T15" s="201">
        <f t="shared" si="24"/>
        <v>5268</v>
      </c>
      <c r="U15" s="201">
        <f t="shared" si="24"/>
        <v>878</v>
      </c>
      <c r="V15" s="201">
        <f t="shared" si="24"/>
        <v>439</v>
      </c>
      <c r="W15" s="201">
        <f t="shared" si="24"/>
        <v>499125</v>
      </c>
      <c r="X15" s="201">
        <f t="shared" si="24"/>
        <v>1197900</v>
      </c>
      <c r="Y15" s="201">
        <f t="shared" si="24"/>
        <v>199650</v>
      </c>
      <c r="Z15" s="201">
        <f t="shared" si="24"/>
        <v>99825</v>
      </c>
      <c r="AA15" s="202">
        <f>SUM(AA12:AA14)</f>
        <v>1460</v>
      </c>
      <c r="AB15" s="553">
        <f>SUM(AB12:AB14)</f>
        <v>369000</v>
      </c>
      <c r="AC15" s="553">
        <f t="shared" ref="AC15:BL15" si="25">SUM(AC12:AC14)</f>
        <v>370</v>
      </c>
      <c r="AD15" s="553">
        <f t="shared" si="25"/>
        <v>79500</v>
      </c>
      <c r="AE15" s="553">
        <f t="shared" si="25"/>
        <v>335</v>
      </c>
      <c r="AF15" s="553">
        <f t="shared" si="25"/>
        <v>66750</v>
      </c>
      <c r="AG15" s="553">
        <f t="shared" si="25"/>
        <v>900</v>
      </c>
      <c r="AH15" s="553">
        <f t="shared" si="25"/>
        <v>210000</v>
      </c>
      <c r="AI15" s="553">
        <f t="shared" si="25"/>
        <v>650</v>
      </c>
      <c r="AJ15" s="553">
        <f t="shared" si="25"/>
        <v>127500</v>
      </c>
      <c r="AK15" s="553">
        <f t="shared" si="25"/>
        <v>455</v>
      </c>
      <c r="AL15" s="553">
        <f t="shared" si="25"/>
        <v>104250</v>
      </c>
      <c r="AM15" s="553">
        <f t="shared" si="25"/>
        <v>330</v>
      </c>
      <c r="AN15" s="553">
        <f t="shared" si="25"/>
        <v>76500</v>
      </c>
      <c r="AO15" s="553">
        <f t="shared" si="25"/>
        <v>360</v>
      </c>
      <c r="AP15" s="553">
        <f t="shared" si="25"/>
        <v>72000</v>
      </c>
      <c r="AQ15" s="553">
        <f t="shared" si="25"/>
        <v>550</v>
      </c>
      <c r="AR15" s="553">
        <f t="shared" si="25"/>
        <v>127499.99999999999</v>
      </c>
      <c r="AS15" s="553">
        <f t="shared" si="25"/>
        <v>450</v>
      </c>
      <c r="AT15" s="553">
        <f t="shared" si="25"/>
        <v>112499.99999999999</v>
      </c>
      <c r="AU15" s="553">
        <f t="shared" si="25"/>
        <v>190</v>
      </c>
      <c r="AV15" s="553">
        <f t="shared" si="25"/>
        <v>40500</v>
      </c>
      <c r="AW15" s="553">
        <f t="shared" si="25"/>
        <v>255</v>
      </c>
      <c r="AX15" s="553">
        <f t="shared" si="25"/>
        <v>53250</v>
      </c>
      <c r="AY15" s="553">
        <f t="shared" si="25"/>
        <v>315</v>
      </c>
      <c r="AZ15" s="553">
        <f t="shared" si="25"/>
        <v>68250</v>
      </c>
      <c r="BA15" s="553">
        <f t="shared" si="25"/>
        <v>490</v>
      </c>
      <c r="BB15" s="553">
        <f t="shared" si="25"/>
        <v>115500</v>
      </c>
      <c r="BC15" s="553">
        <f t="shared" si="25"/>
        <v>640</v>
      </c>
      <c r="BD15" s="553">
        <f t="shared" si="25"/>
        <v>156000</v>
      </c>
      <c r="BE15" s="553">
        <f t="shared" si="25"/>
        <v>230</v>
      </c>
      <c r="BF15" s="553">
        <f t="shared" si="25"/>
        <v>37500</v>
      </c>
      <c r="BG15" s="553">
        <f t="shared" si="25"/>
        <v>800</v>
      </c>
      <c r="BH15" s="553">
        <f t="shared" si="25"/>
        <v>180000</v>
      </c>
      <c r="BI15" s="553">
        <f t="shared" si="25"/>
        <v>0</v>
      </c>
      <c r="BJ15" s="553">
        <f t="shared" si="25"/>
        <v>0</v>
      </c>
      <c r="BK15" s="553">
        <f t="shared" si="25"/>
        <v>8780</v>
      </c>
      <c r="BL15" s="553">
        <f t="shared" si="25"/>
        <v>1996500</v>
      </c>
      <c r="BM15" s="355"/>
      <c r="BN15" s="707">
        <f>BJ15+BH15+BF15+BD15+BB15+AZ15+AX15+AV15+AT15+AR15+AP15+AN15+AL15+AJ15+AH15+AF15+AD15+AB15</f>
        <v>1996500</v>
      </c>
      <c r="BO15" s="201">
        <f t="shared" ref="BO15:BV15" si="26">SUM(BO12:BO14)</f>
        <v>0</v>
      </c>
      <c r="BP15" s="201">
        <f t="shared" si="26"/>
        <v>1996500</v>
      </c>
      <c r="BQ15" s="201">
        <f t="shared" si="26"/>
        <v>0</v>
      </c>
      <c r="BR15" s="201">
        <f t="shared" si="26"/>
        <v>0</v>
      </c>
      <c r="BS15" s="201">
        <f t="shared" si="26"/>
        <v>1996500</v>
      </c>
      <c r="BT15" s="201">
        <f t="shared" si="26"/>
        <v>0</v>
      </c>
      <c r="BU15" s="201">
        <f t="shared" si="26"/>
        <v>0</v>
      </c>
      <c r="BV15" s="201">
        <f t="shared" si="26"/>
        <v>0</v>
      </c>
      <c r="BW15" s="554">
        <f t="shared" si="1"/>
        <v>1996500</v>
      </c>
    </row>
    <row r="16" spans="1:75" s="39" customFormat="1" x14ac:dyDescent="0.25">
      <c r="A16" s="874"/>
      <c r="B16" s="225"/>
      <c r="C16" s="38">
        <v>21200</v>
      </c>
      <c r="D16" s="38" t="s">
        <v>149</v>
      </c>
      <c r="E16" s="226"/>
      <c r="F16" s="227"/>
      <c r="G16" s="228">
        <f t="shared" si="4"/>
        <v>0</v>
      </c>
      <c r="H16" s="229"/>
      <c r="I16" s="229"/>
      <c r="J16" s="229"/>
      <c r="K16" s="229"/>
      <c r="L16" s="229"/>
      <c r="M16" s="229"/>
      <c r="N16" s="229"/>
      <c r="O16" s="229"/>
      <c r="P16" s="227"/>
      <c r="Q16" s="227"/>
      <c r="R16" s="227"/>
      <c r="S16" s="230"/>
      <c r="T16" s="230"/>
      <c r="U16" s="230"/>
      <c r="V16" s="230"/>
      <c r="W16" s="227"/>
      <c r="X16" s="227"/>
      <c r="Y16" s="227"/>
      <c r="Z16" s="227"/>
      <c r="AA16" s="231"/>
      <c r="AB16" s="53">
        <f t="shared" si="5"/>
        <v>0</v>
      </c>
      <c r="AC16" s="231"/>
      <c r="AD16" s="53">
        <f t="shared" si="6"/>
        <v>0</v>
      </c>
      <c r="AE16" s="231"/>
      <c r="AF16" s="53">
        <f t="shared" si="7"/>
        <v>0</v>
      </c>
      <c r="AG16" s="231"/>
      <c r="AH16" s="53">
        <f t="shared" si="8"/>
        <v>0</v>
      </c>
      <c r="AI16" s="231"/>
      <c r="AJ16" s="53">
        <f t="shared" si="9"/>
        <v>0</v>
      </c>
      <c r="AK16" s="231"/>
      <c r="AL16" s="53">
        <f t="shared" si="10"/>
        <v>0</v>
      </c>
      <c r="AM16" s="231"/>
      <c r="AN16" s="53">
        <f t="shared" si="11"/>
        <v>0</v>
      </c>
      <c r="AO16" s="231"/>
      <c r="AP16" s="53">
        <f t="shared" si="12"/>
        <v>0</v>
      </c>
      <c r="AQ16" s="231"/>
      <c r="AR16" s="53">
        <f t="shared" si="13"/>
        <v>0</v>
      </c>
      <c r="AS16" s="231"/>
      <c r="AT16" s="53">
        <f t="shared" si="14"/>
        <v>0</v>
      </c>
      <c r="AU16" s="231"/>
      <c r="AV16" s="53">
        <f t="shared" si="15"/>
        <v>0</v>
      </c>
      <c r="AW16" s="231"/>
      <c r="AX16" s="53">
        <f t="shared" si="16"/>
        <v>0</v>
      </c>
      <c r="AY16" s="227"/>
      <c r="AZ16" s="53">
        <f t="shared" si="17"/>
        <v>0</v>
      </c>
      <c r="BA16" s="231"/>
      <c r="BB16" s="53">
        <f t="shared" si="18"/>
        <v>0</v>
      </c>
      <c r="BC16" s="231"/>
      <c r="BD16" s="53">
        <f t="shared" si="19"/>
        <v>0</v>
      </c>
      <c r="BE16" s="231"/>
      <c r="BF16" s="53">
        <f t="shared" si="20"/>
        <v>0</v>
      </c>
      <c r="BG16" s="231"/>
      <c r="BH16" s="53">
        <f t="shared" si="21"/>
        <v>0</v>
      </c>
      <c r="BI16" s="231"/>
      <c r="BJ16" s="53">
        <f t="shared" si="22"/>
        <v>0</v>
      </c>
      <c r="BK16" s="230">
        <f t="shared" si="3"/>
        <v>0</v>
      </c>
      <c r="BL16" s="53">
        <f t="shared" si="3"/>
        <v>0</v>
      </c>
      <c r="BM16" s="316"/>
      <c r="BO16" s="113"/>
      <c r="BP16" s="113"/>
      <c r="BQ16" s="113"/>
      <c r="BR16" s="113"/>
      <c r="BS16" s="113"/>
      <c r="BT16" s="113"/>
      <c r="BU16" s="113"/>
      <c r="BV16" s="113"/>
      <c r="BW16" s="223">
        <f t="shared" si="1"/>
        <v>0</v>
      </c>
    </row>
    <row r="17" spans="1:75" s="39" customFormat="1" ht="21.75" customHeight="1" x14ac:dyDescent="0.25">
      <c r="A17" s="874"/>
      <c r="B17" s="225"/>
      <c r="C17" s="234"/>
      <c r="D17" s="38" t="s">
        <v>486</v>
      </c>
      <c r="E17" s="38" t="s">
        <v>151</v>
      </c>
      <c r="F17" s="235">
        <v>500000</v>
      </c>
      <c r="G17" s="228">
        <f t="shared" si="4"/>
        <v>1</v>
      </c>
      <c r="H17" s="236">
        <f>G17*F17</f>
        <v>500000</v>
      </c>
      <c r="I17" s="236">
        <f>H17*0.2</f>
        <v>100000</v>
      </c>
      <c r="J17" s="236">
        <f>H17*0.8</f>
        <v>400000</v>
      </c>
      <c r="K17" s="227"/>
      <c r="L17" s="227"/>
      <c r="M17" s="227"/>
      <c r="N17" s="227"/>
      <c r="O17" s="227"/>
      <c r="P17" s="227"/>
      <c r="Q17" s="227"/>
      <c r="R17" s="227"/>
      <c r="S17" s="231">
        <v>1</v>
      </c>
      <c r="T17" s="231">
        <v>0</v>
      </c>
      <c r="U17" s="231">
        <v>0</v>
      </c>
      <c r="V17" s="231">
        <v>0</v>
      </c>
      <c r="W17" s="227">
        <f>S17*F17</f>
        <v>500000</v>
      </c>
      <c r="X17" s="227">
        <f>T17*500000</f>
        <v>0</v>
      </c>
      <c r="Y17" s="227"/>
      <c r="Z17" s="227"/>
      <c r="AA17" s="231"/>
      <c r="AB17" s="53">
        <f t="shared" si="5"/>
        <v>0</v>
      </c>
      <c r="AC17" s="231"/>
      <c r="AD17" s="53">
        <f t="shared" si="6"/>
        <v>0</v>
      </c>
      <c r="AE17" s="231"/>
      <c r="AF17" s="53">
        <f t="shared" si="7"/>
        <v>0</v>
      </c>
      <c r="AG17" s="231"/>
      <c r="AH17" s="53">
        <f t="shared" si="8"/>
        <v>0</v>
      </c>
      <c r="AI17" s="231"/>
      <c r="AJ17" s="53">
        <f t="shared" si="9"/>
        <v>0</v>
      </c>
      <c r="AK17" s="231"/>
      <c r="AL17" s="53">
        <f t="shared" si="10"/>
        <v>0</v>
      </c>
      <c r="AM17" s="231"/>
      <c r="AN17" s="53">
        <f t="shared" si="11"/>
        <v>0</v>
      </c>
      <c r="AO17" s="231"/>
      <c r="AP17" s="53">
        <f t="shared" si="12"/>
        <v>0</v>
      </c>
      <c r="AQ17" s="231"/>
      <c r="AR17" s="53">
        <f t="shared" si="13"/>
        <v>0</v>
      </c>
      <c r="AS17" s="231"/>
      <c r="AT17" s="53">
        <f t="shared" si="14"/>
        <v>0</v>
      </c>
      <c r="AU17" s="231"/>
      <c r="AV17" s="53">
        <f t="shared" si="15"/>
        <v>0</v>
      </c>
      <c r="AW17" s="231"/>
      <c r="AX17" s="53">
        <f t="shared" si="16"/>
        <v>0</v>
      </c>
      <c r="AY17" s="227"/>
      <c r="AZ17" s="53">
        <f t="shared" si="17"/>
        <v>0</v>
      </c>
      <c r="BA17" s="231"/>
      <c r="BB17" s="53">
        <f t="shared" si="18"/>
        <v>0</v>
      </c>
      <c r="BC17" s="231"/>
      <c r="BD17" s="53">
        <f t="shared" si="19"/>
        <v>0</v>
      </c>
      <c r="BE17" s="231"/>
      <c r="BF17" s="53">
        <f t="shared" si="20"/>
        <v>0</v>
      </c>
      <c r="BG17" s="231"/>
      <c r="BH17" s="53">
        <f t="shared" si="21"/>
        <v>0</v>
      </c>
      <c r="BI17" s="231">
        <v>1</v>
      </c>
      <c r="BJ17" s="53">
        <f t="shared" si="22"/>
        <v>500000</v>
      </c>
      <c r="BK17" s="230">
        <f t="shared" si="3"/>
        <v>1</v>
      </c>
      <c r="BL17" s="53">
        <f t="shared" si="3"/>
        <v>500000</v>
      </c>
      <c r="BM17" s="315" t="s">
        <v>469</v>
      </c>
      <c r="BN17" s="82">
        <f>BJ17+BH17+BF17+BD17+BB17+AZ17+AX17+AV17+AT17+AR17+AP17+AN17+AL17+AJ17+AH17+AF17+AD17+AB17</f>
        <v>500000</v>
      </c>
      <c r="BO17" s="113"/>
      <c r="BP17" s="113">
        <f>H17</f>
        <v>500000</v>
      </c>
      <c r="BQ17" s="113"/>
      <c r="BR17" s="113"/>
      <c r="BS17" s="113">
        <f>BO17+BP17+BQ17+BR17</f>
        <v>500000</v>
      </c>
      <c r="BT17" s="113"/>
      <c r="BU17" s="113"/>
      <c r="BV17" s="113"/>
      <c r="BW17" s="223">
        <f t="shared" si="1"/>
        <v>500000</v>
      </c>
    </row>
    <row r="18" spans="1:75" s="39" customFormat="1" ht="31.5" x14ac:dyDescent="0.25">
      <c r="A18" s="874"/>
      <c r="B18" s="225"/>
      <c r="C18" s="234"/>
      <c r="D18" s="38" t="s">
        <v>746</v>
      </c>
      <c r="E18" s="38" t="s">
        <v>151</v>
      </c>
      <c r="F18" s="235">
        <f>15*100000</f>
        <v>1500000</v>
      </c>
      <c r="G18" s="228">
        <f t="shared" si="4"/>
        <v>1</v>
      </c>
      <c r="H18" s="236">
        <f>G18*F18</f>
        <v>1500000</v>
      </c>
      <c r="I18" s="236">
        <f>H18*0.2</f>
        <v>300000</v>
      </c>
      <c r="J18" s="236">
        <f>H18*0.8</f>
        <v>1200000</v>
      </c>
      <c r="K18" s="236">
        <f>H18*0</f>
        <v>0</v>
      </c>
      <c r="L18" s="236">
        <f>H18*0</f>
        <v>0</v>
      </c>
      <c r="M18" s="236">
        <f>H18*0</f>
        <v>0</v>
      </c>
      <c r="N18" s="236">
        <f>I18*0</f>
        <v>0</v>
      </c>
      <c r="O18" s="236">
        <f>H18*0</f>
        <v>0</v>
      </c>
      <c r="P18" s="236">
        <f>J18*0</f>
        <v>0</v>
      </c>
      <c r="Q18" s="236">
        <f>K18*0</f>
        <v>0</v>
      </c>
      <c r="R18" s="236">
        <f>H18*0</f>
        <v>0</v>
      </c>
      <c r="S18" s="231">
        <v>1</v>
      </c>
      <c r="T18" s="231">
        <v>0</v>
      </c>
      <c r="U18" s="231">
        <v>0</v>
      </c>
      <c r="V18" s="231">
        <v>0</v>
      </c>
      <c r="W18" s="227">
        <f>S18*F18</f>
        <v>1500000</v>
      </c>
      <c r="X18" s="227">
        <f>T18*1500000</f>
        <v>0</v>
      </c>
      <c r="Y18" s="227">
        <f>U18*1500000</f>
        <v>0</v>
      </c>
      <c r="Z18" s="227">
        <f>V18*1500000</f>
        <v>0</v>
      </c>
      <c r="AA18" s="231"/>
      <c r="AB18" s="53">
        <f t="shared" si="5"/>
        <v>0</v>
      </c>
      <c r="AC18" s="231"/>
      <c r="AD18" s="53">
        <f t="shared" si="6"/>
        <v>0</v>
      </c>
      <c r="AE18" s="231"/>
      <c r="AF18" s="53">
        <f t="shared" si="7"/>
        <v>0</v>
      </c>
      <c r="AG18" s="231"/>
      <c r="AH18" s="53">
        <f t="shared" si="8"/>
        <v>0</v>
      </c>
      <c r="AI18" s="231"/>
      <c r="AJ18" s="53">
        <f t="shared" si="9"/>
        <v>0</v>
      </c>
      <c r="AK18" s="231"/>
      <c r="AL18" s="53">
        <f t="shared" si="10"/>
        <v>0</v>
      </c>
      <c r="AM18" s="231"/>
      <c r="AN18" s="53">
        <f t="shared" si="11"/>
        <v>0</v>
      </c>
      <c r="AO18" s="231"/>
      <c r="AP18" s="53">
        <f t="shared" si="12"/>
        <v>0</v>
      </c>
      <c r="AQ18" s="231"/>
      <c r="AR18" s="53">
        <f t="shared" si="13"/>
        <v>0</v>
      </c>
      <c r="AS18" s="231"/>
      <c r="AT18" s="53">
        <f t="shared" si="14"/>
        <v>0</v>
      </c>
      <c r="AU18" s="231"/>
      <c r="AV18" s="53">
        <f t="shared" si="15"/>
        <v>0</v>
      </c>
      <c r="AW18" s="231"/>
      <c r="AX18" s="53">
        <f t="shared" si="16"/>
        <v>0</v>
      </c>
      <c r="AY18" s="227"/>
      <c r="AZ18" s="53">
        <f t="shared" si="17"/>
        <v>0</v>
      </c>
      <c r="BA18" s="231"/>
      <c r="BB18" s="53">
        <f t="shared" si="18"/>
        <v>0</v>
      </c>
      <c r="BC18" s="231"/>
      <c r="BD18" s="53">
        <f t="shared" si="19"/>
        <v>0</v>
      </c>
      <c r="BE18" s="231"/>
      <c r="BF18" s="53">
        <f t="shared" si="20"/>
        <v>0</v>
      </c>
      <c r="BG18" s="231"/>
      <c r="BH18" s="53">
        <f t="shared" si="21"/>
        <v>0</v>
      </c>
      <c r="BI18" s="231">
        <v>1</v>
      </c>
      <c r="BJ18" s="53">
        <f t="shared" si="22"/>
        <v>1500000</v>
      </c>
      <c r="BK18" s="230">
        <f t="shared" si="3"/>
        <v>1</v>
      </c>
      <c r="BL18" s="53">
        <f t="shared" si="3"/>
        <v>1500000</v>
      </c>
      <c r="BM18" s="315" t="s">
        <v>469</v>
      </c>
      <c r="BN18" s="82">
        <f>BJ18+BH18+BF18+BD18+BB18+AZ18+AX18+AV18+AT18+AR18+AP18+AN18+AL18+AJ18+AH18+AF18+AD18+AB18</f>
        <v>1500000</v>
      </c>
      <c r="BO18" s="113"/>
      <c r="BP18" s="113">
        <f>H18</f>
        <v>1500000</v>
      </c>
      <c r="BQ18" s="113"/>
      <c r="BR18" s="113"/>
      <c r="BS18" s="113">
        <f>BO18+BP18+BQ18+BR18</f>
        <v>1500000</v>
      </c>
      <c r="BT18" s="113"/>
      <c r="BU18" s="113"/>
      <c r="BV18" s="113">
        <f>BT18+BU18</f>
        <v>0</v>
      </c>
      <c r="BW18" s="223">
        <f t="shared" si="1"/>
        <v>1500000</v>
      </c>
    </row>
    <row r="19" spans="1:75" s="688" customFormat="1" ht="32.25" customHeight="1" x14ac:dyDescent="0.25">
      <c r="A19" s="874"/>
      <c r="B19" s="684"/>
      <c r="C19" s="234"/>
      <c r="D19" s="656" t="s">
        <v>807</v>
      </c>
      <c r="E19" s="210" t="s">
        <v>825</v>
      </c>
      <c r="F19" s="685">
        <v>125000</v>
      </c>
      <c r="G19" s="686">
        <v>204</v>
      </c>
      <c r="H19" s="687">
        <f>G19*F19</f>
        <v>25500000</v>
      </c>
      <c r="I19" s="687">
        <f>H19*0.2</f>
        <v>5100000</v>
      </c>
      <c r="J19" s="687">
        <f>H19*0.8</f>
        <v>20400000</v>
      </c>
      <c r="K19" s="687"/>
      <c r="L19" s="687"/>
      <c r="M19" s="687"/>
      <c r="N19" s="687"/>
      <c r="O19" s="687"/>
      <c r="P19" s="687"/>
      <c r="Q19" s="687"/>
      <c r="R19" s="687"/>
      <c r="S19" s="230">
        <v>17</v>
      </c>
      <c r="T19" s="230"/>
      <c r="U19" s="230"/>
      <c r="V19" s="230"/>
      <c r="W19" s="53"/>
      <c r="X19" s="53">
        <f>S19*F19</f>
        <v>2125000</v>
      </c>
      <c r="Y19" s="53"/>
      <c r="Z19" s="53"/>
      <c r="AA19" s="230">
        <v>12</v>
      </c>
      <c r="AB19" s="53">
        <f t="shared" si="5"/>
        <v>1500000</v>
      </c>
      <c r="AC19" s="230">
        <v>12</v>
      </c>
      <c r="AD19" s="53">
        <f t="shared" si="6"/>
        <v>1500000</v>
      </c>
      <c r="AE19" s="230">
        <v>12</v>
      </c>
      <c r="AF19" s="53">
        <f t="shared" si="7"/>
        <v>1500000</v>
      </c>
      <c r="AG19" s="230">
        <v>12</v>
      </c>
      <c r="AH19" s="53">
        <f t="shared" si="8"/>
        <v>1500000</v>
      </c>
      <c r="AI19" s="230">
        <v>12</v>
      </c>
      <c r="AJ19" s="53">
        <f t="shared" si="9"/>
        <v>1500000</v>
      </c>
      <c r="AK19" s="230">
        <v>12</v>
      </c>
      <c r="AL19" s="53">
        <f t="shared" si="10"/>
        <v>1500000</v>
      </c>
      <c r="AM19" s="230">
        <v>12</v>
      </c>
      <c r="AN19" s="53">
        <f t="shared" si="11"/>
        <v>1500000</v>
      </c>
      <c r="AO19" s="230">
        <v>12</v>
      </c>
      <c r="AP19" s="53">
        <f t="shared" si="12"/>
        <v>1500000</v>
      </c>
      <c r="AQ19" s="230">
        <v>12</v>
      </c>
      <c r="AR19" s="53">
        <f t="shared" si="13"/>
        <v>1500000</v>
      </c>
      <c r="AS19" s="230">
        <v>12</v>
      </c>
      <c r="AT19" s="53">
        <f t="shared" si="14"/>
        <v>1500000</v>
      </c>
      <c r="AU19" s="230">
        <v>12</v>
      </c>
      <c r="AV19" s="53">
        <f t="shared" si="15"/>
        <v>1500000</v>
      </c>
      <c r="AW19" s="230">
        <v>12</v>
      </c>
      <c r="AX19" s="53">
        <f t="shared" si="16"/>
        <v>1500000</v>
      </c>
      <c r="AY19" s="53">
        <v>12</v>
      </c>
      <c r="AZ19" s="53">
        <f t="shared" si="17"/>
        <v>1500000</v>
      </c>
      <c r="BA19" s="230">
        <v>12</v>
      </c>
      <c r="BB19" s="53">
        <f t="shared" si="18"/>
        <v>1500000</v>
      </c>
      <c r="BC19" s="230">
        <v>12</v>
      </c>
      <c r="BD19" s="53">
        <f t="shared" si="19"/>
        <v>1500000</v>
      </c>
      <c r="BE19" s="230">
        <v>12</v>
      </c>
      <c r="BF19" s="53">
        <f t="shared" si="20"/>
        <v>1500000</v>
      </c>
      <c r="BG19" s="230">
        <v>12</v>
      </c>
      <c r="BH19" s="53">
        <f t="shared" si="21"/>
        <v>1500000</v>
      </c>
      <c r="BI19" s="230">
        <v>0</v>
      </c>
      <c r="BJ19" s="53">
        <v>0</v>
      </c>
      <c r="BK19" s="230">
        <f>AA19+AC19+AE19+AG19+AI19+AK19+AM19+AO19+AQ19+AS19+AU19+AW19+AY19+BA19+BC19+BE19+BG19+BI19</f>
        <v>204</v>
      </c>
      <c r="BL19" s="53">
        <f t="shared" si="3"/>
        <v>25500000</v>
      </c>
      <c r="BM19" s="315" t="s">
        <v>469</v>
      </c>
      <c r="BN19" s="709">
        <f>BJ19+BH19+BF19+BD19+BB19+AZ19+AX19+AV19+AT19+AR19+AP19+AN19+AL19+AJ19+AH19+AF19+AD19+AB19</f>
        <v>25500000</v>
      </c>
      <c r="BO19" s="689"/>
      <c r="BP19" s="689">
        <v>0</v>
      </c>
      <c r="BQ19" s="689">
        <f>H19</f>
        <v>25500000</v>
      </c>
      <c r="BR19" s="689"/>
      <c r="BS19" s="689">
        <f>BO19+BP19+BQ19+BR19</f>
        <v>25500000</v>
      </c>
      <c r="BT19" s="689"/>
      <c r="BU19" s="689"/>
      <c r="BV19" s="689"/>
      <c r="BW19" s="690">
        <f t="shared" si="1"/>
        <v>25500000</v>
      </c>
    </row>
    <row r="20" spans="1:75" s="39" customFormat="1" ht="31.5" x14ac:dyDescent="0.25">
      <c r="A20" s="874"/>
      <c r="B20" s="225"/>
      <c r="C20" s="234"/>
      <c r="D20" s="38" t="s">
        <v>150</v>
      </c>
      <c r="E20" s="38" t="s">
        <v>151</v>
      </c>
      <c r="F20" s="235">
        <f>54.5*100000+10000</f>
        <v>5460000</v>
      </c>
      <c r="G20" s="228">
        <f t="shared" si="4"/>
        <v>0</v>
      </c>
      <c r="H20" s="236">
        <f>G20*F20</f>
        <v>0</v>
      </c>
      <c r="I20" s="236">
        <f>H20*0.2</f>
        <v>0</v>
      </c>
      <c r="J20" s="236">
        <f>H20*0.8</f>
        <v>0</v>
      </c>
      <c r="K20" s="236">
        <f>H20*0</f>
        <v>0</v>
      </c>
      <c r="L20" s="236">
        <f>H20*0</f>
        <v>0</v>
      </c>
      <c r="M20" s="236">
        <f>H20*0</f>
        <v>0</v>
      </c>
      <c r="N20" s="236">
        <f>I20*0</f>
        <v>0</v>
      </c>
      <c r="O20" s="236">
        <f>H20*0</f>
        <v>0</v>
      </c>
      <c r="P20" s="236">
        <f>J20*0</f>
        <v>0</v>
      </c>
      <c r="Q20" s="236">
        <f>K20*0</f>
        <v>0</v>
      </c>
      <c r="R20" s="236">
        <f>H20*0</f>
        <v>0</v>
      </c>
      <c r="S20" s="231">
        <v>0</v>
      </c>
      <c r="T20" s="231">
        <v>0</v>
      </c>
      <c r="U20" s="231">
        <v>0</v>
      </c>
      <c r="V20" s="231">
        <v>0</v>
      </c>
      <c r="W20" s="227">
        <f>S20*3500000</f>
        <v>0</v>
      </c>
      <c r="X20" s="227">
        <f>T20*3500000</f>
        <v>0</v>
      </c>
      <c r="Y20" s="227">
        <f>U20*5460000</f>
        <v>0</v>
      </c>
      <c r="Z20" s="227">
        <f>V20*5460000</f>
        <v>0</v>
      </c>
      <c r="AA20" s="231"/>
      <c r="AB20" s="53">
        <f t="shared" si="5"/>
        <v>0</v>
      </c>
      <c r="AC20" s="231"/>
      <c r="AD20" s="53">
        <f t="shared" si="6"/>
        <v>0</v>
      </c>
      <c r="AE20" s="231"/>
      <c r="AF20" s="53">
        <f t="shared" si="7"/>
        <v>0</v>
      </c>
      <c r="AG20" s="231"/>
      <c r="AH20" s="53">
        <f t="shared" si="8"/>
        <v>0</v>
      </c>
      <c r="AI20" s="231"/>
      <c r="AJ20" s="53">
        <f t="shared" si="9"/>
        <v>0</v>
      </c>
      <c r="AK20" s="231"/>
      <c r="AL20" s="53">
        <f t="shared" si="10"/>
        <v>0</v>
      </c>
      <c r="AM20" s="231"/>
      <c r="AN20" s="53">
        <f t="shared" si="11"/>
        <v>0</v>
      </c>
      <c r="AO20" s="231"/>
      <c r="AP20" s="53">
        <f t="shared" si="12"/>
        <v>0</v>
      </c>
      <c r="AQ20" s="231"/>
      <c r="AR20" s="53">
        <f t="shared" si="13"/>
        <v>0</v>
      </c>
      <c r="AS20" s="231"/>
      <c r="AT20" s="53">
        <f t="shared" si="14"/>
        <v>0</v>
      </c>
      <c r="AU20" s="231"/>
      <c r="AV20" s="53">
        <f t="shared" si="15"/>
        <v>0</v>
      </c>
      <c r="AW20" s="231"/>
      <c r="AX20" s="53">
        <f t="shared" si="16"/>
        <v>0</v>
      </c>
      <c r="AY20" s="227"/>
      <c r="AZ20" s="53">
        <f t="shared" si="17"/>
        <v>0</v>
      </c>
      <c r="BA20" s="231"/>
      <c r="BB20" s="53">
        <f t="shared" si="18"/>
        <v>0</v>
      </c>
      <c r="BC20" s="231"/>
      <c r="BD20" s="53">
        <f t="shared" si="19"/>
        <v>0</v>
      </c>
      <c r="BE20" s="231"/>
      <c r="BF20" s="53">
        <f t="shared" si="20"/>
        <v>0</v>
      </c>
      <c r="BG20" s="231"/>
      <c r="BH20" s="53">
        <f t="shared" si="21"/>
        <v>0</v>
      </c>
      <c r="BI20" s="231">
        <v>0</v>
      </c>
      <c r="BJ20" s="53">
        <f t="shared" si="22"/>
        <v>0</v>
      </c>
      <c r="BK20" s="230">
        <f t="shared" si="3"/>
        <v>0</v>
      </c>
      <c r="BL20" s="53">
        <f t="shared" si="3"/>
        <v>0</v>
      </c>
      <c r="BM20" s="315" t="s">
        <v>469</v>
      </c>
      <c r="BN20" s="709">
        <f t="shared" ref="BN20:BN83" si="27">BJ20+BH20+BF20+BD20+BB20+AZ20+AX20+AV20+AT20+AR20+AP20+AN20+AL20+AJ20+AH20+AF20+AD20+AB20</f>
        <v>0</v>
      </c>
      <c r="BO20" s="113"/>
      <c r="BP20" s="113">
        <f>H20</f>
        <v>0</v>
      </c>
      <c r="BQ20" s="113"/>
      <c r="BR20" s="113"/>
      <c r="BS20" s="113">
        <f>BO20+BP20+BQ20+BR20</f>
        <v>0</v>
      </c>
      <c r="BT20" s="113"/>
      <c r="BU20" s="113"/>
      <c r="BV20" s="113">
        <f>BT20+BU20</f>
        <v>0</v>
      </c>
      <c r="BW20" s="223">
        <f t="shared" si="1"/>
        <v>0</v>
      </c>
    </row>
    <row r="21" spans="1:75" s="39" customFormat="1" ht="47.25" x14ac:dyDescent="0.25">
      <c r="A21" s="874"/>
      <c r="B21" s="225"/>
      <c r="C21" s="234"/>
      <c r="D21" s="38" t="s">
        <v>808</v>
      </c>
      <c r="E21" s="38" t="s">
        <v>151</v>
      </c>
      <c r="F21" s="235">
        <f>20*100000</f>
        <v>2000000</v>
      </c>
      <c r="G21" s="228">
        <f t="shared" si="4"/>
        <v>1</v>
      </c>
      <c r="H21" s="236">
        <f>G21*F21</f>
        <v>2000000</v>
      </c>
      <c r="I21" s="236">
        <f>H21*0.2</f>
        <v>400000</v>
      </c>
      <c r="J21" s="236">
        <f>H21*0.8</f>
        <v>1600000</v>
      </c>
      <c r="K21" s="236">
        <f>H21*0</f>
        <v>0</v>
      </c>
      <c r="L21" s="236">
        <f>H21*0</f>
        <v>0</v>
      </c>
      <c r="M21" s="236">
        <f>H21*0</f>
        <v>0</v>
      </c>
      <c r="N21" s="236">
        <f>I21*0</f>
        <v>0</v>
      </c>
      <c r="O21" s="236">
        <f>H21*0</f>
        <v>0</v>
      </c>
      <c r="P21" s="236">
        <f>J21*0</f>
        <v>0</v>
      </c>
      <c r="Q21" s="236">
        <f>K21*0</f>
        <v>0</v>
      </c>
      <c r="R21" s="236">
        <f>H21*0</f>
        <v>0</v>
      </c>
      <c r="S21" s="231">
        <v>1</v>
      </c>
      <c r="T21" s="231">
        <v>0</v>
      </c>
      <c r="U21" s="231"/>
      <c r="V21" s="231"/>
      <c r="W21" s="227">
        <f>S21*F21</f>
        <v>2000000</v>
      </c>
      <c r="X21" s="227">
        <f>T21*2000000</f>
        <v>0</v>
      </c>
      <c r="Y21" s="227">
        <f>U21*500000</f>
        <v>0</v>
      </c>
      <c r="Z21" s="227">
        <f>V21*500000</f>
        <v>0</v>
      </c>
      <c r="AA21" s="231"/>
      <c r="AB21" s="53">
        <f t="shared" si="5"/>
        <v>0</v>
      </c>
      <c r="AC21" s="231"/>
      <c r="AD21" s="53">
        <f t="shared" si="6"/>
        <v>0</v>
      </c>
      <c r="AE21" s="231"/>
      <c r="AF21" s="53">
        <f t="shared" si="7"/>
        <v>0</v>
      </c>
      <c r="AG21" s="231"/>
      <c r="AH21" s="53">
        <f t="shared" si="8"/>
        <v>0</v>
      </c>
      <c r="AI21" s="231"/>
      <c r="AJ21" s="53">
        <f t="shared" si="9"/>
        <v>0</v>
      </c>
      <c r="AK21" s="231"/>
      <c r="AL21" s="53">
        <f t="shared" si="10"/>
        <v>0</v>
      </c>
      <c r="AM21" s="231"/>
      <c r="AN21" s="53">
        <f t="shared" si="11"/>
        <v>0</v>
      </c>
      <c r="AO21" s="231"/>
      <c r="AP21" s="53">
        <f t="shared" si="12"/>
        <v>0</v>
      </c>
      <c r="AQ21" s="231"/>
      <c r="AR21" s="53">
        <f t="shared" si="13"/>
        <v>0</v>
      </c>
      <c r="AS21" s="231"/>
      <c r="AT21" s="53">
        <f t="shared" si="14"/>
        <v>0</v>
      </c>
      <c r="AU21" s="231"/>
      <c r="AV21" s="53">
        <f t="shared" si="15"/>
        <v>0</v>
      </c>
      <c r="AW21" s="231"/>
      <c r="AX21" s="53">
        <f t="shared" si="16"/>
        <v>0</v>
      </c>
      <c r="AY21" s="227"/>
      <c r="AZ21" s="53">
        <f t="shared" si="17"/>
        <v>0</v>
      </c>
      <c r="BA21" s="231"/>
      <c r="BB21" s="53">
        <f t="shared" si="18"/>
        <v>0</v>
      </c>
      <c r="BC21" s="231"/>
      <c r="BD21" s="53">
        <f t="shared" si="19"/>
        <v>0</v>
      </c>
      <c r="BE21" s="231"/>
      <c r="BF21" s="53">
        <f t="shared" si="20"/>
        <v>0</v>
      </c>
      <c r="BG21" s="231"/>
      <c r="BH21" s="53">
        <f t="shared" si="21"/>
        <v>0</v>
      </c>
      <c r="BI21" s="231">
        <v>1</v>
      </c>
      <c r="BJ21" s="53">
        <f t="shared" si="22"/>
        <v>2000000</v>
      </c>
      <c r="BK21" s="230">
        <f t="shared" si="3"/>
        <v>1</v>
      </c>
      <c r="BL21" s="53">
        <f t="shared" si="3"/>
        <v>2000000</v>
      </c>
      <c r="BM21" s="315" t="s">
        <v>469</v>
      </c>
      <c r="BN21" s="709">
        <f t="shared" si="27"/>
        <v>2000000</v>
      </c>
      <c r="BO21" s="113"/>
      <c r="BP21" s="113">
        <f>H21</f>
        <v>2000000</v>
      </c>
      <c r="BQ21" s="113"/>
      <c r="BR21" s="113"/>
      <c r="BS21" s="113">
        <f>BO21+BP21+BQ21+BR21</f>
        <v>2000000</v>
      </c>
      <c r="BT21" s="113"/>
      <c r="BU21" s="113"/>
      <c r="BV21" s="113">
        <f>BT21+BU21</f>
        <v>0</v>
      </c>
      <c r="BW21" s="223">
        <f t="shared" si="1"/>
        <v>2000000</v>
      </c>
    </row>
    <row r="22" spans="1:75" s="67" customFormat="1" x14ac:dyDescent="0.25">
      <c r="A22" s="874"/>
      <c r="B22" s="246"/>
      <c r="C22" s="555"/>
      <c r="D22" s="239" t="s">
        <v>3</v>
      </c>
      <c r="E22" s="239"/>
      <c r="F22" s="240"/>
      <c r="G22" s="251">
        <f t="shared" si="4"/>
        <v>207</v>
      </c>
      <c r="H22" s="240">
        <f>SUM(H17:H21)</f>
        <v>29500000</v>
      </c>
      <c r="I22" s="240">
        <f>SUM(I17:I21)</f>
        <v>5900000</v>
      </c>
      <c r="J22" s="240">
        <f t="shared" ref="J22:Z22" si="28">SUM(J17:J21)</f>
        <v>23600000</v>
      </c>
      <c r="K22" s="240">
        <f t="shared" si="28"/>
        <v>0</v>
      </c>
      <c r="L22" s="240">
        <f t="shared" si="28"/>
        <v>0</v>
      </c>
      <c r="M22" s="240">
        <f t="shared" si="28"/>
        <v>0</v>
      </c>
      <c r="N22" s="240">
        <f t="shared" si="28"/>
        <v>0</v>
      </c>
      <c r="O22" s="240">
        <f t="shared" si="28"/>
        <v>0</v>
      </c>
      <c r="P22" s="240">
        <f t="shared" si="28"/>
        <v>0</v>
      </c>
      <c r="Q22" s="240">
        <f t="shared" si="28"/>
        <v>0</v>
      </c>
      <c r="R22" s="240">
        <f t="shared" si="28"/>
        <v>0</v>
      </c>
      <c r="S22" s="240">
        <f t="shared" si="28"/>
        <v>20</v>
      </c>
      <c r="T22" s="240">
        <f t="shared" si="28"/>
        <v>0</v>
      </c>
      <c r="U22" s="240">
        <f t="shared" si="28"/>
        <v>0</v>
      </c>
      <c r="V22" s="240">
        <f t="shared" si="28"/>
        <v>0</v>
      </c>
      <c r="W22" s="240">
        <f t="shared" si="28"/>
        <v>4000000</v>
      </c>
      <c r="X22" s="240">
        <f t="shared" si="28"/>
        <v>2125000</v>
      </c>
      <c r="Y22" s="240">
        <f t="shared" si="28"/>
        <v>0</v>
      </c>
      <c r="Z22" s="240">
        <f t="shared" si="28"/>
        <v>0</v>
      </c>
      <c r="AA22" s="242">
        <f>AA17+AA18+AA19+AA20+AA21</f>
        <v>12</v>
      </c>
      <c r="AB22" s="242">
        <f t="shared" ref="AB22:BL22" si="29">AB17+AB18+AB19+AB20+AB21</f>
        <v>1500000</v>
      </c>
      <c r="AC22" s="242">
        <f t="shared" si="29"/>
        <v>12</v>
      </c>
      <c r="AD22" s="242">
        <f t="shared" si="29"/>
        <v>1500000</v>
      </c>
      <c r="AE22" s="242">
        <f t="shared" si="29"/>
        <v>12</v>
      </c>
      <c r="AF22" s="242">
        <f t="shared" si="29"/>
        <v>1500000</v>
      </c>
      <c r="AG22" s="242">
        <f t="shared" si="29"/>
        <v>12</v>
      </c>
      <c r="AH22" s="242">
        <f t="shared" si="29"/>
        <v>1500000</v>
      </c>
      <c r="AI22" s="242">
        <f t="shared" si="29"/>
        <v>12</v>
      </c>
      <c r="AJ22" s="242">
        <f t="shared" si="29"/>
        <v>1500000</v>
      </c>
      <c r="AK22" s="242">
        <f t="shared" si="29"/>
        <v>12</v>
      </c>
      <c r="AL22" s="242">
        <f t="shared" si="29"/>
        <v>1500000</v>
      </c>
      <c r="AM22" s="242">
        <f t="shared" si="29"/>
        <v>12</v>
      </c>
      <c r="AN22" s="242">
        <f t="shared" si="29"/>
        <v>1500000</v>
      </c>
      <c r="AO22" s="242">
        <f t="shared" si="29"/>
        <v>12</v>
      </c>
      <c r="AP22" s="242">
        <f t="shared" si="29"/>
        <v>1500000</v>
      </c>
      <c r="AQ22" s="242">
        <f t="shared" si="29"/>
        <v>12</v>
      </c>
      <c r="AR22" s="242">
        <f t="shared" si="29"/>
        <v>1500000</v>
      </c>
      <c r="AS22" s="242">
        <f t="shared" si="29"/>
        <v>12</v>
      </c>
      <c r="AT22" s="242">
        <f t="shared" si="29"/>
        <v>1500000</v>
      </c>
      <c r="AU22" s="242">
        <f t="shared" si="29"/>
        <v>12</v>
      </c>
      <c r="AV22" s="242">
        <f t="shared" si="29"/>
        <v>1500000</v>
      </c>
      <c r="AW22" s="242">
        <f t="shared" si="29"/>
        <v>12</v>
      </c>
      <c r="AX22" s="242">
        <f t="shared" si="29"/>
        <v>1500000</v>
      </c>
      <c r="AY22" s="242">
        <f t="shared" si="29"/>
        <v>12</v>
      </c>
      <c r="AZ22" s="242">
        <f t="shared" si="29"/>
        <v>1500000</v>
      </c>
      <c r="BA22" s="242">
        <f t="shared" si="29"/>
        <v>12</v>
      </c>
      <c r="BB22" s="242">
        <f t="shared" si="29"/>
        <v>1500000</v>
      </c>
      <c r="BC22" s="242">
        <f t="shared" si="29"/>
        <v>12</v>
      </c>
      <c r="BD22" s="242">
        <f t="shared" si="29"/>
        <v>1500000</v>
      </c>
      <c r="BE22" s="242">
        <f t="shared" si="29"/>
        <v>12</v>
      </c>
      <c r="BF22" s="242">
        <f t="shared" si="29"/>
        <v>1500000</v>
      </c>
      <c r="BG22" s="242">
        <f t="shared" si="29"/>
        <v>12</v>
      </c>
      <c r="BH22" s="242">
        <f t="shared" si="29"/>
        <v>1500000</v>
      </c>
      <c r="BI22" s="242">
        <f t="shared" si="29"/>
        <v>3</v>
      </c>
      <c r="BJ22" s="242">
        <f t="shared" si="29"/>
        <v>4000000</v>
      </c>
      <c r="BK22" s="242">
        <f t="shared" si="29"/>
        <v>207</v>
      </c>
      <c r="BL22" s="242">
        <f t="shared" si="29"/>
        <v>29500000</v>
      </c>
      <c r="BM22" s="319"/>
      <c r="BN22" s="709">
        <f t="shared" si="27"/>
        <v>29500000</v>
      </c>
      <c r="BO22" s="240">
        <f t="shared" ref="BO22:BV22" si="30">SUM(BO18:BO21)</f>
        <v>0</v>
      </c>
      <c r="BP22" s="240">
        <f>SUM(BP17:BP21)</f>
        <v>4000000</v>
      </c>
      <c r="BQ22" s="240">
        <f t="shared" si="30"/>
        <v>25500000</v>
      </c>
      <c r="BR22" s="240">
        <f t="shared" si="30"/>
        <v>0</v>
      </c>
      <c r="BS22" s="240">
        <f>SUM(BS17:BS21)</f>
        <v>29500000</v>
      </c>
      <c r="BT22" s="240">
        <f t="shared" si="30"/>
        <v>0</v>
      </c>
      <c r="BU22" s="240">
        <f t="shared" si="30"/>
        <v>0</v>
      </c>
      <c r="BV22" s="240">
        <f t="shared" si="30"/>
        <v>0</v>
      </c>
      <c r="BW22" s="556">
        <f t="shared" si="1"/>
        <v>29500000</v>
      </c>
    </row>
    <row r="23" spans="1:75" s="39" customFormat="1" x14ac:dyDescent="0.25">
      <c r="A23" s="874"/>
      <c r="B23" s="225"/>
      <c r="C23" s="38">
        <v>21300</v>
      </c>
      <c r="D23" s="38" t="s">
        <v>713</v>
      </c>
      <c r="E23" s="226"/>
      <c r="F23" s="227"/>
      <c r="G23" s="228">
        <f t="shared" si="4"/>
        <v>0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31"/>
      <c r="T23" s="231"/>
      <c r="U23" s="231"/>
      <c r="V23" s="231"/>
      <c r="W23" s="227"/>
      <c r="X23" s="227"/>
      <c r="Y23" s="227"/>
      <c r="Z23" s="227"/>
      <c r="AA23" s="231"/>
      <c r="AB23" s="53">
        <f t="shared" si="5"/>
        <v>0</v>
      </c>
      <c r="AC23" s="231"/>
      <c r="AD23" s="53">
        <f t="shared" si="6"/>
        <v>0</v>
      </c>
      <c r="AE23" s="231"/>
      <c r="AF23" s="53">
        <f t="shared" si="7"/>
        <v>0</v>
      </c>
      <c r="AG23" s="231"/>
      <c r="AH23" s="53">
        <f t="shared" si="8"/>
        <v>0</v>
      </c>
      <c r="AI23" s="231"/>
      <c r="AJ23" s="53">
        <f t="shared" si="9"/>
        <v>0</v>
      </c>
      <c r="AK23" s="231"/>
      <c r="AL23" s="53">
        <f t="shared" si="10"/>
        <v>0</v>
      </c>
      <c r="AM23" s="231"/>
      <c r="AN23" s="53">
        <f t="shared" si="11"/>
        <v>0</v>
      </c>
      <c r="AO23" s="231"/>
      <c r="AP23" s="53">
        <f t="shared" si="12"/>
        <v>0</v>
      </c>
      <c r="AQ23" s="231"/>
      <c r="AR23" s="53">
        <f t="shared" si="13"/>
        <v>0</v>
      </c>
      <c r="AS23" s="231"/>
      <c r="AT23" s="53">
        <f t="shared" si="14"/>
        <v>0</v>
      </c>
      <c r="AU23" s="231"/>
      <c r="AV23" s="53">
        <f t="shared" si="15"/>
        <v>0</v>
      </c>
      <c r="AW23" s="231"/>
      <c r="AX23" s="53">
        <f t="shared" si="16"/>
        <v>0</v>
      </c>
      <c r="AY23" s="227"/>
      <c r="AZ23" s="53">
        <f t="shared" si="17"/>
        <v>0</v>
      </c>
      <c r="BA23" s="231"/>
      <c r="BB23" s="53">
        <f t="shared" si="18"/>
        <v>0</v>
      </c>
      <c r="BC23" s="231"/>
      <c r="BD23" s="53">
        <f t="shared" si="19"/>
        <v>0</v>
      </c>
      <c r="BE23" s="231"/>
      <c r="BF23" s="53">
        <f t="shared" si="20"/>
        <v>0</v>
      </c>
      <c r="BG23" s="231"/>
      <c r="BH23" s="53">
        <f t="shared" si="21"/>
        <v>0</v>
      </c>
      <c r="BI23" s="231"/>
      <c r="BJ23" s="53">
        <f t="shared" si="22"/>
        <v>0</v>
      </c>
      <c r="BK23" s="230">
        <f t="shared" si="3"/>
        <v>0</v>
      </c>
      <c r="BL23" s="53">
        <f t="shared" si="3"/>
        <v>0</v>
      </c>
      <c r="BM23" s="316"/>
      <c r="BN23" s="709">
        <f t="shared" si="27"/>
        <v>0</v>
      </c>
      <c r="BO23" s="113"/>
      <c r="BP23" s="113"/>
      <c r="BQ23" s="113"/>
      <c r="BR23" s="113"/>
      <c r="BS23" s="113"/>
      <c r="BT23" s="113"/>
      <c r="BU23" s="113"/>
      <c r="BV23" s="113"/>
      <c r="BW23" s="223">
        <f t="shared" si="1"/>
        <v>0</v>
      </c>
    </row>
    <row r="24" spans="1:75" s="39" customFormat="1" x14ac:dyDescent="0.25">
      <c r="A24" s="874"/>
      <c r="B24" s="225"/>
      <c r="C24" s="38">
        <v>21310</v>
      </c>
      <c r="D24" s="216" t="s">
        <v>152</v>
      </c>
      <c r="E24" s="38"/>
      <c r="F24" s="235"/>
      <c r="G24" s="228">
        <f t="shared" si="4"/>
        <v>0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1"/>
      <c r="T24" s="231"/>
      <c r="U24" s="231"/>
      <c r="V24" s="231"/>
      <c r="W24" s="227"/>
      <c r="X24" s="227"/>
      <c r="Y24" s="227"/>
      <c r="Z24" s="227"/>
      <c r="AA24" s="231"/>
      <c r="AB24" s="53">
        <f t="shared" si="5"/>
        <v>0</v>
      </c>
      <c r="AC24" s="231"/>
      <c r="AD24" s="53">
        <f t="shared" si="6"/>
        <v>0</v>
      </c>
      <c r="AE24" s="231"/>
      <c r="AF24" s="53">
        <f t="shared" si="7"/>
        <v>0</v>
      </c>
      <c r="AG24" s="231"/>
      <c r="AH24" s="53">
        <f t="shared" si="8"/>
        <v>0</v>
      </c>
      <c r="AI24" s="231"/>
      <c r="AJ24" s="53">
        <f t="shared" si="9"/>
        <v>0</v>
      </c>
      <c r="AK24" s="231"/>
      <c r="AL24" s="53">
        <f t="shared" si="10"/>
        <v>0</v>
      </c>
      <c r="AM24" s="231"/>
      <c r="AN24" s="53">
        <f t="shared" si="11"/>
        <v>0</v>
      </c>
      <c r="AO24" s="231"/>
      <c r="AP24" s="53">
        <f t="shared" si="12"/>
        <v>0</v>
      </c>
      <c r="AQ24" s="231"/>
      <c r="AR24" s="53">
        <f t="shared" si="13"/>
        <v>0</v>
      </c>
      <c r="AS24" s="231"/>
      <c r="AT24" s="53">
        <f t="shared" si="14"/>
        <v>0</v>
      </c>
      <c r="AU24" s="231"/>
      <c r="AV24" s="53">
        <f t="shared" si="15"/>
        <v>0</v>
      </c>
      <c r="AW24" s="231"/>
      <c r="AX24" s="53">
        <f t="shared" si="16"/>
        <v>0</v>
      </c>
      <c r="AY24" s="227"/>
      <c r="AZ24" s="53">
        <f t="shared" si="17"/>
        <v>0</v>
      </c>
      <c r="BA24" s="231"/>
      <c r="BB24" s="53">
        <f t="shared" si="18"/>
        <v>0</v>
      </c>
      <c r="BC24" s="231"/>
      <c r="BD24" s="53">
        <f t="shared" si="19"/>
        <v>0</v>
      </c>
      <c r="BE24" s="231"/>
      <c r="BF24" s="53">
        <f t="shared" si="20"/>
        <v>0</v>
      </c>
      <c r="BG24" s="231"/>
      <c r="BH24" s="53">
        <f t="shared" si="21"/>
        <v>0</v>
      </c>
      <c r="BI24" s="231"/>
      <c r="BJ24" s="53">
        <f t="shared" si="22"/>
        <v>0</v>
      </c>
      <c r="BK24" s="230">
        <f t="shared" si="3"/>
        <v>0</v>
      </c>
      <c r="BL24" s="53">
        <f t="shared" si="3"/>
        <v>0</v>
      </c>
      <c r="BM24" s="316"/>
      <c r="BN24" s="709">
        <f t="shared" si="27"/>
        <v>0</v>
      </c>
      <c r="BO24" s="236">
        <f>H24</f>
        <v>0</v>
      </c>
      <c r="BP24" s="113"/>
      <c r="BQ24" s="113"/>
      <c r="BR24" s="113"/>
      <c r="BS24" s="113">
        <f>BO24+BP24+BQ24+BR24</f>
        <v>0</v>
      </c>
      <c r="BT24" s="113"/>
      <c r="BU24" s="113"/>
      <c r="BV24" s="113">
        <f>BT24+BU24</f>
        <v>0</v>
      </c>
      <c r="BW24" s="223">
        <f t="shared" si="1"/>
        <v>0</v>
      </c>
    </row>
    <row r="25" spans="1:75" s="39" customFormat="1" x14ac:dyDescent="0.25">
      <c r="A25" s="874"/>
      <c r="B25" s="225"/>
      <c r="C25" s="38"/>
      <c r="D25" s="38" t="s">
        <v>597</v>
      </c>
      <c r="E25" s="47" t="s">
        <v>605</v>
      </c>
      <c r="F25" s="323">
        <v>100000</v>
      </c>
      <c r="G25" s="228">
        <f t="shared" si="4"/>
        <v>81</v>
      </c>
      <c r="H25" s="236">
        <f t="shared" ref="H25:H32" si="31">G25*F25</f>
        <v>8100000</v>
      </c>
      <c r="I25" s="236"/>
      <c r="J25" s="236"/>
      <c r="K25" s="236"/>
      <c r="L25" s="236"/>
      <c r="M25" s="236"/>
      <c r="N25" s="236">
        <f t="shared" ref="N25:N31" si="32">H25</f>
        <v>8100000</v>
      </c>
      <c r="O25" s="236"/>
      <c r="P25" s="236"/>
      <c r="Q25" s="236"/>
      <c r="R25" s="236"/>
      <c r="S25" s="231">
        <f>G25*0.35</f>
        <v>28.349999999999998</v>
      </c>
      <c r="T25" s="231">
        <f>G25*0.1</f>
        <v>8.1</v>
      </c>
      <c r="U25" s="231">
        <f>G25:G25*0.15</f>
        <v>12.15</v>
      </c>
      <c r="V25" s="231">
        <f>G25*0.4</f>
        <v>32.4</v>
      </c>
      <c r="W25" s="227">
        <f>S25*F25</f>
        <v>2835000</v>
      </c>
      <c r="X25" s="227">
        <f>T25*F25</f>
        <v>810000</v>
      </c>
      <c r="Y25" s="227">
        <f>U25*F25</f>
        <v>1215000</v>
      </c>
      <c r="Z25" s="227">
        <f>V25*F25</f>
        <v>3240000</v>
      </c>
      <c r="AA25" s="231"/>
      <c r="AB25" s="53">
        <f t="shared" si="5"/>
        <v>0</v>
      </c>
      <c r="AC25" s="231"/>
      <c r="AD25" s="53">
        <f t="shared" si="6"/>
        <v>0</v>
      </c>
      <c r="AE25" s="227">
        <f>AD25*I25</f>
        <v>0</v>
      </c>
      <c r="AF25" s="53">
        <f t="shared" si="7"/>
        <v>0</v>
      </c>
      <c r="AG25" s="231">
        <v>64</v>
      </c>
      <c r="AH25" s="53">
        <f t="shared" si="8"/>
        <v>6400000</v>
      </c>
      <c r="AI25" s="231"/>
      <c r="AJ25" s="53">
        <f t="shared" si="9"/>
        <v>0</v>
      </c>
      <c r="AK25" s="231"/>
      <c r="AL25" s="53">
        <f t="shared" si="10"/>
        <v>0</v>
      </c>
      <c r="AM25" s="231"/>
      <c r="AN25" s="53">
        <f t="shared" si="11"/>
        <v>0</v>
      </c>
      <c r="AO25" s="231"/>
      <c r="AP25" s="53">
        <f t="shared" si="12"/>
        <v>0</v>
      </c>
      <c r="AQ25" s="231"/>
      <c r="AR25" s="53">
        <f t="shared" si="13"/>
        <v>0</v>
      </c>
      <c r="AS25" s="231">
        <v>16</v>
      </c>
      <c r="AT25" s="53">
        <f t="shared" si="14"/>
        <v>1600000</v>
      </c>
      <c r="AU25" s="231"/>
      <c r="AV25" s="53">
        <f t="shared" si="15"/>
        <v>0</v>
      </c>
      <c r="AW25" s="231">
        <v>0</v>
      </c>
      <c r="AX25" s="53">
        <f t="shared" si="16"/>
        <v>0</v>
      </c>
      <c r="AY25" s="227"/>
      <c r="AZ25" s="53">
        <f t="shared" si="17"/>
        <v>0</v>
      </c>
      <c r="BA25" s="231"/>
      <c r="BB25" s="53">
        <f t="shared" si="18"/>
        <v>0</v>
      </c>
      <c r="BC25" s="231"/>
      <c r="BD25" s="53">
        <f t="shared" si="19"/>
        <v>0</v>
      </c>
      <c r="BE25" s="231">
        <v>1</v>
      </c>
      <c r="BF25" s="53">
        <f t="shared" si="20"/>
        <v>100000</v>
      </c>
      <c r="BG25" s="231"/>
      <c r="BH25" s="53">
        <f t="shared" si="21"/>
        <v>0</v>
      </c>
      <c r="BI25" s="231"/>
      <c r="BJ25" s="53">
        <f t="shared" si="22"/>
        <v>0</v>
      </c>
      <c r="BK25" s="230">
        <f t="shared" si="3"/>
        <v>81</v>
      </c>
      <c r="BL25" s="53">
        <f t="shared" si="3"/>
        <v>8100000</v>
      </c>
      <c r="BM25" s="316" t="s">
        <v>727</v>
      </c>
      <c r="BN25" s="709">
        <f t="shared" si="27"/>
        <v>8100000</v>
      </c>
      <c r="BO25" s="236">
        <f>H25</f>
        <v>8100000</v>
      </c>
      <c r="BP25" s="113"/>
      <c r="BQ25" s="113"/>
      <c r="BR25" s="113"/>
      <c r="BS25" s="113">
        <f>BO25+BP25+BQ25+BR25</f>
        <v>8100000</v>
      </c>
      <c r="BT25" s="113"/>
      <c r="BU25" s="113"/>
      <c r="BV25" s="113"/>
      <c r="BW25" s="223">
        <f t="shared" si="1"/>
        <v>8100000</v>
      </c>
    </row>
    <row r="26" spans="1:75" s="39" customFormat="1" x14ac:dyDescent="0.25">
      <c r="A26" s="874"/>
      <c r="B26" s="225"/>
      <c r="C26" s="38"/>
      <c r="D26" s="38" t="s">
        <v>598</v>
      </c>
      <c r="E26" s="47" t="s">
        <v>605</v>
      </c>
      <c r="F26" s="235">
        <v>40000</v>
      </c>
      <c r="G26" s="228">
        <f t="shared" si="4"/>
        <v>179.8</v>
      </c>
      <c r="H26" s="236">
        <f t="shared" si="31"/>
        <v>7192000</v>
      </c>
      <c r="I26" s="236"/>
      <c r="J26" s="236"/>
      <c r="K26" s="236"/>
      <c r="L26" s="236"/>
      <c r="M26" s="236"/>
      <c r="N26" s="236">
        <f t="shared" si="32"/>
        <v>7192000</v>
      </c>
      <c r="O26" s="236"/>
      <c r="P26" s="236"/>
      <c r="Q26" s="236"/>
      <c r="R26" s="236"/>
      <c r="S26" s="231">
        <f t="shared" ref="S26:S32" si="33">G26*0.35</f>
        <v>62.93</v>
      </c>
      <c r="T26" s="231">
        <f t="shared" ref="T26:T31" si="34">G26*0.1</f>
        <v>17.98</v>
      </c>
      <c r="U26" s="231">
        <f t="shared" ref="U26:U31" si="35">G26:G26*0.15</f>
        <v>26.970000000000002</v>
      </c>
      <c r="V26" s="231">
        <f t="shared" ref="V26:V31" si="36">G26*0.4</f>
        <v>71.92</v>
      </c>
      <c r="W26" s="227">
        <f t="shared" ref="W26:W32" si="37">S26*F26</f>
        <v>2517200</v>
      </c>
      <c r="X26" s="227">
        <f t="shared" ref="X26:X32" si="38">T26*F26</f>
        <v>719200</v>
      </c>
      <c r="Y26" s="227">
        <f t="shared" ref="Y26:Y32" si="39">U26*F26</f>
        <v>1078800</v>
      </c>
      <c r="Z26" s="227">
        <f t="shared" ref="Z26:Z32" si="40">V26*F26</f>
        <v>2876800</v>
      </c>
      <c r="AA26" s="231">
        <v>10</v>
      </c>
      <c r="AB26" s="227">
        <f t="shared" ref="AB26:AB92" si="41">AA26*F26</f>
        <v>400000</v>
      </c>
      <c r="AC26" s="231">
        <v>10</v>
      </c>
      <c r="AD26" s="53">
        <f t="shared" si="6"/>
        <v>400000</v>
      </c>
      <c r="AE26" s="231">
        <v>10</v>
      </c>
      <c r="AF26" s="53">
        <f t="shared" si="7"/>
        <v>400000</v>
      </c>
      <c r="AG26" s="231">
        <v>10</v>
      </c>
      <c r="AH26" s="53">
        <f t="shared" si="8"/>
        <v>400000</v>
      </c>
      <c r="AI26" s="231">
        <v>10</v>
      </c>
      <c r="AJ26" s="53">
        <f t="shared" si="9"/>
        <v>400000</v>
      </c>
      <c r="AK26" s="231">
        <v>10</v>
      </c>
      <c r="AL26" s="53">
        <f t="shared" si="10"/>
        <v>400000</v>
      </c>
      <c r="AM26" s="231"/>
      <c r="AN26" s="53">
        <f t="shared" si="11"/>
        <v>0</v>
      </c>
      <c r="AO26" s="231">
        <v>10</v>
      </c>
      <c r="AP26" s="53">
        <f t="shared" si="12"/>
        <v>400000</v>
      </c>
      <c r="AQ26" s="231">
        <v>4.8</v>
      </c>
      <c r="AR26" s="53">
        <f t="shared" si="13"/>
        <v>192000</v>
      </c>
      <c r="AS26" s="231">
        <v>10</v>
      </c>
      <c r="AT26" s="53">
        <f t="shared" si="14"/>
        <v>400000</v>
      </c>
      <c r="AU26" s="653">
        <v>20</v>
      </c>
      <c r="AV26" s="53">
        <f t="shared" si="15"/>
        <v>800000</v>
      </c>
      <c r="AW26" s="231">
        <v>10</v>
      </c>
      <c r="AX26" s="53">
        <f t="shared" si="16"/>
        <v>400000</v>
      </c>
      <c r="AY26" s="227"/>
      <c r="AZ26" s="53">
        <f t="shared" si="17"/>
        <v>0</v>
      </c>
      <c r="BA26" s="231">
        <v>15</v>
      </c>
      <c r="BB26" s="53">
        <f t="shared" si="18"/>
        <v>600000</v>
      </c>
      <c r="BC26" s="231">
        <v>25</v>
      </c>
      <c r="BD26" s="53">
        <f t="shared" si="19"/>
        <v>1000000</v>
      </c>
      <c r="BE26" s="231">
        <v>10</v>
      </c>
      <c r="BF26" s="53">
        <f t="shared" si="20"/>
        <v>400000</v>
      </c>
      <c r="BG26" s="231">
        <v>15</v>
      </c>
      <c r="BH26" s="53">
        <f t="shared" si="21"/>
        <v>600000</v>
      </c>
      <c r="BI26" s="231"/>
      <c r="BJ26" s="53">
        <f t="shared" si="22"/>
        <v>0</v>
      </c>
      <c r="BK26" s="230">
        <f t="shared" si="3"/>
        <v>179.8</v>
      </c>
      <c r="BL26" s="53">
        <f t="shared" si="3"/>
        <v>7192000</v>
      </c>
      <c r="BM26" s="316" t="s">
        <v>727</v>
      </c>
      <c r="BN26" s="709">
        <f t="shared" si="27"/>
        <v>7192000</v>
      </c>
      <c r="BO26" s="236">
        <f t="shared" ref="BO26:BO31" si="42">H26</f>
        <v>7192000</v>
      </c>
      <c r="BP26" s="113"/>
      <c r="BQ26" s="113"/>
      <c r="BR26" s="113"/>
      <c r="BS26" s="113">
        <f t="shared" ref="BS26:BS32" si="43">BO26+BP26+BQ26+BR26</f>
        <v>7192000</v>
      </c>
      <c r="BT26" s="113"/>
      <c r="BU26" s="113"/>
      <c r="BV26" s="113"/>
      <c r="BW26" s="223">
        <f t="shared" ref="BW26:BW32" si="44">BS26+BV26</f>
        <v>7192000</v>
      </c>
    </row>
    <row r="27" spans="1:75" s="39" customFormat="1" x14ac:dyDescent="0.25">
      <c r="A27" s="874"/>
      <c r="B27" s="225"/>
      <c r="C27" s="38"/>
      <c r="D27" s="38" t="s">
        <v>608</v>
      </c>
      <c r="E27" s="47" t="s">
        <v>605</v>
      </c>
      <c r="F27" s="235">
        <v>20000</v>
      </c>
      <c r="G27" s="228">
        <f t="shared" si="4"/>
        <v>5150</v>
      </c>
      <c r="H27" s="236">
        <f t="shared" si="31"/>
        <v>103000000</v>
      </c>
      <c r="I27" s="236">
        <f>H27*0.15</f>
        <v>15450000</v>
      </c>
      <c r="J27" s="236">
        <f>H27*0.75</f>
        <v>77250000</v>
      </c>
      <c r="K27" s="236"/>
      <c r="L27" s="236"/>
      <c r="M27" s="236"/>
      <c r="N27" s="236">
        <f>H27*0</f>
        <v>0</v>
      </c>
      <c r="O27" s="236"/>
      <c r="P27" s="236"/>
      <c r="Q27" s="236">
        <f>H27*0.1</f>
        <v>10300000</v>
      </c>
      <c r="R27" s="236"/>
      <c r="S27" s="231">
        <f t="shared" si="33"/>
        <v>1802.4999999999998</v>
      </c>
      <c r="T27" s="231">
        <f t="shared" si="34"/>
        <v>515</v>
      </c>
      <c r="U27" s="231">
        <f t="shared" si="35"/>
        <v>772.5</v>
      </c>
      <c r="V27" s="231">
        <f t="shared" si="36"/>
        <v>2060</v>
      </c>
      <c r="W27" s="227">
        <f t="shared" si="37"/>
        <v>36049999.999999993</v>
      </c>
      <c r="X27" s="227">
        <f t="shared" si="38"/>
        <v>10300000</v>
      </c>
      <c r="Y27" s="227">
        <f t="shared" si="39"/>
        <v>15450000</v>
      </c>
      <c r="Z27" s="227">
        <f t="shared" si="40"/>
        <v>41200000</v>
      </c>
      <c r="AA27" s="231">
        <v>200</v>
      </c>
      <c r="AB27" s="227">
        <f t="shared" si="41"/>
        <v>4000000</v>
      </c>
      <c r="AC27" s="231">
        <v>100</v>
      </c>
      <c r="AD27" s="53">
        <f t="shared" si="6"/>
        <v>2000000</v>
      </c>
      <c r="AE27" s="231">
        <v>400</v>
      </c>
      <c r="AF27" s="53">
        <f t="shared" si="7"/>
        <v>8000000</v>
      </c>
      <c r="AG27" s="231">
        <v>500</v>
      </c>
      <c r="AH27" s="53">
        <f t="shared" si="8"/>
        <v>10000000</v>
      </c>
      <c r="AI27" s="231">
        <v>200</v>
      </c>
      <c r="AJ27" s="53">
        <f t="shared" si="9"/>
        <v>4000000</v>
      </c>
      <c r="AK27" s="231">
        <v>400</v>
      </c>
      <c r="AL27" s="53">
        <f t="shared" si="10"/>
        <v>8000000</v>
      </c>
      <c r="AM27" s="231">
        <v>200</v>
      </c>
      <c r="AN27" s="53">
        <f t="shared" si="11"/>
        <v>4000000</v>
      </c>
      <c r="AO27" s="231">
        <v>250</v>
      </c>
      <c r="AP27" s="53">
        <f t="shared" si="12"/>
        <v>5000000</v>
      </c>
      <c r="AQ27" s="231">
        <v>50</v>
      </c>
      <c r="AR27" s="53">
        <f t="shared" si="13"/>
        <v>1000000</v>
      </c>
      <c r="AS27" s="231">
        <v>150</v>
      </c>
      <c r="AT27" s="53">
        <f t="shared" si="14"/>
        <v>3000000</v>
      </c>
      <c r="AU27" s="231">
        <v>250</v>
      </c>
      <c r="AV27" s="53">
        <f t="shared" si="15"/>
        <v>5000000</v>
      </c>
      <c r="AW27" s="231">
        <v>250</v>
      </c>
      <c r="AX27" s="53">
        <f t="shared" si="16"/>
        <v>5000000</v>
      </c>
      <c r="AY27" s="227">
        <v>350</v>
      </c>
      <c r="AZ27" s="53">
        <f t="shared" si="17"/>
        <v>7000000</v>
      </c>
      <c r="BA27" s="231">
        <v>400</v>
      </c>
      <c r="BB27" s="53">
        <f t="shared" si="18"/>
        <v>8000000</v>
      </c>
      <c r="BC27" s="231">
        <v>500</v>
      </c>
      <c r="BD27" s="53">
        <f t="shared" si="19"/>
        <v>10000000</v>
      </c>
      <c r="BE27" s="231">
        <v>400</v>
      </c>
      <c r="BF27" s="53">
        <f t="shared" si="20"/>
        <v>8000000</v>
      </c>
      <c r="BG27" s="231">
        <v>550</v>
      </c>
      <c r="BH27" s="53">
        <f t="shared" si="21"/>
        <v>11000000</v>
      </c>
      <c r="BI27" s="231"/>
      <c r="BJ27" s="53">
        <f t="shared" si="22"/>
        <v>0</v>
      </c>
      <c r="BK27" s="230">
        <f t="shared" si="3"/>
        <v>5150</v>
      </c>
      <c r="BL27" s="53">
        <f t="shared" si="3"/>
        <v>103000000</v>
      </c>
      <c r="BM27" s="316" t="s">
        <v>839</v>
      </c>
      <c r="BN27" s="709">
        <f t="shared" si="27"/>
        <v>103000000</v>
      </c>
      <c r="BO27" s="236">
        <f t="shared" si="42"/>
        <v>103000000</v>
      </c>
      <c r="BP27" s="113"/>
      <c r="BQ27" s="113"/>
      <c r="BR27" s="113"/>
      <c r="BS27" s="113">
        <f t="shared" si="43"/>
        <v>103000000</v>
      </c>
      <c r="BT27" s="113"/>
      <c r="BU27" s="113"/>
      <c r="BV27" s="113"/>
      <c r="BW27" s="223">
        <f t="shared" si="44"/>
        <v>103000000</v>
      </c>
    </row>
    <row r="28" spans="1:75" s="39" customFormat="1" x14ac:dyDescent="0.25">
      <c r="A28" s="874"/>
      <c r="B28" s="225"/>
      <c r="C28" s="38"/>
      <c r="D28" s="38" t="s">
        <v>603</v>
      </c>
      <c r="E28" s="47" t="s">
        <v>715</v>
      </c>
      <c r="F28" s="235">
        <v>1000</v>
      </c>
      <c r="G28" s="228">
        <f t="shared" si="4"/>
        <v>3000</v>
      </c>
      <c r="H28" s="236">
        <f t="shared" si="31"/>
        <v>3000000</v>
      </c>
      <c r="I28" s="236"/>
      <c r="J28" s="236"/>
      <c r="K28" s="236"/>
      <c r="L28" s="236"/>
      <c r="M28" s="236"/>
      <c r="N28" s="236">
        <f t="shared" si="32"/>
        <v>3000000</v>
      </c>
      <c r="O28" s="236"/>
      <c r="P28" s="236"/>
      <c r="Q28" s="236"/>
      <c r="R28" s="236"/>
      <c r="S28" s="231">
        <f t="shared" si="33"/>
        <v>1050</v>
      </c>
      <c r="T28" s="231">
        <f t="shared" si="34"/>
        <v>300</v>
      </c>
      <c r="U28" s="231">
        <f t="shared" si="35"/>
        <v>450</v>
      </c>
      <c r="V28" s="231">
        <f t="shared" si="36"/>
        <v>1200</v>
      </c>
      <c r="W28" s="227">
        <f t="shared" si="37"/>
        <v>1050000</v>
      </c>
      <c r="X28" s="227">
        <f t="shared" si="38"/>
        <v>300000</v>
      </c>
      <c r="Y28" s="227">
        <f t="shared" si="39"/>
        <v>450000</v>
      </c>
      <c r="Z28" s="227">
        <f t="shared" si="40"/>
        <v>1200000</v>
      </c>
      <c r="AA28" s="231"/>
      <c r="AB28" s="227">
        <f t="shared" si="41"/>
        <v>0</v>
      </c>
      <c r="AC28" s="231"/>
      <c r="AD28" s="231">
        <f t="shared" ref="AD28:AD92" si="45">AC28*F28</f>
        <v>0</v>
      </c>
      <c r="AE28" s="231"/>
      <c r="AF28" s="53">
        <f t="shared" si="7"/>
        <v>0</v>
      </c>
      <c r="AG28" s="231">
        <v>1000</v>
      </c>
      <c r="AH28" s="53">
        <f t="shared" si="8"/>
        <v>1000000</v>
      </c>
      <c r="AI28" s="231"/>
      <c r="AJ28" s="53">
        <f t="shared" si="9"/>
        <v>0</v>
      </c>
      <c r="AK28" s="231">
        <v>500</v>
      </c>
      <c r="AL28" s="53">
        <f t="shared" si="10"/>
        <v>500000</v>
      </c>
      <c r="AM28" s="231">
        <v>300</v>
      </c>
      <c r="AN28" s="53">
        <f t="shared" si="11"/>
        <v>300000</v>
      </c>
      <c r="AO28" s="231"/>
      <c r="AP28" s="53">
        <f t="shared" si="12"/>
        <v>0</v>
      </c>
      <c r="AQ28" s="231"/>
      <c r="AR28" s="53">
        <f t="shared" si="13"/>
        <v>0</v>
      </c>
      <c r="AS28" s="231"/>
      <c r="AT28" s="53">
        <f t="shared" si="14"/>
        <v>0</v>
      </c>
      <c r="AU28" s="231">
        <v>200</v>
      </c>
      <c r="AV28" s="53">
        <f t="shared" si="15"/>
        <v>200000</v>
      </c>
      <c r="AW28" s="231"/>
      <c r="AX28" s="53">
        <f t="shared" si="16"/>
        <v>0</v>
      </c>
      <c r="AY28" s="227"/>
      <c r="AZ28" s="53">
        <f t="shared" si="17"/>
        <v>0</v>
      </c>
      <c r="BA28" s="231"/>
      <c r="BB28" s="53">
        <f t="shared" si="18"/>
        <v>0</v>
      </c>
      <c r="BC28" s="231"/>
      <c r="BD28" s="53">
        <f t="shared" si="19"/>
        <v>0</v>
      </c>
      <c r="BE28" s="231">
        <v>500</v>
      </c>
      <c r="BF28" s="53">
        <f t="shared" si="20"/>
        <v>500000</v>
      </c>
      <c r="BG28" s="231">
        <v>500</v>
      </c>
      <c r="BH28" s="53">
        <f t="shared" si="21"/>
        <v>500000</v>
      </c>
      <c r="BI28" s="231"/>
      <c r="BJ28" s="53">
        <f t="shared" si="22"/>
        <v>0</v>
      </c>
      <c r="BK28" s="230">
        <f t="shared" si="3"/>
        <v>3000</v>
      </c>
      <c r="BL28" s="53">
        <f t="shared" si="3"/>
        <v>3000000</v>
      </c>
      <c r="BM28" s="316" t="s">
        <v>727</v>
      </c>
      <c r="BN28" s="709">
        <f t="shared" si="27"/>
        <v>3000000</v>
      </c>
      <c r="BO28" s="236">
        <f t="shared" si="42"/>
        <v>3000000</v>
      </c>
      <c r="BP28" s="113"/>
      <c r="BQ28" s="113"/>
      <c r="BR28" s="113"/>
      <c r="BS28" s="113">
        <f t="shared" si="43"/>
        <v>3000000</v>
      </c>
      <c r="BT28" s="113"/>
      <c r="BU28" s="113"/>
      <c r="BV28" s="113"/>
      <c r="BW28" s="223">
        <f t="shared" si="44"/>
        <v>3000000</v>
      </c>
    </row>
    <row r="29" spans="1:75" s="39" customFormat="1" x14ac:dyDescent="0.25">
      <c r="A29" s="874"/>
      <c r="B29" s="225"/>
      <c r="C29" s="38"/>
      <c r="D29" s="38" t="s">
        <v>601</v>
      </c>
      <c r="E29" s="47" t="s">
        <v>605</v>
      </c>
      <c r="F29" s="235">
        <v>50000</v>
      </c>
      <c r="G29" s="228">
        <f t="shared" si="4"/>
        <v>44</v>
      </c>
      <c r="H29" s="236">
        <f t="shared" si="31"/>
        <v>2200000</v>
      </c>
      <c r="I29" s="236"/>
      <c r="J29" s="236"/>
      <c r="K29" s="236"/>
      <c r="L29" s="236"/>
      <c r="M29" s="236"/>
      <c r="N29" s="236">
        <f t="shared" si="32"/>
        <v>2200000</v>
      </c>
      <c r="O29" s="236"/>
      <c r="P29" s="236"/>
      <c r="Q29" s="236"/>
      <c r="R29" s="236"/>
      <c r="S29" s="231">
        <f t="shared" si="33"/>
        <v>15.399999999999999</v>
      </c>
      <c r="T29" s="231">
        <f t="shared" si="34"/>
        <v>4.4000000000000004</v>
      </c>
      <c r="U29" s="231">
        <f t="shared" si="35"/>
        <v>6.6</v>
      </c>
      <c r="V29" s="231">
        <f t="shared" si="36"/>
        <v>17.600000000000001</v>
      </c>
      <c r="W29" s="227">
        <f t="shared" si="37"/>
        <v>769999.99999999988</v>
      </c>
      <c r="X29" s="227">
        <f t="shared" si="38"/>
        <v>220000.00000000003</v>
      </c>
      <c r="Y29" s="227">
        <f t="shared" si="39"/>
        <v>330000</v>
      </c>
      <c r="Z29" s="227">
        <f t="shared" si="40"/>
        <v>880000.00000000012</v>
      </c>
      <c r="AA29" s="231"/>
      <c r="AB29" s="227">
        <f t="shared" si="41"/>
        <v>0</v>
      </c>
      <c r="AC29" s="231">
        <v>4</v>
      </c>
      <c r="AD29" s="231">
        <f t="shared" si="45"/>
        <v>200000</v>
      </c>
      <c r="AE29" s="231"/>
      <c r="AF29" s="53">
        <f t="shared" si="7"/>
        <v>0</v>
      </c>
      <c r="AG29" s="231"/>
      <c r="AH29" s="53">
        <f t="shared" si="8"/>
        <v>0</v>
      </c>
      <c r="AI29" s="231">
        <v>10</v>
      </c>
      <c r="AJ29" s="53">
        <f t="shared" si="9"/>
        <v>500000</v>
      </c>
      <c r="AK29" s="231">
        <v>5</v>
      </c>
      <c r="AL29" s="53">
        <f t="shared" si="10"/>
        <v>250000</v>
      </c>
      <c r="AM29" s="231">
        <v>5</v>
      </c>
      <c r="AN29" s="53">
        <f t="shared" si="11"/>
        <v>250000</v>
      </c>
      <c r="AO29" s="231"/>
      <c r="AP29" s="53">
        <f t="shared" si="12"/>
        <v>0</v>
      </c>
      <c r="AQ29" s="231"/>
      <c r="AR29" s="53">
        <f t="shared" si="13"/>
        <v>0</v>
      </c>
      <c r="AS29" s="231">
        <v>5</v>
      </c>
      <c r="AT29" s="53">
        <f t="shared" si="14"/>
        <v>250000</v>
      </c>
      <c r="AU29" s="231">
        <v>0</v>
      </c>
      <c r="AV29" s="53">
        <f t="shared" si="15"/>
        <v>0</v>
      </c>
      <c r="AW29" s="231">
        <v>5</v>
      </c>
      <c r="AX29" s="53">
        <f t="shared" si="16"/>
        <v>250000</v>
      </c>
      <c r="AY29" s="227"/>
      <c r="AZ29" s="53">
        <f t="shared" si="17"/>
        <v>0</v>
      </c>
      <c r="BA29" s="231"/>
      <c r="BB29" s="53">
        <f t="shared" si="18"/>
        <v>0</v>
      </c>
      <c r="BC29" s="231"/>
      <c r="BD29" s="53">
        <f t="shared" si="19"/>
        <v>0</v>
      </c>
      <c r="BE29" s="231">
        <v>0</v>
      </c>
      <c r="BF29" s="53">
        <f t="shared" si="20"/>
        <v>0</v>
      </c>
      <c r="BG29" s="231">
        <v>10</v>
      </c>
      <c r="BH29" s="53">
        <f t="shared" si="21"/>
        <v>500000</v>
      </c>
      <c r="BI29" s="231"/>
      <c r="BJ29" s="53">
        <f t="shared" si="22"/>
        <v>0</v>
      </c>
      <c r="BK29" s="230">
        <f t="shared" ref="BK29:BL95" si="46">AA29+AC29+AE29+AG29+AI29+AK29+AM29+AO29+AQ29+AS29+AU29+AW29+AY29+BA29+BC29+BE29+BG29+BI29</f>
        <v>44</v>
      </c>
      <c r="BL29" s="53">
        <f t="shared" si="46"/>
        <v>2200000</v>
      </c>
      <c r="BM29" s="316" t="s">
        <v>727</v>
      </c>
      <c r="BN29" s="709">
        <f t="shared" si="27"/>
        <v>2200000</v>
      </c>
      <c r="BO29" s="236">
        <f t="shared" si="42"/>
        <v>2200000</v>
      </c>
      <c r="BP29" s="113"/>
      <c r="BQ29" s="113"/>
      <c r="BR29" s="113"/>
      <c r="BS29" s="113">
        <f t="shared" si="43"/>
        <v>2200000</v>
      </c>
      <c r="BT29" s="113"/>
      <c r="BU29" s="113"/>
      <c r="BV29" s="113"/>
      <c r="BW29" s="223">
        <f t="shared" si="44"/>
        <v>2200000</v>
      </c>
    </row>
    <row r="30" spans="1:75" s="39" customFormat="1" x14ac:dyDescent="0.25">
      <c r="A30" s="874"/>
      <c r="B30" s="225"/>
      <c r="C30" s="38"/>
      <c r="D30" s="38" t="s">
        <v>599</v>
      </c>
      <c r="E30" s="47" t="s">
        <v>715</v>
      </c>
      <c r="F30" s="235">
        <v>200</v>
      </c>
      <c r="G30" s="228">
        <f t="shared" si="4"/>
        <v>11700</v>
      </c>
      <c r="H30" s="236">
        <f t="shared" si="31"/>
        <v>2340000</v>
      </c>
      <c r="I30" s="236"/>
      <c r="J30" s="236"/>
      <c r="K30" s="236"/>
      <c r="L30" s="236"/>
      <c r="M30" s="236"/>
      <c r="N30" s="236">
        <f t="shared" si="32"/>
        <v>2340000</v>
      </c>
      <c r="O30" s="236"/>
      <c r="P30" s="236"/>
      <c r="Q30" s="236"/>
      <c r="R30" s="236"/>
      <c r="S30" s="231">
        <f t="shared" si="33"/>
        <v>4094.9999999999995</v>
      </c>
      <c r="T30" s="231">
        <f t="shared" si="34"/>
        <v>1170</v>
      </c>
      <c r="U30" s="231">
        <f t="shared" si="35"/>
        <v>1755</v>
      </c>
      <c r="V30" s="231">
        <f t="shared" si="36"/>
        <v>4680</v>
      </c>
      <c r="W30" s="227">
        <f t="shared" si="37"/>
        <v>818999.99999999988</v>
      </c>
      <c r="X30" s="227">
        <f t="shared" si="38"/>
        <v>234000</v>
      </c>
      <c r="Y30" s="227">
        <f t="shared" si="39"/>
        <v>351000</v>
      </c>
      <c r="Z30" s="227">
        <f t="shared" si="40"/>
        <v>936000</v>
      </c>
      <c r="AA30" s="231"/>
      <c r="AB30" s="227">
        <f t="shared" si="41"/>
        <v>0</v>
      </c>
      <c r="AC30" s="231"/>
      <c r="AD30" s="231">
        <f t="shared" si="45"/>
        <v>0</v>
      </c>
      <c r="AE30" s="231"/>
      <c r="AF30" s="53">
        <f t="shared" si="7"/>
        <v>0</v>
      </c>
      <c r="AG30" s="231">
        <v>3000</v>
      </c>
      <c r="AH30" s="53">
        <f t="shared" si="8"/>
        <v>600000</v>
      </c>
      <c r="AI30" s="231">
        <v>1000</v>
      </c>
      <c r="AJ30" s="53">
        <f t="shared" si="9"/>
        <v>200000</v>
      </c>
      <c r="AK30" s="231">
        <v>2000</v>
      </c>
      <c r="AL30" s="53">
        <f t="shared" si="10"/>
        <v>400000</v>
      </c>
      <c r="AM30" s="231"/>
      <c r="AN30" s="53">
        <f t="shared" si="11"/>
        <v>0</v>
      </c>
      <c r="AO30" s="231"/>
      <c r="AP30" s="53">
        <f t="shared" si="12"/>
        <v>0</v>
      </c>
      <c r="AQ30" s="231"/>
      <c r="AR30" s="53">
        <f t="shared" si="13"/>
        <v>0</v>
      </c>
      <c r="AS30" s="231">
        <v>3200</v>
      </c>
      <c r="AT30" s="53">
        <f t="shared" si="14"/>
        <v>640000</v>
      </c>
      <c r="AU30" s="231">
        <v>0</v>
      </c>
      <c r="AV30" s="53">
        <f t="shared" si="15"/>
        <v>0</v>
      </c>
      <c r="AW30" s="231"/>
      <c r="AX30" s="53">
        <f t="shared" si="16"/>
        <v>0</v>
      </c>
      <c r="AY30" s="227"/>
      <c r="AZ30" s="53">
        <f t="shared" si="17"/>
        <v>0</v>
      </c>
      <c r="BA30" s="231"/>
      <c r="BB30" s="53">
        <f t="shared" si="18"/>
        <v>0</v>
      </c>
      <c r="BC30" s="231">
        <v>2000</v>
      </c>
      <c r="BD30" s="53">
        <f t="shared" si="19"/>
        <v>400000</v>
      </c>
      <c r="BE30" s="231">
        <v>0</v>
      </c>
      <c r="BF30" s="53">
        <f t="shared" si="20"/>
        <v>0</v>
      </c>
      <c r="BG30" s="231">
        <v>500</v>
      </c>
      <c r="BH30" s="53">
        <f t="shared" si="21"/>
        <v>100000</v>
      </c>
      <c r="BI30" s="231"/>
      <c r="BJ30" s="53">
        <f t="shared" si="22"/>
        <v>0</v>
      </c>
      <c r="BK30" s="230">
        <f t="shared" si="46"/>
        <v>11700</v>
      </c>
      <c r="BL30" s="53">
        <f t="shared" si="46"/>
        <v>2340000</v>
      </c>
      <c r="BM30" s="316" t="s">
        <v>727</v>
      </c>
      <c r="BN30" s="709">
        <f t="shared" si="27"/>
        <v>2340000</v>
      </c>
      <c r="BO30" s="236">
        <f t="shared" si="42"/>
        <v>2340000</v>
      </c>
      <c r="BP30" s="113"/>
      <c r="BQ30" s="113"/>
      <c r="BR30" s="113"/>
      <c r="BS30" s="113">
        <f t="shared" si="43"/>
        <v>2340000</v>
      </c>
      <c r="BT30" s="113"/>
      <c r="BU30" s="113"/>
      <c r="BV30" s="113"/>
      <c r="BW30" s="223">
        <f t="shared" si="44"/>
        <v>2340000</v>
      </c>
    </row>
    <row r="31" spans="1:75" s="39" customFormat="1" x14ac:dyDescent="0.25">
      <c r="A31" s="874"/>
      <c r="B31" s="225"/>
      <c r="C31" s="38"/>
      <c r="D31" s="38" t="s">
        <v>600</v>
      </c>
      <c r="E31" s="47" t="s">
        <v>607</v>
      </c>
      <c r="F31" s="235">
        <v>800</v>
      </c>
      <c r="G31" s="228">
        <f t="shared" si="4"/>
        <v>1222</v>
      </c>
      <c r="H31" s="236">
        <f t="shared" si="31"/>
        <v>977600</v>
      </c>
      <c r="I31" s="236"/>
      <c r="J31" s="236"/>
      <c r="K31" s="236"/>
      <c r="L31" s="236"/>
      <c r="M31" s="236"/>
      <c r="N31" s="236">
        <f t="shared" si="32"/>
        <v>977600</v>
      </c>
      <c r="O31" s="236"/>
      <c r="P31" s="236"/>
      <c r="Q31" s="236"/>
      <c r="R31" s="236"/>
      <c r="S31" s="231">
        <f t="shared" si="33"/>
        <v>427.7</v>
      </c>
      <c r="T31" s="231">
        <f t="shared" si="34"/>
        <v>122.2</v>
      </c>
      <c r="U31" s="231">
        <f t="shared" si="35"/>
        <v>183.29999999999998</v>
      </c>
      <c r="V31" s="231">
        <f t="shared" si="36"/>
        <v>488.8</v>
      </c>
      <c r="W31" s="227">
        <f t="shared" si="37"/>
        <v>342160</v>
      </c>
      <c r="X31" s="227">
        <f t="shared" si="38"/>
        <v>97760</v>
      </c>
      <c r="Y31" s="227">
        <f t="shared" si="39"/>
        <v>146640</v>
      </c>
      <c r="Z31" s="227">
        <f t="shared" si="40"/>
        <v>391040</v>
      </c>
      <c r="AA31" s="231"/>
      <c r="AB31" s="227">
        <f t="shared" si="41"/>
        <v>0</v>
      </c>
      <c r="AC31" s="231"/>
      <c r="AD31" s="231">
        <f t="shared" si="45"/>
        <v>0</v>
      </c>
      <c r="AE31" s="231">
        <v>200</v>
      </c>
      <c r="AF31" s="53">
        <f t="shared" si="7"/>
        <v>160000</v>
      </c>
      <c r="AG31" s="231">
        <v>100</v>
      </c>
      <c r="AH31" s="53">
        <f t="shared" si="8"/>
        <v>80000</v>
      </c>
      <c r="AI31" s="231">
        <v>150</v>
      </c>
      <c r="AJ31" s="53">
        <f t="shared" si="9"/>
        <v>120000</v>
      </c>
      <c r="AK31" s="231">
        <v>120</v>
      </c>
      <c r="AL31" s="53">
        <f t="shared" si="10"/>
        <v>96000</v>
      </c>
      <c r="AM31" s="231">
        <v>0</v>
      </c>
      <c r="AN31" s="53">
        <f t="shared" si="11"/>
        <v>0</v>
      </c>
      <c r="AO31" s="231"/>
      <c r="AP31" s="53">
        <f t="shared" si="12"/>
        <v>0</v>
      </c>
      <c r="AQ31" s="231">
        <v>150</v>
      </c>
      <c r="AR31" s="53">
        <f t="shared" si="13"/>
        <v>120000</v>
      </c>
      <c r="AS31" s="231"/>
      <c r="AT31" s="53">
        <f t="shared" si="14"/>
        <v>0</v>
      </c>
      <c r="AU31" s="231">
        <v>0</v>
      </c>
      <c r="AV31" s="53">
        <f t="shared" si="15"/>
        <v>0</v>
      </c>
      <c r="AW31" s="231">
        <v>2</v>
      </c>
      <c r="AX31" s="53">
        <f t="shared" si="16"/>
        <v>1600</v>
      </c>
      <c r="AY31" s="227"/>
      <c r="AZ31" s="53">
        <f t="shared" si="17"/>
        <v>0</v>
      </c>
      <c r="BA31" s="231">
        <v>100</v>
      </c>
      <c r="BB31" s="53">
        <f t="shared" si="18"/>
        <v>80000</v>
      </c>
      <c r="BC31" s="231">
        <v>150</v>
      </c>
      <c r="BD31" s="53">
        <f t="shared" si="19"/>
        <v>120000</v>
      </c>
      <c r="BE31" s="231">
        <v>50</v>
      </c>
      <c r="BF31" s="53">
        <f t="shared" si="20"/>
        <v>40000</v>
      </c>
      <c r="BG31" s="231">
        <v>200</v>
      </c>
      <c r="BH31" s="53">
        <f t="shared" si="21"/>
        <v>160000</v>
      </c>
      <c r="BI31" s="231"/>
      <c r="BJ31" s="53">
        <f t="shared" si="22"/>
        <v>0</v>
      </c>
      <c r="BK31" s="230">
        <f t="shared" si="46"/>
        <v>1222</v>
      </c>
      <c r="BL31" s="53">
        <f t="shared" si="46"/>
        <v>977600</v>
      </c>
      <c r="BM31" s="316" t="s">
        <v>727</v>
      </c>
      <c r="BN31" s="709">
        <f t="shared" si="27"/>
        <v>977600</v>
      </c>
      <c r="BO31" s="236">
        <f t="shared" si="42"/>
        <v>977600</v>
      </c>
      <c r="BP31" s="113"/>
      <c r="BQ31" s="113"/>
      <c r="BR31" s="113"/>
      <c r="BS31" s="113">
        <f t="shared" si="43"/>
        <v>977600</v>
      </c>
      <c r="BT31" s="113"/>
      <c r="BU31" s="113"/>
      <c r="BV31" s="113"/>
      <c r="BW31" s="223">
        <f t="shared" si="44"/>
        <v>977600</v>
      </c>
    </row>
    <row r="32" spans="1:75" s="39" customFormat="1" x14ac:dyDescent="0.25">
      <c r="A32" s="874"/>
      <c r="B32" s="225"/>
      <c r="C32" s="38"/>
      <c r="D32" s="38" t="s">
        <v>878</v>
      </c>
      <c r="E32" s="47" t="s">
        <v>153</v>
      </c>
      <c r="F32" s="235">
        <v>160000</v>
      </c>
      <c r="G32" s="228">
        <f>BK32</f>
        <v>58</v>
      </c>
      <c r="H32" s="236">
        <f t="shared" si="31"/>
        <v>9280000</v>
      </c>
      <c r="I32" s="236">
        <f>H32*0.2</f>
        <v>1856000</v>
      </c>
      <c r="J32" s="236">
        <f>H32*0.8</f>
        <v>7424000</v>
      </c>
      <c r="K32" s="236"/>
      <c r="L32" s="236"/>
      <c r="M32" s="236"/>
      <c r="N32" s="236">
        <f>H32*0</f>
        <v>0</v>
      </c>
      <c r="O32" s="236"/>
      <c r="P32" s="236"/>
      <c r="Q32" s="236">
        <f>0*H32</f>
        <v>0</v>
      </c>
      <c r="R32" s="236"/>
      <c r="S32" s="231">
        <f t="shared" si="33"/>
        <v>20.299999999999997</v>
      </c>
      <c r="T32" s="231">
        <f>G32*0.65</f>
        <v>37.700000000000003</v>
      </c>
      <c r="U32" s="231"/>
      <c r="V32" s="231"/>
      <c r="W32" s="227">
        <f t="shared" si="37"/>
        <v>3247999.9999999995</v>
      </c>
      <c r="X32" s="227">
        <f t="shared" si="38"/>
        <v>6032000</v>
      </c>
      <c r="Y32" s="227">
        <f t="shared" si="39"/>
        <v>0</v>
      </c>
      <c r="Z32" s="227">
        <f t="shared" si="40"/>
        <v>0</v>
      </c>
      <c r="AA32" s="231"/>
      <c r="AB32" s="227">
        <f>AA32*F32</f>
        <v>0</v>
      </c>
      <c r="AC32" s="231"/>
      <c r="AD32" s="231">
        <f>AC32*F32</f>
        <v>0</v>
      </c>
      <c r="AE32" s="231"/>
      <c r="AF32" s="53">
        <f>AE32*F32</f>
        <v>0</v>
      </c>
      <c r="AG32" s="231">
        <v>10</v>
      </c>
      <c r="AH32" s="53">
        <f>AG32*F32</f>
        <v>1600000</v>
      </c>
      <c r="AI32" s="231">
        <v>10</v>
      </c>
      <c r="AJ32" s="53">
        <f>AI32*F32</f>
        <v>1600000</v>
      </c>
      <c r="AK32" s="231">
        <v>0</v>
      </c>
      <c r="AL32" s="53">
        <f>AK32*F32</f>
        <v>0</v>
      </c>
      <c r="AM32" s="231">
        <v>0</v>
      </c>
      <c r="AN32" s="53">
        <f>AM32*F32</f>
        <v>0</v>
      </c>
      <c r="AO32" s="231"/>
      <c r="AP32" s="53">
        <f>AO32*F32</f>
        <v>0</v>
      </c>
      <c r="AQ32" s="231">
        <v>5</v>
      </c>
      <c r="AR32" s="53">
        <f>AQ32*F32</f>
        <v>800000</v>
      </c>
      <c r="AS32" s="231">
        <v>3</v>
      </c>
      <c r="AT32" s="53">
        <f>AS32*F32</f>
        <v>480000</v>
      </c>
      <c r="AU32" s="231"/>
      <c r="AV32" s="53">
        <f>AU32*F32</f>
        <v>0</v>
      </c>
      <c r="AW32" s="231"/>
      <c r="AX32" s="53">
        <f>AW32*F32</f>
        <v>0</v>
      </c>
      <c r="AY32" s="227"/>
      <c r="AZ32" s="53">
        <f>AY32*F32</f>
        <v>0</v>
      </c>
      <c r="BA32" s="231"/>
      <c r="BB32" s="53">
        <f>BA32*F32</f>
        <v>0</v>
      </c>
      <c r="BC32" s="231"/>
      <c r="BD32" s="53">
        <f>BC32*F32</f>
        <v>0</v>
      </c>
      <c r="BE32" s="231"/>
      <c r="BF32" s="53">
        <f>BE32*F32</f>
        <v>0</v>
      </c>
      <c r="BG32" s="231">
        <v>30</v>
      </c>
      <c r="BH32" s="53">
        <f>BG32*F32</f>
        <v>4800000</v>
      </c>
      <c r="BI32" s="231"/>
      <c r="BJ32" s="53">
        <f>BI32*F32</f>
        <v>0</v>
      </c>
      <c r="BK32" s="230">
        <f>AA32+AC32+AE32+AG32+AI32+AK32+AM32+AO32+AQ32+AS32+AU32+AW32+AY32+BA32+BC32+BE32+BG32+BI32</f>
        <v>58</v>
      </c>
      <c r="BL32" s="53">
        <f>AB32+AD32+AF32+AH32+AJ32+AL32+AN32+AP32+AR32+AT32+AV32+AX32+AZ32+BB32+BD32+BF32+BH32+BJ32</f>
        <v>9280000</v>
      </c>
      <c r="BM32" s="316" t="s">
        <v>469</v>
      </c>
      <c r="BN32" s="709">
        <f t="shared" si="27"/>
        <v>9280000</v>
      </c>
      <c r="BO32" s="236"/>
      <c r="BP32" s="113"/>
      <c r="BQ32" s="666">
        <f>H32</f>
        <v>9280000</v>
      </c>
      <c r="BR32" s="113"/>
      <c r="BS32" s="113">
        <f t="shared" si="43"/>
        <v>9280000</v>
      </c>
      <c r="BT32" s="113"/>
      <c r="BU32" s="113"/>
      <c r="BV32" s="113"/>
      <c r="BW32" s="223">
        <f t="shared" si="44"/>
        <v>9280000</v>
      </c>
    </row>
    <row r="33" spans="1:75" s="39" customFormat="1" x14ac:dyDescent="0.25">
      <c r="A33" s="874"/>
      <c r="B33" s="246"/>
      <c r="C33" s="247"/>
      <c r="D33" s="239" t="s">
        <v>3</v>
      </c>
      <c r="E33" s="248"/>
      <c r="F33" s="249"/>
      <c r="G33" s="241">
        <f t="shared" si="4"/>
        <v>21434.799999999999</v>
      </c>
      <c r="H33" s="249">
        <f>SUM(H25:H32)</f>
        <v>136089600</v>
      </c>
      <c r="I33" s="249">
        <f t="shared" ref="I33:BT33" si="47">SUM(I25:I32)</f>
        <v>17306000</v>
      </c>
      <c r="J33" s="249">
        <f t="shared" si="47"/>
        <v>84674000</v>
      </c>
      <c r="K33" s="249">
        <f t="shared" si="47"/>
        <v>0</v>
      </c>
      <c r="L33" s="249">
        <f t="shared" si="47"/>
        <v>0</v>
      </c>
      <c r="M33" s="249">
        <f t="shared" si="47"/>
        <v>0</v>
      </c>
      <c r="N33" s="249">
        <f t="shared" si="47"/>
        <v>23809600</v>
      </c>
      <c r="O33" s="249">
        <f t="shared" si="47"/>
        <v>0</v>
      </c>
      <c r="P33" s="249">
        <f t="shared" si="47"/>
        <v>0</v>
      </c>
      <c r="Q33" s="249">
        <f t="shared" si="47"/>
        <v>10300000</v>
      </c>
      <c r="R33" s="249">
        <f t="shared" si="47"/>
        <v>0</v>
      </c>
      <c r="S33" s="249">
        <f t="shared" si="47"/>
        <v>7502.1799999999994</v>
      </c>
      <c r="T33" s="249">
        <f t="shared" si="47"/>
        <v>2175.3799999999997</v>
      </c>
      <c r="U33" s="249">
        <f t="shared" si="47"/>
        <v>3206.52</v>
      </c>
      <c r="V33" s="249">
        <f t="shared" si="47"/>
        <v>8550.7199999999993</v>
      </c>
      <c r="W33" s="249">
        <f t="shared" si="47"/>
        <v>47631359.999999993</v>
      </c>
      <c r="X33" s="249">
        <f t="shared" si="47"/>
        <v>18712960</v>
      </c>
      <c r="Y33" s="249">
        <f t="shared" si="47"/>
        <v>19021440</v>
      </c>
      <c r="Z33" s="249">
        <f t="shared" si="47"/>
        <v>50723840</v>
      </c>
      <c r="AA33" s="249">
        <f t="shared" si="47"/>
        <v>210</v>
      </c>
      <c r="AB33" s="249">
        <f t="shared" si="47"/>
        <v>4400000</v>
      </c>
      <c r="AC33" s="249">
        <f t="shared" si="47"/>
        <v>114</v>
      </c>
      <c r="AD33" s="249">
        <f t="shared" si="47"/>
        <v>2600000</v>
      </c>
      <c r="AE33" s="249">
        <f t="shared" si="47"/>
        <v>610</v>
      </c>
      <c r="AF33" s="249">
        <f t="shared" si="47"/>
        <v>8560000</v>
      </c>
      <c r="AG33" s="249">
        <f t="shared" si="47"/>
        <v>4684</v>
      </c>
      <c r="AH33" s="249">
        <f t="shared" si="47"/>
        <v>20080000</v>
      </c>
      <c r="AI33" s="249">
        <f t="shared" si="47"/>
        <v>1380</v>
      </c>
      <c r="AJ33" s="249">
        <f t="shared" si="47"/>
        <v>6820000</v>
      </c>
      <c r="AK33" s="249">
        <f t="shared" si="47"/>
        <v>3035</v>
      </c>
      <c r="AL33" s="249">
        <f t="shared" si="47"/>
        <v>9646000</v>
      </c>
      <c r="AM33" s="249">
        <f t="shared" si="47"/>
        <v>505</v>
      </c>
      <c r="AN33" s="249">
        <f t="shared" si="47"/>
        <v>4550000</v>
      </c>
      <c r="AO33" s="249">
        <f t="shared" si="47"/>
        <v>260</v>
      </c>
      <c r="AP33" s="249">
        <f t="shared" si="47"/>
        <v>5400000</v>
      </c>
      <c r="AQ33" s="249">
        <f t="shared" si="47"/>
        <v>209.8</v>
      </c>
      <c r="AR33" s="249">
        <f t="shared" si="47"/>
        <v>2112000</v>
      </c>
      <c r="AS33" s="249">
        <f t="shared" si="47"/>
        <v>3384</v>
      </c>
      <c r="AT33" s="249">
        <f t="shared" si="47"/>
        <v>6370000</v>
      </c>
      <c r="AU33" s="249">
        <f t="shared" si="47"/>
        <v>470</v>
      </c>
      <c r="AV33" s="249">
        <f t="shared" si="47"/>
        <v>6000000</v>
      </c>
      <c r="AW33" s="249">
        <f t="shared" si="47"/>
        <v>267</v>
      </c>
      <c r="AX33" s="249">
        <f t="shared" si="47"/>
        <v>5651600</v>
      </c>
      <c r="AY33" s="249">
        <f t="shared" si="47"/>
        <v>350</v>
      </c>
      <c r="AZ33" s="249">
        <f t="shared" si="47"/>
        <v>7000000</v>
      </c>
      <c r="BA33" s="249">
        <f t="shared" si="47"/>
        <v>515</v>
      </c>
      <c r="BB33" s="249">
        <f t="shared" si="47"/>
        <v>8680000</v>
      </c>
      <c r="BC33" s="249">
        <f t="shared" si="47"/>
        <v>2675</v>
      </c>
      <c r="BD33" s="249">
        <f t="shared" si="47"/>
        <v>11520000</v>
      </c>
      <c r="BE33" s="249">
        <f t="shared" si="47"/>
        <v>961</v>
      </c>
      <c r="BF33" s="249">
        <f t="shared" si="47"/>
        <v>9040000</v>
      </c>
      <c r="BG33" s="249">
        <f t="shared" si="47"/>
        <v>1805</v>
      </c>
      <c r="BH33" s="249">
        <f t="shared" si="47"/>
        <v>17660000</v>
      </c>
      <c r="BI33" s="249">
        <f t="shared" si="47"/>
        <v>0</v>
      </c>
      <c r="BJ33" s="249">
        <f t="shared" si="47"/>
        <v>0</v>
      </c>
      <c r="BK33" s="249">
        <f t="shared" si="47"/>
        <v>21434.799999999999</v>
      </c>
      <c r="BL33" s="249">
        <f t="shared" si="47"/>
        <v>136089600</v>
      </c>
      <c r="BM33" s="249">
        <f t="shared" si="47"/>
        <v>0</v>
      </c>
      <c r="BN33" s="709">
        <f t="shared" si="27"/>
        <v>136089600</v>
      </c>
      <c r="BO33" s="249">
        <f t="shared" si="47"/>
        <v>126809600</v>
      </c>
      <c r="BP33" s="249">
        <f t="shared" si="47"/>
        <v>0</v>
      </c>
      <c r="BQ33" s="249">
        <f t="shared" si="47"/>
        <v>9280000</v>
      </c>
      <c r="BR33" s="249">
        <f t="shared" si="47"/>
        <v>0</v>
      </c>
      <c r="BS33" s="249">
        <f t="shared" si="47"/>
        <v>136089600</v>
      </c>
      <c r="BT33" s="249">
        <f t="shared" si="47"/>
        <v>0</v>
      </c>
      <c r="BU33" s="249">
        <f>SUM(BU25:BU32)</f>
        <v>0</v>
      </c>
      <c r="BV33" s="249">
        <f>SUM(BV25:BV32)</f>
        <v>0</v>
      </c>
      <c r="BW33" s="249">
        <f>SUM(BW25:BW32)</f>
        <v>136089600</v>
      </c>
    </row>
    <row r="34" spans="1:75" s="39" customFormat="1" x14ac:dyDescent="0.25">
      <c r="A34" s="874"/>
      <c r="B34" s="225"/>
      <c r="C34" s="38"/>
      <c r="D34" s="216" t="s">
        <v>604</v>
      </c>
      <c r="E34" s="38"/>
      <c r="F34" s="235"/>
      <c r="G34" s="228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1">
        <f>G34*0.35</f>
        <v>0</v>
      </c>
      <c r="T34" s="231">
        <f>G34*0.1</f>
        <v>0</v>
      </c>
      <c r="U34" s="231">
        <f>G34:G34*0.15</f>
        <v>0</v>
      </c>
      <c r="V34" s="231">
        <f>G34*0.4</f>
        <v>0</v>
      </c>
      <c r="W34" s="227">
        <f>S34*F34</f>
        <v>0</v>
      </c>
      <c r="X34" s="227">
        <f>T34*F34</f>
        <v>0</v>
      </c>
      <c r="Y34" s="227">
        <f>U34*F34</f>
        <v>0</v>
      </c>
      <c r="Z34" s="227">
        <f>V34*F34</f>
        <v>0</v>
      </c>
      <c r="AA34" s="231"/>
      <c r="AB34" s="227">
        <f t="shared" si="41"/>
        <v>0</v>
      </c>
      <c r="AC34" s="231"/>
      <c r="AD34" s="231">
        <f t="shared" si="45"/>
        <v>0</v>
      </c>
      <c r="AE34" s="231"/>
      <c r="AF34" s="53">
        <f t="shared" si="7"/>
        <v>0</v>
      </c>
      <c r="AG34" s="231"/>
      <c r="AH34" s="53">
        <f t="shared" si="8"/>
        <v>0</v>
      </c>
      <c r="AI34" s="231"/>
      <c r="AJ34" s="53">
        <f t="shared" si="9"/>
        <v>0</v>
      </c>
      <c r="AK34" s="231"/>
      <c r="AL34" s="53">
        <f t="shared" si="10"/>
        <v>0</v>
      </c>
      <c r="AM34" s="231"/>
      <c r="AN34" s="53">
        <f t="shared" si="11"/>
        <v>0</v>
      </c>
      <c r="AO34" s="231"/>
      <c r="AP34" s="53">
        <f t="shared" si="12"/>
        <v>0</v>
      </c>
      <c r="AQ34" s="231"/>
      <c r="AR34" s="53">
        <f t="shared" si="13"/>
        <v>0</v>
      </c>
      <c r="AS34" s="231"/>
      <c r="AT34" s="53">
        <f t="shared" si="14"/>
        <v>0</v>
      </c>
      <c r="AU34" s="231"/>
      <c r="AV34" s="53">
        <f t="shared" si="15"/>
        <v>0</v>
      </c>
      <c r="AW34" s="231"/>
      <c r="AX34" s="53">
        <f t="shared" si="16"/>
        <v>0</v>
      </c>
      <c r="AY34" s="232"/>
      <c r="AZ34" s="53">
        <f t="shared" si="17"/>
        <v>0</v>
      </c>
      <c r="BA34" s="231"/>
      <c r="BB34" s="53">
        <f t="shared" si="18"/>
        <v>0</v>
      </c>
      <c r="BC34" s="231"/>
      <c r="BD34" s="53">
        <f t="shared" si="19"/>
        <v>0</v>
      </c>
      <c r="BE34" s="233">
        <v>1</v>
      </c>
      <c r="BF34" s="53">
        <f t="shared" si="20"/>
        <v>0</v>
      </c>
      <c r="BG34" s="231"/>
      <c r="BH34" s="53">
        <f t="shared" si="21"/>
        <v>0</v>
      </c>
      <c r="BI34" s="231"/>
      <c r="BJ34" s="53">
        <f t="shared" si="22"/>
        <v>0</v>
      </c>
      <c r="BK34" s="230"/>
      <c r="BL34" s="53"/>
      <c r="BM34" s="316"/>
      <c r="BN34" s="709">
        <f t="shared" si="27"/>
        <v>0</v>
      </c>
      <c r="BO34" s="236"/>
      <c r="BP34" s="113"/>
      <c r="BQ34" s="113"/>
      <c r="BR34" s="113"/>
      <c r="BS34" s="113"/>
      <c r="BT34" s="113"/>
      <c r="BU34" s="113"/>
      <c r="BV34" s="113"/>
      <c r="BW34" s="223"/>
    </row>
    <row r="35" spans="1:75" s="39" customFormat="1" x14ac:dyDescent="0.25">
      <c r="A35" s="874"/>
      <c r="B35" s="225"/>
      <c r="C35" s="38"/>
      <c r="D35" s="38" t="s">
        <v>602</v>
      </c>
      <c r="E35" s="38" t="s">
        <v>606</v>
      </c>
      <c r="F35" s="235">
        <v>25000</v>
      </c>
      <c r="G35" s="228">
        <f t="shared" si="4"/>
        <v>176</v>
      </c>
      <c r="H35" s="236">
        <f t="shared" ref="H35:H44" si="48">G35*F35</f>
        <v>4400000</v>
      </c>
      <c r="I35" s="236"/>
      <c r="J35" s="236"/>
      <c r="K35" s="236"/>
      <c r="L35" s="236"/>
      <c r="M35" s="236"/>
      <c r="N35" s="236">
        <f>H35</f>
        <v>4400000</v>
      </c>
      <c r="O35" s="236"/>
      <c r="P35" s="236"/>
      <c r="Q35" s="236"/>
      <c r="R35" s="236"/>
      <c r="S35" s="231">
        <f>G35*0.35</f>
        <v>61.599999999999994</v>
      </c>
      <c r="T35" s="231">
        <f>G35*0.1</f>
        <v>17.600000000000001</v>
      </c>
      <c r="U35" s="231">
        <f>G35:G35*0.15</f>
        <v>26.4</v>
      </c>
      <c r="V35" s="231">
        <f>G35*0.4</f>
        <v>70.400000000000006</v>
      </c>
      <c r="W35" s="227">
        <f>S35*F35</f>
        <v>1539999.9999999998</v>
      </c>
      <c r="X35" s="227">
        <f>T35*F35</f>
        <v>440000.00000000006</v>
      </c>
      <c r="Y35" s="227">
        <f>U35*F35</f>
        <v>660000</v>
      </c>
      <c r="Z35" s="227">
        <f>V35*F35</f>
        <v>1760000.0000000002</v>
      </c>
      <c r="AA35" s="231">
        <v>25</v>
      </c>
      <c r="AB35" s="227">
        <f t="shared" si="41"/>
        <v>625000</v>
      </c>
      <c r="AC35" s="231">
        <v>15</v>
      </c>
      <c r="AD35" s="231">
        <f t="shared" si="45"/>
        <v>375000</v>
      </c>
      <c r="AE35" s="231">
        <v>10</v>
      </c>
      <c r="AF35" s="53">
        <f t="shared" si="7"/>
        <v>250000</v>
      </c>
      <c r="AG35" s="231">
        <v>10</v>
      </c>
      <c r="AH35" s="53">
        <f t="shared" si="8"/>
        <v>250000</v>
      </c>
      <c r="AI35" s="231">
        <v>17</v>
      </c>
      <c r="AJ35" s="53">
        <f t="shared" si="9"/>
        <v>425000</v>
      </c>
      <c r="AK35" s="231">
        <v>15</v>
      </c>
      <c r="AL35" s="53">
        <f t="shared" si="10"/>
        <v>375000</v>
      </c>
      <c r="AM35" s="231">
        <v>20</v>
      </c>
      <c r="AN35" s="53">
        <f t="shared" si="11"/>
        <v>500000</v>
      </c>
      <c r="AO35" s="231"/>
      <c r="AP35" s="53">
        <f t="shared" si="12"/>
        <v>0</v>
      </c>
      <c r="AQ35" s="231"/>
      <c r="AR35" s="53">
        <f t="shared" si="13"/>
        <v>0</v>
      </c>
      <c r="AS35" s="231">
        <v>10</v>
      </c>
      <c r="AT35" s="53">
        <f t="shared" si="14"/>
        <v>250000</v>
      </c>
      <c r="AU35" s="231"/>
      <c r="AV35" s="53">
        <f t="shared" si="15"/>
        <v>0</v>
      </c>
      <c r="AW35" s="231">
        <v>8</v>
      </c>
      <c r="AX35" s="53">
        <f t="shared" si="16"/>
        <v>200000</v>
      </c>
      <c r="AY35" s="232">
        <v>2</v>
      </c>
      <c r="AZ35" s="53">
        <f t="shared" si="17"/>
        <v>50000</v>
      </c>
      <c r="BA35" s="231">
        <v>20</v>
      </c>
      <c r="BB35" s="53">
        <f t="shared" si="18"/>
        <v>500000</v>
      </c>
      <c r="BC35" s="231">
        <v>10</v>
      </c>
      <c r="BD35" s="53">
        <f t="shared" si="19"/>
        <v>250000</v>
      </c>
      <c r="BE35" s="233">
        <v>0</v>
      </c>
      <c r="BF35" s="53">
        <f t="shared" si="20"/>
        <v>0</v>
      </c>
      <c r="BG35" s="231">
        <v>14</v>
      </c>
      <c r="BH35" s="53">
        <f t="shared" si="21"/>
        <v>350000</v>
      </c>
      <c r="BI35" s="231"/>
      <c r="BJ35" s="53">
        <f t="shared" si="22"/>
        <v>0</v>
      </c>
      <c r="BK35" s="230">
        <f t="shared" si="46"/>
        <v>176</v>
      </c>
      <c r="BL35" s="53">
        <f t="shared" si="46"/>
        <v>4400000</v>
      </c>
      <c r="BM35" s="316" t="s">
        <v>727</v>
      </c>
      <c r="BN35" s="709">
        <f t="shared" si="27"/>
        <v>4400000</v>
      </c>
      <c r="BO35" s="236">
        <f>H35</f>
        <v>4400000</v>
      </c>
      <c r="BP35" s="113"/>
      <c r="BQ35" s="113"/>
      <c r="BR35" s="113"/>
      <c r="BS35" s="113">
        <f>BO35+BP35+BQ35+BR35</f>
        <v>4400000</v>
      </c>
      <c r="BT35" s="113"/>
      <c r="BU35" s="113"/>
      <c r="BV35" s="113"/>
      <c r="BW35" s="223">
        <f>BS35+BV35</f>
        <v>4400000</v>
      </c>
    </row>
    <row r="36" spans="1:75" s="39" customFormat="1" x14ac:dyDescent="0.25">
      <c r="A36" s="874"/>
      <c r="B36" s="225"/>
      <c r="C36" s="38"/>
      <c r="D36" s="38" t="s">
        <v>716</v>
      </c>
      <c r="E36" s="38" t="s">
        <v>606</v>
      </c>
      <c r="F36" s="235"/>
      <c r="G36" s="228">
        <f t="shared" si="4"/>
        <v>0</v>
      </c>
      <c r="H36" s="236">
        <f t="shared" si="48"/>
        <v>0</v>
      </c>
      <c r="I36" s="236"/>
      <c r="J36" s="236"/>
      <c r="K36" s="236">
        <f>H36*0.2</f>
        <v>0</v>
      </c>
      <c r="L36" s="236"/>
      <c r="M36" s="236"/>
      <c r="N36" s="236">
        <f>H36*0.8</f>
        <v>0</v>
      </c>
      <c r="O36" s="236"/>
      <c r="P36" s="236"/>
      <c r="Q36" s="236"/>
      <c r="R36" s="236"/>
      <c r="S36" s="231">
        <f>G36*0.35</f>
        <v>0</v>
      </c>
      <c r="T36" s="231">
        <f>G36*0.1</f>
        <v>0</v>
      </c>
      <c r="U36" s="231">
        <f>G36:G36*0.15</f>
        <v>0</v>
      </c>
      <c r="V36" s="231">
        <f>G36*0.4</f>
        <v>0</v>
      </c>
      <c r="W36" s="227">
        <f>S36*F36</f>
        <v>0</v>
      </c>
      <c r="X36" s="227">
        <f>T36*F36</f>
        <v>0</v>
      </c>
      <c r="Y36" s="227">
        <f>U36*F36</f>
        <v>0</v>
      </c>
      <c r="Z36" s="227">
        <f>V36*F36</f>
        <v>0</v>
      </c>
      <c r="AA36" s="231"/>
      <c r="AB36" s="227">
        <f t="shared" si="41"/>
        <v>0</v>
      </c>
      <c r="AC36" s="231"/>
      <c r="AD36" s="231">
        <f t="shared" si="45"/>
        <v>0</v>
      </c>
      <c r="AE36" s="231"/>
      <c r="AF36" s="53">
        <f t="shared" si="7"/>
        <v>0</v>
      </c>
      <c r="AG36" s="231">
        <v>0</v>
      </c>
      <c r="AH36" s="53">
        <f t="shared" si="8"/>
        <v>0</v>
      </c>
      <c r="AI36" s="231"/>
      <c r="AJ36" s="53">
        <f t="shared" si="9"/>
        <v>0</v>
      </c>
      <c r="AK36" s="231"/>
      <c r="AL36" s="53">
        <f t="shared" si="10"/>
        <v>0</v>
      </c>
      <c r="AM36" s="231"/>
      <c r="AN36" s="53">
        <f t="shared" si="11"/>
        <v>0</v>
      </c>
      <c r="AO36" s="231"/>
      <c r="AP36" s="53">
        <f t="shared" si="12"/>
        <v>0</v>
      </c>
      <c r="AQ36" s="231"/>
      <c r="AR36" s="53">
        <f t="shared" si="13"/>
        <v>0</v>
      </c>
      <c r="AS36" s="231"/>
      <c r="AT36" s="53">
        <f t="shared" si="14"/>
        <v>0</v>
      </c>
      <c r="AU36" s="231"/>
      <c r="AV36" s="53">
        <f t="shared" si="15"/>
        <v>0</v>
      </c>
      <c r="AW36" s="231"/>
      <c r="AX36" s="53">
        <f t="shared" si="16"/>
        <v>0</v>
      </c>
      <c r="AY36" s="232"/>
      <c r="AZ36" s="53">
        <f t="shared" si="17"/>
        <v>0</v>
      </c>
      <c r="BA36" s="231"/>
      <c r="BB36" s="53">
        <f t="shared" si="18"/>
        <v>0</v>
      </c>
      <c r="BC36" s="231"/>
      <c r="BD36" s="53">
        <f t="shared" si="19"/>
        <v>0</v>
      </c>
      <c r="BE36" s="233"/>
      <c r="BF36" s="53">
        <f t="shared" si="20"/>
        <v>0</v>
      </c>
      <c r="BG36" s="231"/>
      <c r="BH36" s="53">
        <f t="shared" si="21"/>
        <v>0</v>
      </c>
      <c r="BI36" s="231"/>
      <c r="BJ36" s="53">
        <f t="shared" si="22"/>
        <v>0</v>
      </c>
      <c r="BK36" s="230">
        <f t="shared" si="46"/>
        <v>0</v>
      </c>
      <c r="BL36" s="53">
        <f t="shared" si="46"/>
        <v>0</v>
      </c>
      <c r="BM36" s="316" t="s">
        <v>730</v>
      </c>
      <c r="BN36" s="709">
        <f t="shared" si="27"/>
        <v>0</v>
      </c>
      <c r="BO36" s="236">
        <f>H36</f>
        <v>0</v>
      </c>
      <c r="BP36" s="113"/>
      <c r="BQ36" s="113"/>
      <c r="BR36" s="113"/>
      <c r="BS36" s="113">
        <f>BO36+BP36+BQ36+BR36</f>
        <v>0</v>
      </c>
      <c r="BT36" s="113"/>
      <c r="BU36" s="113"/>
      <c r="BV36" s="113"/>
      <c r="BW36" s="223">
        <f>BS36+BV36</f>
        <v>0</v>
      </c>
    </row>
    <row r="37" spans="1:75" s="39" customFormat="1" x14ac:dyDescent="0.25">
      <c r="A37" s="874"/>
      <c r="B37" s="225"/>
      <c r="C37" s="38"/>
      <c r="D37" s="38" t="s">
        <v>679</v>
      </c>
      <c r="E37" s="38" t="s">
        <v>606</v>
      </c>
      <c r="F37" s="235">
        <v>25000</v>
      </c>
      <c r="G37" s="228">
        <f t="shared" si="4"/>
        <v>28</v>
      </c>
      <c r="H37" s="236">
        <f t="shared" si="48"/>
        <v>700000</v>
      </c>
      <c r="I37" s="236"/>
      <c r="J37" s="236"/>
      <c r="K37" s="236"/>
      <c r="L37" s="236"/>
      <c r="M37" s="236"/>
      <c r="N37" s="236">
        <f>H37</f>
        <v>700000</v>
      </c>
      <c r="O37" s="236"/>
      <c r="P37" s="236"/>
      <c r="Q37" s="236"/>
      <c r="R37" s="236"/>
      <c r="S37" s="231">
        <f>G37*0.35</f>
        <v>9.7999999999999989</v>
      </c>
      <c r="T37" s="231">
        <f>G37*0.1</f>
        <v>2.8000000000000003</v>
      </c>
      <c r="U37" s="231">
        <f>G37:G37*0.15</f>
        <v>4.2</v>
      </c>
      <c r="V37" s="231">
        <f>G37*0.4</f>
        <v>11.200000000000001</v>
      </c>
      <c r="W37" s="227">
        <f>S37*F37</f>
        <v>244999.99999999997</v>
      </c>
      <c r="X37" s="227">
        <f>T37*F37</f>
        <v>70000</v>
      </c>
      <c r="Y37" s="227">
        <f>U37*F37</f>
        <v>105000</v>
      </c>
      <c r="Z37" s="227">
        <f>V37*F37</f>
        <v>280000</v>
      </c>
      <c r="AA37" s="231">
        <v>0</v>
      </c>
      <c r="AB37" s="227">
        <f t="shared" si="41"/>
        <v>0</v>
      </c>
      <c r="AC37" s="231"/>
      <c r="AD37" s="231">
        <f t="shared" si="45"/>
        <v>0</v>
      </c>
      <c r="AE37" s="231"/>
      <c r="AF37" s="53">
        <f t="shared" si="7"/>
        <v>0</v>
      </c>
      <c r="AG37" s="231">
        <v>20</v>
      </c>
      <c r="AH37" s="53">
        <f t="shared" si="8"/>
        <v>500000</v>
      </c>
      <c r="AI37" s="231"/>
      <c r="AJ37" s="53">
        <f t="shared" si="9"/>
        <v>0</v>
      </c>
      <c r="AK37" s="231">
        <v>4</v>
      </c>
      <c r="AL37" s="53">
        <f t="shared" si="10"/>
        <v>100000</v>
      </c>
      <c r="AM37" s="231"/>
      <c r="AN37" s="53">
        <f t="shared" si="11"/>
        <v>0</v>
      </c>
      <c r="AO37" s="231"/>
      <c r="AP37" s="53">
        <f t="shared" si="12"/>
        <v>0</v>
      </c>
      <c r="AQ37" s="231"/>
      <c r="AR37" s="53">
        <f t="shared" si="13"/>
        <v>0</v>
      </c>
      <c r="AS37" s="231"/>
      <c r="AT37" s="53">
        <f t="shared" si="14"/>
        <v>0</v>
      </c>
      <c r="AU37" s="231"/>
      <c r="AV37" s="53">
        <f t="shared" si="15"/>
        <v>0</v>
      </c>
      <c r="AW37" s="231"/>
      <c r="AX37" s="53">
        <f t="shared" si="16"/>
        <v>0</v>
      </c>
      <c r="AY37" s="232"/>
      <c r="AZ37" s="53">
        <f t="shared" si="17"/>
        <v>0</v>
      </c>
      <c r="BA37" s="231">
        <v>4</v>
      </c>
      <c r="BB37" s="53">
        <f t="shared" si="18"/>
        <v>100000</v>
      </c>
      <c r="BC37" s="231"/>
      <c r="BD37" s="53">
        <f t="shared" si="19"/>
        <v>0</v>
      </c>
      <c r="BE37" s="233"/>
      <c r="BF37" s="53">
        <f t="shared" si="20"/>
        <v>0</v>
      </c>
      <c r="BG37" s="231">
        <v>0</v>
      </c>
      <c r="BH37" s="53">
        <f t="shared" si="21"/>
        <v>0</v>
      </c>
      <c r="BI37" s="231"/>
      <c r="BJ37" s="53">
        <f t="shared" si="22"/>
        <v>0</v>
      </c>
      <c r="BK37" s="230">
        <f t="shared" si="46"/>
        <v>28</v>
      </c>
      <c r="BL37" s="53">
        <f t="shared" si="46"/>
        <v>700000</v>
      </c>
      <c r="BM37" s="316" t="s">
        <v>727</v>
      </c>
      <c r="BN37" s="709">
        <f t="shared" si="27"/>
        <v>700000</v>
      </c>
      <c r="BO37" s="236">
        <f>H37</f>
        <v>700000</v>
      </c>
      <c r="BP37" s="113"/>
      <c r="BQ37" s="113"/>
      <c r="BR37" s="113"/>
      <c r="BS37" s="113">
        <f>BO37+BP37+BQ37+BR37</f>
        <v>700000</v>
      </c>
      <c r="BT37" s="113"/>
      <c r="BU37" s="113"/>
      <c r="BV37" s="113"/>
      <c r="BW37" s="223">
        <f>BS37+BV37</f>
        <v>700000</v>
      </c>
    </row>
    <row r="38" spans="1:75" s="39" customFormat="1" x14ac:dyDescent="0.25">
      <c r="A38" s="874"/>
      <c r="B38" s="246"/>
      <c r="C38" s="247"/>
      <c r="D38" s="239" t="s">
        <v>3</v>
      </c>
      <c r="E38" s="247"/>
      <c r="F38" s="249"/>
      <c r="G38" s="241">
        <f t="shared" si="4"/>
        <v>204</v>
      </c>
      <c r="H38" s="211">
        <f t="shared" ref="H38:BL38" si="49">SUM(H35:H37)</f>
        <v>5100000</v>
      </c>
      <c r="I38" s="249">
        <f>SUM(I35:I37)</f>
        <v>0</v>
      </c>
      <c r="J38" s="250">
        <f t="shared" si="49"/>
        <v>0</v>
      </c>
      <c r="K38" s="250">
        <f t="shared" si="49"/>
        <v>0</v>
      </c>
      <c r="L38" s="250">
        <f t="shared" si="49"/>
        <v>0</v>
      </c>
      <c r="M38" s="250">
        <f t="shared" si="49"/>
        <v>0</v>
      </c>
      <c r="N38" s="250">
        <f t="shared" si="49"/>
        <v>5100000</v>
      </c>
      <c r="O38" s="250">
        <f t="shared" si="49"/>
        <v>0</v>
      </c>
      <c r="P38" s="250">
        <f t="shared" si="49"/>
        <v>0</v>
      </c>
      <c r="Q38" s="250">
        <f t="shared" si="49"/>
        <v>0</v>
      </c>
      <c r="R38" s="250">
        <f t="shared" si="49"/>
        <v>0</v>
      </c>
      <c r="S38" s="250">
        <f t="shared" si="49"/>
        <v>71.399999999999991</v>
      </c>
      <c r="T38" s="250">
        <f t="shared" si="49"/>
        <v>20.400000000000002</v>
      </c>
      <c r="U38" s="250">
        <f t="shared" si="49"/>
        <v>30.599999999999998</v>
      </c>
      <c r="V38" s="250">
        <f t="shared" si="49"/>
        <v>81.600000000000009</v>
      </c>
      <c r="W38" s="250">
        <f t="shared" si="49"/>
        <v>1784999.9999999998</v>
      </c>
      <c r="X38" s="250">
        <f t="shared" si="49"/>
        <v>510000.00000000006</v>
      </c>
      <c r="Y38" s="250">
        <f t="shared" si="49"/>
        <v>765000</v>
      </c>
      <c r="Z38" s="250">
        <f t="shared" si="49"/>
        <v>2040000.0000000002</v>
      </c>
      <c r="AA38" s="251">
        <f t="shared" si="49"/>
        <v>25</v>
      </c>
      <c r="AB38" s="251">
        <f t="shared" si="49"/>
        <v>625000</v>
      </c>
      <c r="AC38" s="251">
        <f t="shared" si="49"/>
        <v>15</v>
      </c>
      <c r="AD38" s="251">
        <f t="shared" si="49"/>
        <v>375000</v>
      </c>
      <c r="AE38" s="251">
        <f t="shared" si="49"/>
        <v>10</v>
      </c>
      <c r="AF38" s="251">
        <f t="shared" si="49"/>
        <v>250000</v>
      </c>
      <c r="AG38" s="251">
        <f t="shared" si="49"/>
        <v>30</v>
      </c>
      <c r="AH38" s="251">
        <f t="shared" si="49"/>
        <v>750000</v>
      </c>
      <c r="AI38" s="251">
        <f t="shared" si="49"/>
        <v>17</v>
      </c>
      <c r="AJ38" s="251">
        <f t="shared" si="49"/>
        <v>425000</v>
      </c>
      <c r="AK38" s="251">
        <f t="shared" si="49"/>
        <v>19</v>
      </c>
      <c r="AL38" s="251">
        <f t="shared" si="49"/>
        <v>475000</v>
      </c>
      <c r="AM38" s="251">
        <f t="shared" si="49"/>
        <v>20</v>
      </c>
      <c r="AN38" s="251">
        <f t="shared" si="49"/>
        <v>500000</v>
      </c>
      <c r="AO38" s="251">
        <f t="shared" si="49"/>
        <v>0</v>
      </c>
      <c r="AP38" s="251">
        <f t="shared" si="49"/>
        <v>0</v>
      </c>
      <c r="AQ38" s="251">
        <f t="shared" si="49"/>
        <v>0</v>
      </c>
      <c r="AR38" s="251">
        <f t="shared" si="49"/>
        <v>0</v>
      </c>
      <c r="AS38" s="251">
        <f t="shared" si="49"/>
        <v>10</v>
      </c>
      <c r="AT38" s="251">
        <f t="shared" si="49"/>
        <v>250000</v>
      </c>
      <c r="AU38" s="251">
        <f t="shared" si="49"/>
        <v>0</v>
      </c>
      <c r="AV38" s="251">
        <f t="shared" si="49"/>
        <v>0</v>
      </c>
      <c r="AW38" s="251">
        <f t="shared" si="49"/>
        <v>8</v>
      </c>
      <c r="AX38" s="251">
        <f t="shared" si="49"/>
        <v>200000</v>
      </c>
      <c r="AY38" s="251">
        <f t="shared" si="49"/>
        <v>2</v>
      </c>
      <c r="AZ38" s="251">
        <f t="shared" si="49"/>
        <v>50000</v>
      </c>
      <c r="BA38" s="251">
        <f t="shared" si="49"/>
        <v>24</v>
      </c>
      <c r="BB38" s="251">
        <f t="shared" si="49"/>
        <v>600000</v>
      </c>
      <c r="BC38" s="251">
        <f t="shared" si="49"/>
        <v>10</v>
      </c>
      <c r="BD38" s="251">
        <f t="shared" si="49"/>
        <v>250000</v>
      </c>
      <c r="BE38" s="251">
        <f t="shared" si="49"/>
        <v>0</v>
      </c>
      <c r="BF38" s="251">
        <f t="shared" si="49"/>
        <v>0</v>
      </c>
      <c r="BG38" s="251">
        <f t="shared" si="49"/>
        <v>14</v>
      </c>
      <c r="BH38" s="251">
        <f t="shared" si="49"/>
        <v>350000</v>
      </c>
      <c r="BI38" s="251">
        <f t="shared" si="49"/>
        <v>0</v>
      </c>
      <c r="BJ38" s="251">
        <f t="shared" si="49"/>
        <v>0</v>
      </c>
      <c r="BK38" s="251">
        <f t="shared" si="49"/>
        <v>204</v>
      </c>
      <c r="BL38" s="251">
        <f t="shared" si="49"/>
        <v>5100000</v>
      </c>
      <c r="BM38" s="316" t="s">
        <v>727</v>
      </c>
      <c r="BN38" s="709">
        <f t="shared" si="27"/>
        <v>5100000</v>
      </c>
      <c r="BO38" s="252">
        <f t="shared" ref="BO38:BW38" si="50">SUM(BO35:BO37)</f>
        <v>5100000</v>
      </c>
      <c r="BP38" s="252">
        <f t="shared" si="50"/>
        <v>0</v>
      </c>
      <c r="BQ38" s="252">
        <f t="shared" si="50"/>
        <v>0</v>
      </c>
      <c r="BR38" s="252">
        <f t="shared" si="50"/>
        <v>0</v>
      </c>
      <c r="BS38" s="252">
        <f t="shared" si="50"/>
        <v>5100000</v>
      </c>
      <c r="BT38" s="252">
        <f t="shared" si="50"/>
        <v>0</v>
      </c>
      <c r="BU38" s="252">
        <f t="shared" si="50"/>
        <v>0</v>
      </c>
      <c r="BV38" s="252">
        <f t="shared" si="50"/>
        <v>0</v>
      </c>
      <c r="BW38" s="252">
        <f t="shared" si="50"/>
        <v>5100000</v>
      </c>
    </row>
    <row r="39" spans="1:75" s="39" customFormat="1" x14ac:dyDescent="0.25">
      <c r="A39" s="874"/>
      <c r="B39" s="253"/>
      <c r="C39" s="244"/>
      <c r="D39" s="254" t="s">
        <v>720</v>
      </c>
      <c r="E39" s="244"/>
      <c r="F39" s="255"/>
      <c r="G39" s="228">
        <f t="shared" si="4"/>
        <v>0</v>
      </c>
      <c r="H39" s="236">
        <f t="shared" si="48"/>
        <v>0</v>
      </c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31">
        <f t="shared" ref="S39:S44" si="51">G39*0.35</f>
        <v>0</v>
      </c>
      <c r="T39" s="231">
        <f t="shared" ref="T39:T44" si="52">G39*0.1</f>
        <v>0</v>
      </c>
      <c r="U39" s="231">
        <f t="shared" ref="U39:U44" si="53">G39:G39*0.15</f>
        <v>0</v>
      </c>
      <c r="V39" s="231">
        <f t="shared" ref="V39:V44" si="54">G39*0.4</f>
        <v>0</v>
      </c>
      <c r="W39" s="227">
        <f t="shared" ref="W39:W44" si="55">S39*F39</f>
        <v>0</v>
      </c>
      <c r="X39" s="227">
        <f t="shared" ref="X39:X44" si="56">T39*F39</f>
        <v>0</v>
      </c>
      <c r="Y39" s="227">
        <f t="shared" ref="Y39:Y44" si="57">U39*F39</f>
        <v>0</v>
      </c>
      <c r="Z39" s="227">
        <f t="shared" ref="Z39:Z44" si="58">V39*F39</f>
        <v>0</v>
      </c>
      <c r="AA39" s="257"/>
      <c r="AB39" s="227">
        <f t="shared" si="41"/>
        <v>0</v>
      </c>
      <c r="AC39" s="257"/>
      <c r="AD39" s="231">
        <f t="shared" si="45"/>
        <v>0</v>
      </c>
      <c r="AE39" s="257"/>
      <c r="AF39" s="53">
        <f t="shared" si="7"/>
        <v>0</v>
      </c>
      <c r="AG39" s="257"/>
      <c r="AH39" s="53">
        <f t="shared" si="8"/>
        <v>0</v>
      </c>
      <c r="AI39" s="257"/>
      <c r="AJ39" s="53">
        <f t="shared" si="9"/>
        <v>0</v>
      </c>
      <c r="AK39" s="257"/>
      <c r="AL39" s="53">
        <f t="shared" si="10"/>
        <v>0</v>
      </c>
      <c r="AM39" s="257"/>
      <c r="AN39" s="53">
        <f t="shared" si="11"/>
        <v>0</v>
      </c>
      <c r="AO39" s="257"/>
      <c r="AP39" s="53">
        <f t="shared" si="12"/>
        <v>0</v>
      </c>
      <c r="AQ39" s="257"/>
      <c r="AR39" s="53">
        <f t="shared" si="13"/>
        <v>0</v>
      </c>
      <c r="AS39" s="257"/>
      <c r="AT39" s="53">
        <f t="shared" si="14"/>
        <v>0</v>
      </c>
      <c r="AU39" s="257"/>
      <c r="AV39" s="53">
        <f t="shared" si="15"/>
        <v>0</v>
      </c>
      <c r="AW39" s="257"/>
      <c r="AX39" s="53">
        <f t="shared" si="16"/>
        <v>0</v>
      </c>
      <c r="AY39" s="258"/>
      <c r="AZ39" s="53">
        <f t="shared" si="17"/>
        <v>0</v>
      </c>
      <c r="BA39" s="257"/>
      <c r="BB39" s="53">
        <f t="shared" si="18"/>
        <v>0</v>
      </c>
      <c r="BC39" s="257"/>
      <c r="BD39" s="53">
        <f t="shared" si="19"/>
        <v>0</v>
      </c>
      <c r="BE39" s="259"/>
      <c r="BF39" s="53">
        <f t="shared" si="20"/>
        <v>0</v>
      </c>
      <c r="BG39" s="257"/>
      <c r="BH39" s="53">
        <f t="shared" si="21"/>
        <v>0</v>
      </c>
      <c r="BI39" s="257"/>
      <c r="BJ39" s="53">
        <f t="shared" si="22"/>
        <v>0</v>
      </c>
      <c r="BK39" s="230">
        <f t="shared" si="46"/>
        <v>0</v>
      </c>
      <c r="BL39" s="53">
        <f t="shared" si="46"/>
        <v>0</v>
      </c>
      <c r="BM39" s="316" t="s">
        <v>727</v>
      </c>
      <c r="BN39" s="709">
        <f t="shared" si="27"/>
        <v>0</v>
      </c>
      <c r="BO39" s="236"/>
      <c r="BP39" s="113"/>
      <c r="BQ39" s="113"/>
      <c r="BR39" s="113"/>
      <c r="BS39" s="113"/>
      <c r="BT39" s="113"/>
      <c r="BU39" s="113"/>
      <c r="BV39" s="113"/>
      <c r="BW39" s="223"/>
    </row>
    <row r="40" spans="1:75" s="39" customFormat="1" x14ac:dyDescent="0.25">
      <c r="A40" s="874"/>
      <c r="B40" s="225"/>
      <c r="C40" s="38"/>
      <c r="D40" s="38" t="s">
        <v>688</v>
      </c>
      <c r="E40" s="38" t="s">
        <v>606</v>
      </c>
      <c r="F40" s="235">
        <v>113000</v>
      </c>
      <c r="G40" s="228">
        <f t="shared" si="4"/>
        <v>0</v>
      </c>
      <c r="H40" s="236">
        <f t="shared" si="48"/>
        <v>0</v>
      </c>
      <c r="I40" s="236"/>
      <c r="J40" s="236"/>
      <c r="K40" s="236"/>
      <c r="L40" s="236"/>
      <c r="M40" s="236"/>
      <c r="N40" s="236">
        <f>H40</f>
        <v>0</v>
      </c>
      <c r="O40" s="236"/>
      <c r="P40" s="236"/>
      <c r="Q40" s="236"/>
      <c r="R40" s="236"/>
      <c r="S40" s="231">
        <f t="shared" si="51"/>
        <v>0</v>
      </c>
      <c r="T40" s="231">
        <f t="shared" si="52"/>
        <v>0</v>
      </c>
      <c r="U40" s="231">
        <f t="shared" si="53"/>
        <v>0</v>
      </c>
      <c r="V40" s="231">
        <f t="shared" si="54"/>
        <v>0</v>
      </c>
      <c r="W40" s="227">
        <f t="shared" si="55"/>
        <v>0</v>
      </c>
      <c r="X40" s="227">
        <f t="shared" si="56"/>
        <v>0</v>
      </c>
      <c r="Y40" s="227">
        <f t="shared" si="57"/>
        <v>0</v>
      </c>
      <c r="Z40" s="227">
        <f t="shared" si="58"/>
        <v>0</v>
      </c>
      <c r="AA40" s="231"/>
      <c r="AB40" s="227">
        <f t="shared" si="41"/>
        <v>0</v>
      </c>
      <c r="AC40" s="231">
        <v>0</v>
      </c>
      <c r="AD40" s="231">
        <f t="shared" si="45"/>
        <v>0</v>
      </c>
      <c r="AE40" s="231"/>
      <c r="AF40" s="53">
        <f t="shared" si="7"/>
        <v>0</v>
      </c>
      <c r="AG40" s="231">
        <v>0</v>
      </c>
      <c r="AH40" s="53">
        <f t="shared" si="8"/>
        <v>0</v>
      </c>
      <c r="AI40" s="231">
        <v>0</v>
      </c>
      <c r="AJ40" s="53">
        <f t="shared" si="9"/>
        <v>0</v>
      </c>
      <c r="AK40" s="231">
        <v>0</v>
      </c>
      <c r="AL40" s="53">
        <f t="shared" si="10"/>
        <v>0</v>
      </c>
      <c r="AM40" s="231">
        <v>0</v>
      </c>
      <c r="AN40" s="53">
        <f t="shared" si="11"/>
        <v>0</v>
      </c>
      <c r="AO40" s="231"/>
      <c r="AP40" s="53">
        <f t="shared" si="12"/>
        <v>0</v>
      </c>
      <c r="AQ40" s="231"/>
      <c r="AR40" s="53">
        <f t="shared" si="13"/>
        <v>0</v>
      </c>
      <c r="AS40" s="231">
        <v>0</v>
      </c>
      <c r="AT40" s="53">
        <f t="shared" si="14"/>
        <v>0</v>
      </c>
      <c r="AU40" s="231"/>
      <c r="AV40" s="53">
        <f t="shared" si="15"/>
        <v>0</v>
      </c>
      <c r="AW40" s="231">
        <v>0</v>
      </c>
      <c r="AX40" s="53">
        <f t="shared" si="16"/>
        <v>0</v>
      </c>
      <c r="AY40" s="232"/>
      <c r="AZ40" s="53">
        <f t="shared" si="17"/>
        <v>0</v>
      </c>
      <c r="BA40" s="231"/>
      <c r="BB40" s="53">
        <f t="shared" si="18"/>
        <v>0</v>
      </c>
      <c r="BC40" s="231">
        <v>0</v>
      </c>
      <c r="BD40" s="53">
        <f t="shared" si="19"/>
        <v>0</v>
      </c>
      <c r="BE40" s="233">
        <v>0</v>
      </c>
      <c r="BF40" s="53">
        <f t="shared" si="20"/>
        <v>0</v>
      </c>
      <c r="BG40" s="231">
        <v>0</v>
      </c>
      <c r="BH40" s="53">
        <f t="shared" si="21"/>
        <v>0</v>
      </c>
      <c r="BI40" s="231"/>
      <c r="BJ40" s="53">
        <f t="shared" si="22"/>
        <v>0</v>
      </c>
      <c r="BK40" s="230">
        <f t="shared" si="46"/>
        <v>0</v>
      </c>
      <c r="BL40" s="53">
        <f t="shared" si="46"/>
        <v>0</v>
      </c>
      <c r="BM40" s="316" t="s">
        <v>727</v>
      </c>
      <c r="BN40" s="709">
        <f t="shared" si="27"/>
        <v>0</v>
      </c>
      <c r="BO40" s="236">
        <f>H40</f>
        <v>0</v>
      </c>
      <c r="BP40" s="113"/>
      <c r="BQ40" s="113"/>
      <c r="BR40" s="113"/>
      <c r="BS40" s="113">
        <f>BO40+BP40+BQ40+BR40</f>
        <v>0</v>
      </c>
      <c r="BT40" s="113"/>
      <c r="BU40" s="113"/>
      <c r="BV40" s="113"/>
      <c r="BW40" s="223">
        <f>BS40+BV40</f>
        <v>0</v>
      </c>
    </row>
    <row r="41" spans="1:75" s="39" customFormat="1" x14ac:dyDescent="0.25">
      <c r="A41" s="874"/>
      <c r="B41" s="225"/>
      <c r="C41" s="38"/>
      <c r="D41" s="38" t="s">
        <v>700</v>
      </c>
      <c r="E41" s="38" t="s">
        <v>606</v>
      </c>
      <c r="F41" s="235">
        <v>44000</v>
      </c>
      <c r="G41" s="228">
        <f t="shared" si="4"/>
        <v>58</v>
      </c>
      <c r="H41" s="236">
        <f t="shared" si="48"/>
        <v>2552000</v>
      </c>
      <c r="I41" s="236"/>
      <c r="J41" s="236"/>
      <c r="K41" s="236"/>
      <c r="L41" s="236"/>
      <c r="M41" s="236"/>
      <c r="N41" s="236">
        <f>H41</f>
        <v>2552000</v>
      </c>
      <c r="O41" s="236"/>
      <c r="P41" s="236"/>
      <c r="Q41" s="236"/>
      <c r="R41" s="236"/>
      <c r="S41" s="231">
        <f t="shared" si="51"/>
        <v>20.299999999999997</v>
      </c>
      <c r="T41" s="231">
        <f t="shared" si="52"/>
        <v>5.8000000000000007</v>
      </c>
      <c r="U41" s="231">
        <f t="shared" si="53"/>
        <v>8.6999999999999993</v>
      </c>
      <c r="V41" s="231">
        <f t="shared" si="54"/>
        <v>23.200000000000003</v>
      </c>
      <c r="W41" s="227">
        <f t="shared" si="55"/>
        <v>893199.99999999988</v>
      </c>
      <c r="X41" s="227">
        <f t="shared" si="56"/>
        <v>255200.00000000003</v>
      </c>
      <c r="Y41" s="227">
        <f t="shared" si="57"/>
        <v>382799.99999999994</v>
      </c>
      <c r="Z41" s="227">
        <f t="shared" si="58"/>
        <v>1020800.0000000001</v>
      </c>
      <c r="AA41" s="231"/>
      <c r="AB41" s="227">
        <f t="shared" si="41"/>
        <v>0</v>
      </c>
      <c r="AC41" s="231">
        <v>4</v>
      </c>
      <c r="AD41" s="231">
        <f t="shared" si="45"/>
        <v>176000</v>
      </c>
      <c r="AE41" s="231"/>
      <c r="AF41" s="53">
        <f t="shared" si="7"/>
        <v>0</v>
      </c>
      <c r="AG41" s="231">
        <v>10</v>
      </c>
      <c r="AH41" s="53">
        <f t="shared" si="8"/>
        <v>440000</v>
      </c>
      <c r="AI41" s="231">
        <v>5</v>
      </c>
      <c r="AJ41" s="53">
        <f t="shared" si="9"/>
        <v>220000</v>
      </c>
      <c r="AK41" s="231">
        <v>5</v>
      </c>
      <c r="AL41" s="53">
        <f t="shared" si="10"/>
        <v>220000</v>
      </c>
      <c r="AM41" s="231">
        <v>5</v>
      </c>
      <c r="AN41" s="53">
        <f t="shared" si="11"/>
        <v>220000</v>
      </c>
      <c r="AO41" s="231">
        <v>5</v>
      </c>
      <c r="AP41" s="53">
        <f t="shared" si="12"/>
        <v>220000</v>
      </c>
      <c r="AQ41" s="231"/>
      <c r="AR41" s="53">
        <f t="shared" si="13"/>
        <v>0</v>
      </c>
      <c r="AS41" s="231">
        <v>5</v>
      </c>
      <c r="AT41" s="53">
        <f t="shared" si="14"/>
        <v>220000</v>
      </c>
      <c r="AU41" s="231"/>
      <c r="AV41" s="53">
        <f t="shared" si="15"/>
        <v>0</v>
      </c>
      <c r="AW41" s="231">
        <v>5</v>
      </c>
      <c r="AX41" s="53">
        <f t="shared" si="16"/>
        <v>220000</v>
      </c>
      <c r="AY41" s="232"/>
      <c r="AZ41" s="53">
        <f t="shared" si="17"/>
        <v>0</v>
      </c>
      <c r="BA41" s="231"/>
      <c r="BB41" s="53">
        <f t="shared" si="18"/>
        <v>0</v>
      </c>
      <c r="BC41" s="231">
        <v>5</v>
      </c>
      <c r="BD41" s="53">
        <f t="shared" si="19"/>
        <v>220000</v>
      </c>
      <c r="BE41" s="233">
        <v>4</v>
      </c>
      <c r="BF41" s="53">
        <f t="shared" si="20"/>
        <v>176000</v>
      </c>
      <c r="BG41" s="231">
        <v>5</v>
      </c>
      <c r="BH41" s="53">
        <f t="shared" si="21"/>
        <v>220000</v>
      </c>
      <c r="BI41" s="231"/>
      <c r="BJ41" s="53">
        <f t="shared" si="22"/>
        <v>0</v>
      </c>
      <c r="BK41" s="230">
        <f t="shared" si="46"/>
        <v>58</v>
      </c>
      <c r="BL41" s="53">
        <f t="shared" si="46"/>
        <v>2552000</v>
      </c>
      <c r="BM41" s="316" t="s">
        <v>727</v>
      </c>
      <c r="BN41" s="709">
        <f t="shared" si="27"/>
        <v>2552000</v>
      </c>
      <c r="BO41" s="236">
        <f>H41</f>
        <v>2552000</v>
      </c>
      <c r="BP41" s="113"/>
      <c r="BQ41" s="113"/>
      <c r="BR41" s="113"/>
      <c r="BS41" s="113">
        <f>BO41+BP41+BQ41+BR41</f>
        <v>2552000</v>
      </c>
      <c r="BT41" s="113"/>
      <c r="BU41" s="113"/>
      <c r="BV41" s="113"/>
      <c r="BW41" s="223">
        <f>BS41+BV41</f>
        <v>2552000</v>
      </c>
    </row>
    <row r="42" spans="1:75" s="39" customFormat="1" x14ac:dyDescent="0.25">
      <c r="A42" s="874"/>
      <c r="B42" s="225"/>
      <c r="C42" s="38"/>
      <c r="D42" s="38" t="s">
        <v>690</v>
      </c>
      <c r="E42" s="38" t="s">
        <v>691</v>
      </c>
      <c r="F42" s="235">
        <v>182</v>
      </c>
      <c r="G42" s="228">
        <f t="shared" si="4"/>
        <v>0</v>
      </c>
      <c r="H42" s="236">
        <f t="shared" si="48"/>
        <v>0</v>
      </c>
      <c r="I42" s="236"/>
      <c r="J42" s="236"/>
      <c r="K42" s="236"/>
      <c r="L42" s="236"/>
      <c r="M42" s="236"/>
      <c r="N42" s="236">
        <f>H42</f>
        <v>0</v>
      </c>
      <c r="O42" s="236"/>
      <c r="P42" s="236"/>
      <c r="Q42" s="236"/>
      <c r="R42" s="236"/>
      <c r="S42" s="231">
        <f t="shared" si="51"/>
        <v>0</v>
      </c>
      <c r="T42" s="231">
        <f t="shared" si="52"/>
        <v>0</v>
      </c>
      <c r="U42" s="231">
        <f t="shared" si="53"/>
        <v>0</v>
      </c>
      <c r="V42" s="231">
        <f t="shared" si="54"/>
        <v>0</v>
      </c>
      <c r="W42" s="227">
        <f t="shared" si="55"/>
        <v>0</v>
      </c>
      <c r="X42" s="227">
        <f t="shared" si="56"/>
        <v>0</v>
      </c>
      <c r="Y42" s="227">
        <f t="shared" si="57"/>
        <v>0</v>
      </c>
      <c r="Z42" s="227">
        <f t="shared" si="58"/>
        <v>0</v>
      </c>
      <c r="AA42" s="231"/>
      <c r="AB42" s="227">
        <f t="shared" si="41"/>
        <v>0</v>
      </c>
      <c r="AC42" s="231"/>
      <c r="AD42" s="231">
        <f t="shared" si="45"/>
        <v>0</v>
      </c>
      <c r="AE42" s="231"/>
      <c r="AF42" s="53">
        <f t="shared" si="7"/>
        <v>0</v>
      </c>
      <c r="AG42" s="231"/>
      <c r="AH42" s="53">
        <f t="shared" si="8"/>
        <v>0</v>
      </c>
      <c r="AI42" s="231"/>
      <c r="AJ42" s="53">
        <f t="shared" si="9"/>
        <v>0</v>
      </c>
      <c r="AK42" s="231">
        <v>0</v>
      </c>
      <c r="AL42" s="53">
        <f t="shared" si="10"/>
        <v>0</v>
      </c>
      <c r="AM42" s="231"/>
      <c r="AN42" s="53">
        <f t="shared" si="11"/>
        <v>0</v>
      </c>
      <c r="AO42" s="231"/>
      <c r="AP42" s="53">
        <f t="shared" si="12"/>
        <v>0</v>
      </c>
      <c r="AQ42" s="231">
        <v>0</v>
      </c>
      <c r="AR42" s="53">
        <f t="shared" si="13"/>
        <v>0</v>
      </c>
      <c r="AS42" s="231">
        <v>0</v>
      </c>
      <c r="AT42" s="53">
        <f t="shared" si="14"/>
        <v>0</v>
      </c>
      <c r="AU42" s="231"/>
      <c r="AV42" s="53">
        <f t="shared" si="15"/>
        <v>0</v>
      </c>
      <c r="AW42" s="231"/>
      <c r="AX42" s="53">
        <f t="shared" si="16"/>
        <v>0</v>
      </c>
      <c r="AY42" s="232"/>
      <c r="AZ42" s="53">
        <f t="shared" si="17"/>
        <v>0</v>
      </c>
      <c r="BA42" s="231"/>
      <c r="BB42" s="53">
        <f t="shared" si="18"/>
        <v>0</v>
      </c>
      <c r="BC42" s="231"/>
      <c r="BD42" s="53">
        <f t="shared" si="19"/>
        <v>0</v>
      </c>
      <c r="BE42" s="233"/>
      <c r="BF42" s="53">
        <f t="shared" si="20"/>
        <v>0</v>
      </c>
      <c r="BG42" s="231"/>
      <c r="BH42" s="53">
        <f t="shared" si="21"/>
        <v>0</v>
      </c>
      <c r="BI42" s="231"/>
      <c r="BJ42" s="53">
        <f t="shared" si="22"/>
        <v>0</v>
      </c>
      <c r="BK42" s="230">
        <f t="shared" si="46"/>
        <v>0</v>
      </c>
      <c r="BL42" s="53">
        <f t="shared" si="46"/>
        <v>0</v>
      </c>
      <c r="BM42" s="316" t="s">
        <v>727</v>
      </c>
      <c r="BN42" s="709">
        <f t="shared" si="27"/>
        <v>0</v>
      </c>
      <c r="BO42" s="236">
        <f>H42</f>
        <v>0</v>
      </c>
      <c r="BP42" s="113"/>
      <c r="BQ42" s="113"/>
      <c r="BR42" s="113"/>
      <c r="BS42" s="113">
        <f>BO42+BP42+BQ42+BR42</f>
        <v>0</v>
      </c>
      <c r="BT42" s="113"/>
      <c r="BU42" s="113"/>
      <c r="BV42" s="113"/>
      <c r="BW42" s="223">
        <f>BS42+BV42</f>
        <v>0</v>
      </c>
    </row>
    <row r="43" spans="1:75" s="39" customFormat="1" x14ac:dyDescent="0.25">
      <c r="A43" s="874"/>
      <c r="B43" s="225"/>
      <c r="C43" s="38"/>
      <c r="D43" s="38" t="s">
        <v>722</v>
      </c>
      <c r="E43" s="38" t="s">
        <v>606</v>
      </c>
      <c r="F43" s="235"/>
      <c r="G43" s="228">
        <f t="shared" si="4"/>
        <v>0</v>
      </c>
      <c r="H43" s="236">
        <f t="shared" si="48"/>
        <v>0</v>
      </c>
      <c r="I43" s="236"/>
      <c r="J43" s="236"/>
      <c r="K43" s="236"/>
      <c r="L43" s="236"/>
      <c r="M43" s="236"/>
      <c r="N43" s="236">
        <f>H43</f>
        <v>0</v>
      </c>
      <c r="O43" s="236"/>
      <c r="P43" s="236"/>
      <c r="Q43" s="236"/>
      <c r="R43" s="236"/>
      <c r="S43" s="231">
        <f t="shared" si="51"/>
        <v>0</v>
      </c>
      <c r="T43" s="231">
        <f t="shared" si="52"/>
        <v>0</v>
      </c>
      <c r="U43" s="231">
        <f t="shared" si="53"/>
        <v>0</v>
      </c>
      <c r="V43" s="231">
        <f t="shared" si="54"/>
        <v>0</v>
      </c>
      <c r="W43" s="227">
        <f t="shared" si="55"/>
        <v>0</v>
      </c>
      <c r="X43" s="227">
        <f t="shared" si="56"/>
        <v>0</v>
      </c>
      <c r="Y43" s="227">
        <f t="shared" si="57"/>
        <v>0</v>
      </c>
      <c r="Z43" s="227">
        <f t="shared" si="58"/>
        <v>0</v>
      </c>
      <c r="AA43" s="230">
        <v>0</v>
      </c>
      <c r="AB43" s="227">
        <f t="shared" si="41"/>
        <v>0</v>
      </c>
      <c r="AC43" s="230">
        <v>0</v>
      </c>
      <c r="AD43" s="231">
        <f t="shared" si="45"/>
        <v>0</v>
      </c>
      <c r="AE43" s="230"/>
      <c r="AF43" s="53">
        <f t="shared" si="7"/>
        <v>0</v>
      </c>
      <c r="AG43" s="230">
        <v>0</v>
      </c>
      <c r="AH43" s="53">
        <f t="shared" si="8"/>
        <v>0</v>
      </c>
      <c r="AI43" s="230"/>
      <c r="AJ43" s="53">
        <f t="shared" si="9"/>
        <v>0</v>
      </c>
      <c r="AK43" s="230"/>
      <c r="AL43" s="53">
        <f t="shared" si="10"/>
        <v>0</v>
      </c>
      <c r="AM43" s="230">
        <v>0</v>
      </c>
      <c r="AN43" s="53">
        <f t="shared" si="11"/>
        <v>0</v>
      </c>
      <c r="AO43" s="230">
        <v>0</v>
      </c>
      <c r="AP43" s="53">
        <f t="shared" si="12"/>
        <v>0</v>
      </c>
      <c r="AQ43" s="230">
        <v>0</v>
      </c>
      <c r="AR43" s="53">
        <f t="shared" si="13"/>
        <v>0</v>
      </c>
      <c r="AS43" s="230"/>
      <c r="AT43" s="53">
        <f t="shared" si="14"/>
        <v>0</v>
      </c>
      <c r="AU43" s="230"/>
      <c r="AV43" s="53">
        <f t="shared" si="15"/>
        <v>0</v>
      </c>
      <c r="AW43" s="230">
        <v>0</v>
      </c>
      <c r="AX43" s="53">
        <f t="shared" si="16"/>
        <v>0</v>
      </c>
      <c r="AY43" s="260"/>
      <c r="AZ43" s="53">
        <f t="shared" si="17"/>
        <v>0</v>
      </c>
      <c r="BA43" s="230"/>
      <c r="BB43" s="53">
        <f t="shared" si="18"/>
        <v>0</v>
      </c>
      <c r="BC43" s="230"/>
      <c r="BD43" s="53">
        <f t="shared" si="19"/>
        <v>0</v>
      </c>
      <c r="BE43" s="261">
        <v>0</v>
      </c>
      <c r="BF43" s="53">
        <f t="shared" si="20"/>
        <v>0</v>
      </c>
      <c r="BG43" s="230"/>
      <c r="BH43" s="53">
        <f t="shared" si="21"/>
        <v>0</v>
      </c>
      <c r="BI43" s="230"/>
      <c r="BJ43" s="53">
        <f t="shared" si="22"/>
        <v>0</v>
      </c>
      <c r="BK43" s="230">
        <f t="shared" si="46"/>
        <v>0</v>
      </c>
      <c r="BL43" s="53">
        <f t="shared" si="46"/>
        <v>0</v>
      </c>
      <c r="BM43" s="316" t="s">
        <v>727</v>
      </c>
      <c r="BN43" s="709">
        <f t="shared" si="27"/>
        <v>0</v>
      </c>
      <c r="BO43" s="236">
        <f>H43</f>
        <v>0</v>
      </c>
      <c r="BP43" s="113"/>
      <c r="BQ43" s="113"/>
      <c r="BR43" s="113"/>
      <c r="BS43" s="113">
        <f>BO43+BP43+BQ43+BR43</f>
        <v>0</v>
      </c>
      <c r="BT43" s="113"/>
      <c r="BU43" s="113"/>
      <c r="BV43" s="113"/>
      <c r="BW43" s="223">
        <f>BS43+BV43</f>
        <v>0</v>
      </c>
    </row>
    <row r="44" spans="1:75" s="39" customFormat="1" x14ac:dyDescent="0.25">
      <c r="A44" s="874"/>
      <c r="B44" s="225"/>
      <c r="C44" s="38"/>
      <c r="D44" s="38" t="s">
        <v>765</v>
      </c>
      <c r="E44" s="38" t="s">
        <v>606</v>
      </c>
      <c r="F44" s="235">
        <v>20000</v>
      </c>
      <c r="G44" s="228">
        <f t="shared" si="4"/>
        <v>0</v>
      </c>
      <c r="H44" s="236">
        <f t="shared" si="48"/>
        <v>0</v>
      </c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1">
        <f t="shared" si="51"/>
        <v>0</v>
      </c>
      <c r="T44" s="231">
        <f t="shared" si="52"/>
        <v>0</v>
      </c>
      <c r="U44" s="231">
        <f t="shared" si="53"/>
        <v>0</v>
      </c>
      <c r="V44" s="231">
        <f t="shared" si="54"/>
        <v>0</v>
      </c>
      <c r="W44" s="227">
        <f t="shared" si="55"/>
        <v>0</v>
      </c>
      <c r="X44" s="227">
        <f t="shared" si="56"/>
        <v>0</v>
      </c>
      <c r="Y44" s="227">
        <f t="shared" si="57"/>
        <v>0</v>
      </c>
      <c r="Z44" s="227">
        <f t="shared" si="58"/>
        <v>0</v>
      </c>
      <c r="AA44" s="230"/>
      <c r="AB44" s="227">
        <f t="shared" si="41"/>
        <v>0</v>
      </c>
      <c r="AC44" s="230"/>
      <c r="AD44" s="231">
        <f t="shared" si="45"/>
        <v>0</v>
      </c>
      <c r="AE44" s="230"/>
      <c r="AF44" s="53">
        <f t="shared" si="7"/>
        <v>0</v>
      </c>
      <c r="AG44" s="230">
        <v>0</v>
      </c>
      <c r="AH44" s="53">
        <f t="shared" si="8"/>
        <v>0</v>
      </c>
      <c r="AI44" s="230"/>
      <c r="AJ44" s="53">
        <f t="shared" si="9"/>
        <v>0</v>
      </c>
      <c r="AK44" s="230"/>
      <c r="AL44" s="53">
        <f t="shared" si="10"/>
        <v>0</v>
      </c>
      <c r="AM44" s="230"/>
      <c r="AN44" s="53">
        <f t="shared" si="11"/>
        <v>0</v>
      </c>
      <c r="AO44" s="230"/>
      <c r="AP44" s="53">
        <f t="shared" si="12"/>
        <v>0</v>
      </c>
      <c r="AQ44" s="230"/>
      <c r="AR44" s="53">
        <f t="shared" si="13"/>
        <v>0</v>
      </c>
      <c r="AS44" s="230"/>
      <c r="AT44" s="53">
        <f t="shared" si="14"/>
        <v>0</v>
      </c>
      <c r="AU44" s="230"/>
      <c r="AV44" s="53">
        <f t="shared" si="15"/>
        <v>0</v>
      </c>
      <c r="AW44" s="230"/>
      <c r="AX44" s="53">
        <f t="shared" si="16"/>
        <v>0</v>
      </c>
      <c r="AY44" s="260"/>
      <c r="AZ44" s="53">
        <f t="shared" si="17"/>
        <v>0</v>
      </c>
      <c r="BA44" s="230"/>
      <c r="BB44" s="53">
        <f t="shared" si="18"/>
        <v>0</v>
      </c>
      <c r="BC44" s="230"/>
      <c r="BD44" s="53">
        <f t="shared" si="19"/>
        <v>0</v>
      </c>
      <c r="BE44" s="261"/>
      <c r="BF44" s="53">
        <f t="shared" si="20"/>
        <v>0</v>
      </c>
      <c r="BG44" s="230"/>
      <c r="BH44" s="53">
        <f t="shared" si="21"/>
        <v>0</v>
      </c>
      <c r="BI44" s="230"/>
      <c r="BJ44" s="53">
        <f t="shared" si="22"/>
        <v>0</v>
      </c>
      <c r="BK44" s="230">
        <f t="shared" si="46"/>
        <v>0</v>
      </c>
      <c r="BL44" s="53">
        <f t="shared" si="46"/>
        <v>0</v>
      </c>
      <c r="BM44" s="316" t="s">
        <v>727</v>
      </c>
      <c r="BN44" s="709">
        <f t="shared" si="27"/>
        <v>0</v>
      </c>
      <c r="BO44" s="236">
        <f>H44</f>
        <v>0</v>
      </c>
      <c r="BP44" s="113"/>
      <c r="BQ44" s="113"/>
      <c r="BR44" s="113"/>
      <c r="BS44" s="113">
        <f>BO44+BP44+BQ44+BR44</f>
        <v>0</v>
      </c>
      <c r="BT44" s="113"/>
      <c r="BU44" s="113"/>
      <c r="BV44" s="113"/>
      <c r="BW44" s="223"/>
    </row>
    <row r="45" spans="1:75" s="39" customFormat="1" x14ac:dyDescent="0.25">
      <c r="A45" s="874"/>
      <c r="B45" s="246"/>
      <c r="C45" s="247"/>
      <c r="D45" s="239" t="s">
        <v>3</v>
      </c>
      <c r="E45" s="247"/>
      <c r="F45" s="249"/>
      <c r="G45" s="241">
        <f t="shared" si="4"/>
        <v>58</v>
      </c>
      <c r="H45" s="211">
        <f>SUM(H40:H44)</f>
        <v>2552000</v>
      </c>
      <c r="I45" s="211">
        <f t="shared" ref="I45:BJ45" si="59">SUM(I40:I44)</f>
        <v>0</v>
      </c>
      <c r="J45" s="211">
        <f t="shared" si="59"/>
        <v>0</v>
      </c>
      <c r="K45" s="211">
        <f t="shared" si="59"/>
        <v>0</v>
      </c>
      <c r="L45" s="211">
        <f t="shared" si="59"/>
        <v>0</v>
      </c>
      <c r="M45" s="211">
        <f t="shared" si="59"/>
        <v>0</v>
      </c>
      <c r="N45" s="211">
        <f t="shared" si="59"/>
        <v>2552000</v>
      </c>
      <c r="O45" s="211">
        <f t="shared" si="59"/>
        <v>0</v>
      </c>
      <c r="P45" s="211">
        <f t="shared" si="59"/>
        <v>0</v>
      </c>
      <c r="Q45" s="211">
        <f t="shared" si="59"/>
        <v>0</v>
      </c>
      <c r="R45" s="211">
        <f t="shared" si="59"/>
        <v>0</v>
      </c>
      <c r="S45" s="211">
        <f t="shared" si="59"/>
        <v>20.299999999999997</v>
      </c>
      <c r="T45" s="211">
        <f t="shared" si="59"/>
        <v>5.8000000000000007</v>
      </c>
      <c r="U45" s="211">
        <f t="shared" si="59"/>
        <v>8.6999999999999993</v>
      </c>
      <c r="V45" s="211">
        <f t="shared" si="59"/>
        <v>23.200000000000003</v>
      </c>
      <c r="W45" s="211">
        <f t="shared" si="59"/>
        <v>893199.99999999988</v>
      </c>
      <c r="X45" s="211">
        <f t="shared" si="59"/>
        <v>255200.00000000003</v>
      </c>
      <c r="Y45" s="211">
        <f t="shared" si="59"/>
        <v>382799.99999999994</v>
      </c>
      <c r="Z45" s="211">
        <f t="shared" si="59"/>
        <v>1020800.0000000001</v>
      </c>
      <c r="AA45" s="211">
        <f t="shared" si="59"/>
        <v>0</v>
      </c>
      <c r="AB45" s="211">
        <f t="shared" si="59"/>
        <v>0</v>
      </c>
      <c r="AC45" s="211">
        <f t="shared" si="59"/>
        <v>4</v>
      </c>
      <c r="AD45" s="211">
        <f t="shared" si="59"/>
        <v>176000</v>
      </c>
      <c r="AE45" s="211">
        <f t="shared" si="59"/>
        <v>0</v>
      </c>
      <c r="AF45" s="211">
        <f t="shared" si="59"/>
        <v>0</v>
      </c>
      <c r="AG45" s="211">
        <f t="shared" si="59"/>
        <v>10</v>
      </c>
      <c r="AH45" s="211">
        <f t="shared" si="59"/>
        <v>440000</v>
      </c>
      <c r="AI45" s="211">
        <f t="shared" si="59"/>
        <v>5</v>
      </c>
      <c r="AJ45" s="211">
        <f t="shared" si="59"/>
        <v>220000</v>
      </c>
      <c r="AK45" s="211">
        <f t="shared" si="59"/>
        <v>5</v>
      </c>
      <c r="AL45" s="211">
        <f t="shared" si="59"/>
        <v>220000</v>
      </c>
      <c r="AM45" s="211">
        <f t="shared" si="59"/>
        <v>5</v>
      </c>
      <c r="AN45" s="211">
        <f t="shared" si="59"/>
        <v>220000</v>
      </c>
      <c r="AO45" s="211">
        <f t="shared" si="59"/>
        <v>5</v>
      </c>
      <c r="AP45" s="211">
        <f t="shared" si="59"/>
        <v>220000</v>
      </c>
      <c r="AQ45" s="211">
        <f t="shared" si="59"/>
        <v>0</v>
      </c>
      <c r="AR45" s="211">
        <f t="shared" si="59"/>
        <v>0</v>
      </c>
      <c r="AS45" s="211">
        <f t="shared" si="59"/>
        <v>5</v>
      </c>
      <c r="AT45" s="211">
        <f t="shared" si="59"/>
        <v>220000</v>
      </c>
      <c r="AU45" s="211">
        <f t="shared" si="59"/>
        <v>0</v>
      </c>
      <c r="AV45" s="211">
        <f t="shared" si="59"/>
        <v>0</v>
      </c>
      <c r="AW45" s="211">
        <f t="shared" si="59"/>
        <v>5</v>
      </c>
      <c r="AX45" s="211">
        <f t="shared" si="59"/>
        <v>220000</v>
      </c>
      <c r="AY45" s="211">
        <f t="shared" si="59"/>
        <v>0</v>
      </c>
      <c r="AZ45" s="211">
        <f t="shared" si="59"/>
        <v>0</v>
      </c>
      <c r="BA45" s="211">
        <f t="shared" si="59"/>
        <v>0</v>
      </c>
      <c r="BB45" s="211">
        <f t="shared" si="59"/>
        <v>0</v>
      </c>
      <c r="BC45" s="211">
        <f t="shared" si="59"/>
        <v>5</v>
      </c>
      <c r="BD45" s="211">
        <f t="shared" si="59"/>
        <v>220000</v>
      </c>
      <c r="BE45" s="211">
        <f t="shared" si="59"/>
        <v>4</v>
      </c>
      <c r="BF45" s="211">
        <f t="shared" si="59"/>
        <v>176000</v>
      </c>
      <c r="BG45" s="211">
        <f t="shared" si="59"/>
        <v>5</v>
      </c>
      <c r="BH45" s="211">
        <f t="shared" si="59"/>
        <v>220000</v>
      </c>
      <c r="BI45" s="211">
        <f t="shared" si="59"/>
        <v>0</v>
      </c>
      <c r="BJ45" s="211">
        <f t="shared" si="59"/>
        <v>0</v>
      </c>
      <c r="BK45" s="251">
        <f>SUM(BK39:BK44)</f>
        <v>58</v>
      </c>
      <c r="BL45" s="252">
        <f>SUM(BL39:BL44)</f>
        <v>2552000</v>
      </c>
      <c r="BM45" s="318"/>
      <c r="BN45" s="709">
        <f t="shared" si="27"/>
        <v>2552000</v>
      </c>
      <c r="BO45" s="211">
        <f>SUM(BO40:BO44)</f>
        <v>2552000</v>
      </c>
      <c r="BP45" s="250">
        <f t="shared" ref="BP45:BW45" si="60">SUM(BP40:BP43)</f>
        <v>0</v>
      </c>
      <c r="BQ45" s="250">
        <f t="shared" si="60"/>
        <v>0</v>
      </c>
      <c r="BR45" s="250">
        <f t="shared" si="60"/>
        <v>0</v>
      </c>
      <c r="BS45" s="211">
        <f>SUM(BS40:BS44)</f>
        <v>2552000</v>
      </c>
      <c r="BT45" s="250">
        <f t="shared" si="60"/>
        <v>0</v>
      </c>
      <c r="BU45" s="250">
        <f t="shared" si="60"/>
        <v>0</v>
      </c>
      <c r="BV45" s="250">
        <f t="shared" si="60"/>
        <v>0</v>
      </c>
      <c r="BW45" s="211">
        <f t="shared" si="60"/>
        <v>2552000</v>
      </c>
    </row>
    <row r="46" spans="1:75" s="67" customFormat="1" x14ac:dyDescent="0.25">
      <c r="A46" s="874"/>
      <c r="B46" s="225"/>
      <c r="C46" s="38">
        <v>21320</v>
      </c>
      <c r="D46" s="216" t="s">
        <v>154</v>
      </c>
      <c r="E46" s="38"/>
      <c r="F46" s="235"/>
      <c r="G46" s="228">
        <f t="shared" si="4"/>
        <v>0</v>
      </c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0"/>
      <c r="T46" s="230"/>
      <c r="U46" s="230"/>
      <c r="V46" s="230"/>
      <c r="W46" s="53"/>
      <c r="X46" s="53"/>
      <c r="Y46" s="53"/>
      <c r="Z46" s="53"/>
      <c r="AA46" s="230"/>
      <c r="AB46" s="227">
        <f t="shared" si="41"/>
        <v>0</v>
      </c>
      <c r="AC46" s="230"/>
      <c r="AD46" s="231">
        <f t="shared" si="45"/>
        <v>0</v>
      </c>
      <c r="AE46" s="230"/>
      <c r="AF46" s="53">
        <f t="shared" si="7"/>
        <v>0</v>
      </c>
      <c r="AG46" s="230"/>
      <c r="AH46" s="53">
        <f t="shared" si="8"/>
        <v>0</v>
      </c>
      <c r="AI46" s="230"/>
      <c r="AJ46" s="53">
        <f t="shared" si="9"/>
        <v>0</v>
      </c>
      <c r="AK46" s="230"/>
      <c r="AL46" s="53">
        <f t="shared" si="10"/>
        <v>0</v>
      </c>
      <c r="AM46" s="230"/>
      <c r="AN46" s="53">
        <f t="shared" si="11"/>
        <v>0</v>
      </c>
      <c r="AO46" s="230"/>
      <c r="AP46" s="53">
        <f t="shared" si="12"/>
        <v>0</v>
      </c>
      <c r="AQ46" s="230"/>
      <c r="AR46" s="53">
        <f t="shared" si="13"/>
        <v>0</v>
      </c>
      <c r="AS46" s="230"/>
      <c r="AT46" s="53">
        <f t="shared" si="14"/>
        <v>0</v>
      </c>
      <c r="AU46" s="230"/>
      <c r="AV46" s="53">
        <f t="shared" si="15"/>
        <v>0</v>
      </c>
      <c r="AW46" s="230"/>
      <c r="AX46" s="53">
        <f t="shared" si="16"/>
        <v>0</v>
      </c>
      <c r="AY46" s="260"/>
      <c r="AZ46" s="53">
        <f t="shared" si="17"/>
        <v>0</v>
      </c>
      <c r="BA46" s="230"/>
      <c r="BB46" s="53">
        <f t="shared" si="18"/>
        <v>0</v>
      </c>
      <c r="BC46" s="230"/>
      <c r="BD46" s="53">
        <f t="shared" si="19"/>
        <v>0</v>
      </c>
      <c r="BE46" s="230"/>
      <c r="BF46" s="53">
        <f t="shared" si="20"/>
        <v>0</v>
      </c>
      <c r="BG46" s="230"/>
      <c r="BH46" s="53">
        <f t="shared" si="21"/>
        <v>0</v>
      </c>
      <c r="BI46" s="230"/>
      <c r="BJ46" s="53">
        <f t="shared" si="22"/>
        <v>0</v>
      </c>
      <c r="BK46" s="230">
        <f t="shared" si="46"/>
        <v>0</v>
      </c>
      <c r="BL46" s="53">
        <f t="shared" si="46"/>
        <v>0</v>
      </c>
      <c r="BM46" s="319"/>
      <c r="BN46" s="709">
        <f t="shared" si="27"/>
        <v>0</v>
      </c>
      <c r="BO46" s="236">
        <f>H46</f>
        <v>0</v>
      </c>
      <c r="BP46" s="263"/>
      <c r="BQ46" s="263"/>
      <c r="BR46" s="263"/>
      <c r="BS46" s="113">
        <f t="shared" ref="BS46:BS88" si="61">BO46+BP46+BQ46+BR46</f>
        <v>0</v>
      </c>
      <c r="BT46" s="263"/>
      <c r="BU46" s="263"/>
      <c r="BV46" s="113">
        <f>BT46+BU46</f>
        <v>0</v>
      </c>
      <c r="BW46" s="223">
        <f>BS46+BV46</f>
        <v>0</v>
      </c>
    </row>
    <row r="47" spans="1:75" s="67" customFormat="1" x14ac:dyDescent="0.25">
      <c r="A47" s="874"/>
      <c r="B47" s="225"/>
      <c r="C47" s="38"/>
      <c r="D47" s="38" t="s">
        <v>717</v>
      </c>
      <c r="E47" s="38" t="s">
        <v>606</v>
      </c>
      <c r="F47" s="235">
        <v>100000</v>
      </c>
      <c r="G47" s="228">
        <f t="shared" si="4"/>
        <v>53</v>
      </c>
      <c r="H47" s="236">
        <f t="shared" ref="H47:H61" si="62">G47*F47</f>
        <v>5300000</v>
      </c>
      <c r="I47" s="236"/>
      <c r="J47" s="236"/>
      <c r="K47" s="236"/>
      <c r="L47" s="236"/>
      <c r="M47" s="236"/>
      <c r="N47" s="236">
        <f>H47</f>
        <v>5300000</v>
      </c>
      <c r="O47" s="236"/>
      <c r="P47" s="236"/>
      <c r="Q47" s="236"/>
      <c r="R47" s="236"/>
      <c r="S47" s="231">
        <f>G47*0.35</f>
        <v>18.549999999999997</v>
      </c>
      <c r="T47" s="231">
        <f>G47*0.1</f>
        <v>5.3000000000000007</v>
      </c>
      <c r="U47" s="231">
        <f>G47:G47*0.15</f>
        <v>7.9499999999999993</v>
      </c>
      <c r="V47" s="231">
        <f>G47*0.4</f>
        <v>21.200000000000003</v>
      </c>
      <c r="W47" s="227">
        <f>S47*F47</f>
        <v>1854999.9999999998</v>
      </c>
      <c r="X47" s="227">
        <f>T47*F47</f>
        <v>530000.00000000012</v>
      </c>
      <c r="Y47" s="227">
        <f>U47*F47</f>
        <v>794999.99999999988</v>
      </c>
      <c r="Z47" s="227">
        <f>V47*F47</f>
        <v>2120000.0000000005</v>
      </c>
      <c r="AA47" s="230"/>
      <c r="AB47" s="227">
        <f t="shared" si="41"/>
        <v>0</v>
      </c>
      <c r="AC47" s="230"/>
      <c r="AD47" s="231">
        <f t="shared" si="45"/>
        <v>0</v>
      </c>
      <c r="AE47" s="230"/>
      <c r="AF47" s="53">
        <f t="shared" si="7"/>
        <v>0</v>
      </c>
      <c r="AG47" s="230">
        <v>10</v>
      </c>
      <c r="AH47" s="53">
        <f t="shared" si="8"/>
        <v>1000000</v>
      </c>
      <c r="AI47" s="230">
        <v>15</v>
      </c>
      <c r="AJ47" s="53">
        <f t="shared" si="9"/>
        <v>1500000</v>
      </c>
      <c r="AK47" s="230">
        <v>8</v>
      </c>
      <c r="AL47" s="53">
        <f t="shared" si="10"/>
        <v>800000</v>
      </c>
      <c r="AM47" s="230">
        <v>5</v>
      </c>
      <c r="AN47" s="53">
        <f t="shared" si="11"/>
        <v>500000</v>
      </c>
      <c r="AO47" s="230"/>
      <c r="AP47" s="53">
        <f t="shared" si="12"/>
        <v>0</v>
      </c>
      <c r="AQ47" s="230"/>
      <c r="AR47" s="53">
        <f t="shared" si="13"/>
        <v>0</v>
      </c>
      <c r="AS47" s="230"/>
      <c r="AT47" s="53">
        <f t="shared" si="14"/>
        <v>0</v>
      </c>
      <c r="AU47" s="230"/>
      <c r="AV47" s="53">
        <f t="shared" si="15"/>
        <v>0</v>
      </c>
      <c r="AW47" s="230"/>
      <c r="AX47" s="53">
        <f t="shared" si="16"/>
        <v>0</v>
      </c>
      <c r="AY47" s="260"/>
      <c r="AZ47" s="53">
        <f t="shared" si="17"/>
        <v>0</v>
      </c>
      <c r="BA47" s="230">
        <v>2</v>
      </c>
      <c r="BB47" s="53">
        <f t="shared" si="18"/>
        <v>200000</v>
      </c>
      <c r="BC47" s="230">
        <v>10</v>
      </c>
      <c r="BD47" s="53">
        <f t="shared" si="19"/>
        <v>1000000</v>
      </c>
      <c r="BE47" s="230">
        <v>3</v>
      </c>
      <c r="BF47" s="53">
        <f t="shared" si="20"/>
        <v>300000</v>
      </c>
      <c r="BG47" s="230"/>
      <c r="BH47" s="53">
        <f t="shared" si="21"/>
        <v>0</v>
      </c>
      <c r="BI47" s="230"/>
      <c r="BJ47" s="53">
        <f t="shared" si="22"/>
        <v>0</v>
      </c>
      <c r="BK47" s="230">
        <f t="shared" si="46"/>
        <v>53</v>
      </c>
      <c r="BL47" s="53">
        <f t="shared" si="46"/>
        <v>5300000</v>
      </c>
      <c r="BM47" s="316" t="s">
        <v>727</v>
      </c>
      <c r="BN47" s="709">
        <f t="shared" si="27"/>
        <v>5300000</v>
      </c>
      <c r="BO47" s="236">
        <f>H47</f>
        <v>5300000</v>
      </c>
      <c r="BP47" s="263"/>
      <c r="BQ47" s="263"/>
      <c r="BR47" s="263"/>
      <c r="BS47" s="113">
        <f t="shared" si="61"/>
        <v>5300000</v>
      </c>
      <c r="BT47" s="263"/>
      <c r="BU47" s="263"/>
      <c r="BV47" s="113"/>
      <c r="BW47" s="223">
        <f>BS47+BV47</f>
        <v>5300000</v>
      </c>
    </row>
    <row r="48" spans="1:75" s="565" customFormat="1" ht="31.5" x14ac:dyDescent="0.25">
      <c r="A48" s="874"/>
      <c r="B48" s="243"/>
      <c r="C48" s="171"/>
      <c r="D48" s="171" t="s">
        <v>840</v>
      </c>
      <c r="E48" s="171" t="s">
        <v>606</v>
      </c>
      <c r="F48" s="237">
        <v>200000</v>
      </c>
      <c r="G48" s="560">
        <f t="shared" si="4"/>
        <v>139</v>
      </c>
      <c r="H48" s="245">
        <f t="shared" si="62"/>
        <v>27800000</v>
      </c>
      <c r="I48" s="245">
        <f>H48*0.15</f>
        <v>4170000</v>
      </c>
      <c r="J48" s="245">
        <f>H48*0.75</f>
        <v>20850000</v>
      </c>
      <c r="K48" s="245"/>
      <c r="L48" s="245"/>
      <c r="M48" s="245"/>
      <c r="N48" s="245">
        <f>H48*0</f>
        <v>0</v>
      </c>
      <c r="O48" s="245"/>
      <c r="P48" s="245"/>
      <c r="Q48" s="245">
        <f>H48*0.1</f>
        <v>2780000</v>
      </c>
      <c r="R48" s="245"/>
      <c r="S48" s="561">
        <f>G48*0.35</f>
        <v>48.65</v>
      </c>
      <c r="T48" s="561">
        <f>G48*0.1</f>
        <v>13.9</v>
      </c>
      <c r="U48" s="561">
        <f>G48:G48*0.15</f>
        <v>20.849999999999998</v>
      </c>
      <c r="V48" s="561">
        <f>G48*0.4</f>
        <v>55.6</v>
      </c>
      <c r="W48" s="562">
        <f t="shared" ref="W48:W61" si="63">S48*F48</f>
        <v>9730000</v>
      </c>
      <c r="X48" s="562">
        <f t="shared" ref="X48:X61" si="64">T48*F48</f>
        <v>2780000</v>
      </c>
      <c r="Y48" s="562">
        <f t="shared" ref="Y48:Y61" si="65">U48*F48</f>
        <v>4169999.9999999995</v>
      </c>
      <c r="Z48" s="562">
        <f t="shared" ref="Z48:Z61" si="66">V48*F48</f>
        <v>11120000</v>
      </c>
      <c r="AA48" s="272">
        <v>5</v>
      </c>
      <c r="AB48" s="562">
        <f t="shared" si="41"/>
        <v>1000000</v>
      </c>
      <c r="AC48" s="272">
        <v>4</v>
      </c>
      <c r="AD48" s="561">
        <f t="shared" si="45"/>
        <v>800000</v>
      </c>
      <c r="AE48" s="272">
        <v>4</v>
      </c>
      <c r="AF48" s="563">
        <f t="shared" si="7"/>
        <v>800000</v>
      </c>
      <c r="AG48" s="272">
        <v>8</v>
      </c>
      <c r="AH48" s="563">
        <f t="shared" si="8"/>
        <v>1600000</v>
      </c>
      <c r="AI48" s="272">
        <v>8</v>
      </c>
      <c r="AJ48" s="563">
        <f t="shared" si="9"/>
        <v>1600000</v>
      </c>
      <c r="AK48" s="272">
        <v>10</v>
      </c>
      <c r="AL48" s="563">
        <f t="shared" si="10"/>
        <v>2000000</v>
      </c>
      <c r="AM48" s="272">
        <v>10</v>
      </c>
      <c r="AN48" s="563">
        <f t="shared" si="11"/>
        <v>2000000</v>
      </c>
      <c r="AO48" s="272">
        <v>10</v>
      </c>
      <c r="AP48" s="563">
        <f t="shared" si="12"/>
        <v>2000000</v>
      </c>
      <c r="AQ48" s="272">
        <v>4</v>
      </c>
      <c r="AR48" s="563">
        <f t="shared" si="13"/>
        <v>800000</v>
      </c>
      <c r="AS48" s="272">
        <v>8</v>
      </c>
      <c r="AT48" s="563">
        <f t="shared" si="14"/>
        <v>1600000</v>
      </c>
      <c r="AU48" s="272">
        <v>8</v>
      </c>
      <c r="AV48" s="563">
        <f t="shared" si="15"/>
        <v>1600000</v>
      </c>
      <c r="AW48" s="272">
        <v>10</v>
      </c>
      <c r="AX48" s="563">
        <f t="shared" si="16"/>
        <v>2000000</v>
      </c>
      <c r="AY48" s="563">
        <v>10</v>
      </c>
      <c r="AZ48" s="563">
        <f t="shared" si="17"/>
        <v>2000000</v>
      </c>
      <c r="BA48" s="272">
        <v>10</v>
      </c>
      <c r="BB48" s="563">
        <f t="shared" si="18"/>
        <v>2000000</v>
      </c>
      <c r="BC48" s="272">
        <v>10</v>
      </c>
      <c r="BD48" s="563">
        <f t="shared" si="19"/>
        <v>2000000</v>
      </c>
      <c r="BE48" s="272">
        <v>10</v>
      </c>
      <c r="BF48" s="563">
        <f t="shared" si="20"/>
        <v>2000000</v>
      </c>
      <c r="BG48" s="272">
        <v>10</v>
      </c>
      <c r="BH48" s="563">
        <f t="shared" si="21"/>
        <v>2000000</v>
      </c>
      <c r="BI48" s="272"/>
      <c r="BJ48" s="563">
        <f t="shared" si="22"/>
        <v>0</v>
      </c>
      <c r="BK48" s="272">
        <f t="shared" si="46"/>
        <v>139</v>
      </c>
      <c r="BL48" s="563">
        <f t="shared" si="46"/>
        <v>27800000</v>
      </c>
      <c r="BM48" s="564" t="s">
        <v>839</v>
      </c>
      <c r="BN48" s="709">
        <f t="shared" si="27"/>
        <v>27800000</v>
      </c>
      <c r="BO48" s="245">
        <f t="shared" ref="BO48:BO61" si="67">H48</f>
        <v>27800000</v>
      </c>
      <c r="BP48" s="389"/>
      <c r="BQ48" s="389"/>
      <c r="BR48" s="389"/>
      <c r="BS48" s="178">
        <f t="shared" si="61"/>
        <v>27800000</v>
      </c>
      <c r="BT48" s="389"/>
      <c r="BU48" s="389"/>
      <c r="BV48" s="178"/>
      <c r="BW48" s="179">
        <f t="shared" ref="BW48:BW61" si="68">BS48+BV48</f>
        <v>27800000</v>
      </c>
    </row>
    <row r="49" spans="1:75" s="565" customFormat="1" ht="31.5" x14ac:dyDescent="0.25">
      <c r="A49" s="874"/>
      <c r="B49" s="243"/>
      <c r="C49" s="171"/>
      <c r="D49" s="660" t="s">
        <v>811</v>
      </c>
      <c r="E49" s="171" t="s">
        <v>606</v>
      </c>
      <c r="F49" s="237">
        <v>500000</v>
      </c>
      <c r="G49" s="560">
        <f t="shared" si="4"/>
        <v>39</v>
      </c>
      <c r="H49" s="245">
        <f t="shared" si="62"/>
        <v>19500000</v>
      </c>
      <c r="I49" s="245"/>
      <c r="J49" s="245"/>
      <c r="K49" s="245">
        <v>0</v>
      </c>
      <c r="L49" s="245"/>
      <c r="M49" s="245"/>
      <c r="N49" s="245">
        <v>0</v>
      </c>
      <c r="O49" s="245"/>
      <c r="P49" s="245"/>
      <c r="Q49" s="245"/>
      <c r="R49" s="659">
        <f>H49</f>
        <v>19500000</v>
      </c>
      <c r="S49" s="561">
        <f>G49*0.35</f>
        <v>13.649999999999999</v>
      </c>
      <c r="T49" s="561">
        <f>G49*0.1</f>
        <v>3.9000000000000004</v>
      </c>
      <c r="U49" s="561">
        <f>G49:G49*0.15</f>
        <v>5.85</v>
      </c>
      <c r="V49" s="561">
        <f>G49*0.4</f>
        <v>15.600000000000001</v>
      </c>
      <c r="W49" s="562">
        <f t="shared" si="63"/>
        <v>6824999.9999999991</v>
      </c>
      <c r="X49" s="562">
        <f t="shared" si="64"/>
        <v>1950000.0000000002</v>
      </c>
      <c r="Y49" s="562">
        <f t="shared" si="65"/>
        <v>2925000</v>
      </c>
      <c r="Z49" s="562">
        <f t="shared" si="66"/>
        <v>7800000.0000000009</v>
      </c>
      <c r="AA49" s="272">
        <v>2</v>
      </c>
      <c r="AB49" s="562">
        <f t="shared" si="41"/>
        <v>1000000</v>
      </c>
      <c r="AC49" s="272">
        <v>1</v>
      </c>
      <c r="AD49" s="561">
        <f t="shared" si="45"/>
        <v>500000</v>
      </c>
      <c r="AE49" s="272">
        <v>3</v>
      </c>
      <c r="AF49" s="563">
        <f t="shared" si="7"/>
        <v>1500000</v>
      </c>
      <c r="AG49" s="272">
        <v>4</v>
      </c>
      <c r="AH49" s="563">
        <f t="shared" si="8"/>
        <v>2000000</v>
      </c>
      <c r="AI49" s="272">
        <v>2</v>
      </c>
      <c r="AJ49" s="563">
        <f t="shared" si="9"/>
        <v>1000000</v>
      </c>
      <c r="AK49" s="272">
        <v>3</v>
      </c>
      <c r="AL49" s="563">
        <f t="shared" si="10"/>
        <v>1500000</v>
      </c>
      <c r="AM49" s="272">
        <v>1</v>
      </c>
      <c r="AN49" s="563">
        <f t="shared" si="11"/>
        <v>500000</v>
      </c>
      <c r="AO49" s="272">
        <v>2</v>
      </c>
      <c r="AP49" s="563">
        <f t="shared" si="12"/>
        <v>1000000</v>
      </c>
      <c r="AQ49" s="272">
        <v>1</v>
      </c>
      <c r="AR49" s="563">
        <f t="shared" si="13"/>
        <v>500000</v>
      </c>
      <c r="AS49" s="272">
        <v>1</v>
      </c>
      <c r="AT49" s="563">
        <f t="shared" si="14"/>
        <v>500000</v>
      </c>
      <c r="AU49" s="272">
        <v>2</v>
      </c>
      <c r="AV49" s="563">
        <f t="shared" si="15"/>
        <v>1000000</v>
      </c>
      <c r="AW49" s="272">
        <v>2</v>
      </c>
      <c r="AX49" s="563">
        <f t="shared" si="16"/>
        <v>1000000</v>
      </c>
      <c r="AY49" s="563">
        <v>3</v>
      </c>
      <c r="AZ49" s="563">
        <f t="shared" si="17"/>
        <v>1500000</v>
      </c>
      <c r="BA49" s="272">
        <v>3</v>
      </c>
      <c r="BB49" s="563">
        <f t="shared" si="18"/>
        <v>1500000</v>
      </c>
      <c r="BC49" s="272">
        <v>4</v>
      </c>
      <c r="BD49" s="563">
        <f t="shared" si="19"/>
        <v>2000000</v>
      </c>
      <c r="BE49" s="272">
        <v>3</v>
      </c>
      <c r="BF49" s="563">
        <f t="shared" si="20"/>
        <v>1500000</v>
      </c>
      <c r="BG49" s="272">
        <v>2</v>
      </c>
      <c r="BH49" s="563">
        <f t="shared" si="21"/>
        <v>1000000</v>
      </c>
      <c r="BI49" s="272"/>
      <c r="BJ49" s="563">
        <f t="shared" si="22"/>
        <v>0</v>
      </c>
      <c r="BK49" s="272">
        <f t="shared" si="46"/>
        <v>39</v>
      </c>
      <c r="BL49" s="563">
        <f t="shared" si="46"/>
        <v>19500000</v>
      </c>
      <c r="BM49" s="564" t="s">
        <v>826</v>
      </c>
      <c r="BN49" s="709">
        <f t="shared" si="27"/>
        <v>19500000</v>
      </c>
      <c r="BO49" s="245">
        <f t="shared" si="67"/>
        <v>19500000</v>
      </c>
      <c r="BP49" s="389"/>
      <c r="BQ49" s="389"/>
      <c r="BR49" s="389"/>
      <c r="BS49" s="178">
        <f t="shared" si="61"/>
        <v>19500000</v>
      </c>
      <c r="BT49" s="389"/>
      <c r="BU49" s="389"/>
      <c r="BV49" s="178"/>
      <c r="BW49" s="179">
        <f t="shared" si="68"/>
        <v>19500000</v>
      </c>
    </row>
    <row r="50" spans="1:75" s="565" customFormat="1" x14ac:dyDescent="0.25">
      <c r="A50" s="874"/>
      <c r="B50" s="243"/>
      <c r="C50" s="171"/>
      <c r="D50" s="171" t="s">
        <v>609</v>
      </c>
      <c r="E50" s="171" t="s">
        <v>715</v>
      </c>
      <c r="F50" s="237">
        <v>850</v>
      </c>
      <c r="G50" s="560">
        <f t="shared" si="4"/>
        <v>6900</v>
      </c>
      <c r="H50" s="245">
        <f t="shared" si="62"/>
        <v>5865000</v>
      </c>
      <c r="I50" s="245"/>
      <c r="J50" s="245"/>
      <c r="K50" s="245"/>
      <c r="L50" s="245"/>
      <c r="M50" s="245"/>
      <c r="N50" s="245">
        <f>H50</f>
        <v>5865000</v>
      </c>
      <c r="O50" s="245"/>
      <c r="P50" s="245"/>
      <c r="Q50" s="245"/>
      <c r="R50" s="245"/>
      <c r="S50" s="561">
        <f>G50*0.35</f>
        <v>2415</v>
      </c>
      <c r="T50" s="561">
        <f>G50*0.1</f>
        <v>690</v>
      </c>
      <c r="U50" s="561">
        <f>G50:G50*0.15</f>
        <v>1035</v>
      </c>
      <c r="V50" s="561">
        <f>G50*0.4</f>
        <v>2760</v>
      </c>
      <c r="W50" s="562">
        <f t="shared" si="63"/>
        <v>2052750</v>
      </c>
      <c r="X50" s="562">
        <f t="shared" si="64"/>
        <v>586500</v>
      </c>
      <c r="Y50" s="562">
        <f t="shared" si="65"/>
        <v>879750</v>
      </c>
      <c r="Z50" s="562">
        <f t="shared" si="66"/>
        <v>2346000</v>
      </c>
      <c r="AA50" s="272"/>
      <c r="AB50" s="562">
        <f t="shared" si="41"/>
        <v>0</v>
      </c>
      <c r="AC50" s="272"/>
      <c r="AD50" s="561">
        <f t="shared" si="45"/>
        <v>0</v>
      </c>
      <c r="AE50" s="272"/>
      <c r="AF50" s="563">
        <f t="shared" si="7"/>
        <v>0</v>
      </c>
      <c r="AG50" s="272">
        <v>1200</v>
      </c>
      <c r="AH50" s="563">
        <f t="shared" si="8"/>
        <v>1020000</v>
      </c>
      <c r="AI50" s="272"/>
      <c r="AJ50" s="563">
        <f t="shared" si="9"/>
        <v>0</v>
      </c>
      <c r="AK50" s="272"/>
      <c r="AL50" s="563">
        <f t="shared" si="10"/>
        <v>0</v>
      </c>
      <c r="AM50" s="272"/>
      <c r="AN50" s="563">
        <f t="shared" si="11"/>
        <v>0</v>
      </c>
      <c r="AO50" s="272"/>
      <c r="AP50" s="563">
        <f t="shared" si="12"/>
        <v>0</v>
      </c>
      <c r="AQ50" s="272"/>
      <c r="AR50" s="563">
        <f t="shared" si="13"/>
        <v>0</v>
      </c>
      <c r="AS50" s="272">
        <v>500</v>
      </c>
      <c r="AT50" s="563">
        <f t="shared" si="14"/>
        <v>425000</v>
      </c>
      <c r="AU50" s="272"/>
      <c r="AV50" s="563">
        <f t="shared" si="15"/>
        <v>0</v>
      </c>
      <c r="AW50" s="272">
        <v>1000</v>
      </c>
      <c r="AX50" s="563">
        <f t="shared" si="16"/>
        <v>850000</v>
      </c>
      <c r="AY50" s="563"/>
      <c r="AZ50" s="563">
        <f t="shared" si="17"/>
        <v>0</v>
      </c>
      <c r="BA50" s="272">
        <v>200</v>
      </c>
      <c r="BB50" s="563">
        <f t="shared" si="18"/>
        <v>170000</v>
      </c>
      <c r="BC50" s="272">
        <v>2000</v>
      </c>
      <c r="BD50" s="563">
        <f t="shared" si="19"/>
        <v>1700000</v>
      </c>
      <c r="BE50" s="272">
        <v>1000</v>
      </c>
      <c r="BF50" s="563">
        <f t="shared" si="20"/>
        <v>850000</v>
      </c>
      <c r="BG50" s="272">
        <v>1000</v>
      </c>
      <c r="BH50" s="563">
        <f t="shared" si="21"/>
        <v>850000</v>
      </c>
      <c r="BI50" s="272"/>
      <c r="BJ50" s="563">
        <f t="shared" si="22"/>
        <v>0</v>
      </c>
      <c r="BK50" s="272">
        <f t="shared" si="46"/>
        <v>6900</v>
      </c>
      <c r="BL50" s="563">
        <f t="shared" si="46"/>
        <v>5865000</v>
      </c>
      <c r="BM50" s="564" t="s">
        <v>727</v>
      </c>
      <c r="BN50" s="709">
        <f t="shared" si="27"/>
        <v>5865000</v>
      </c>
      <c r="BO50" s="245">
        <f t="shared" si="67"/>
        <v>5865000</v>
      </c>
      <c r="BP50" s="389"/>
      <c r="BQ50" s="389"/>
      <c r="BR50" s="389"/>
      <c r="BS50" s="178">
        <f t="shared" si="61"/>
        <v>5865000</v>
      </c>
      <c r="BT50" s="389"/>
      <c r="BU50" s="389"/>
      <c r="BV50" s="178"/>
      <c r="BW50" s="179">
        <f t="shared" si="68"/>
        <v>5865000</v>
      </c>
    </row>
    <row r="51" spans="1:75" s="565" customFormat="1" x14ac:dyDescent="0.25">
      <c r="A51" s="874"/>
      <c r="B51" s="243"/>
      <c r="C51" s="171"/>
      <c r="D51" s="171" t="s">
        <v>699</v>
      </c>
      <c r="E51" s="171" t="s">
        <v>715</v>
      </c>
      <c r="F51" s="237">
        <v>850</v>
      </c>
      <c r="G51" s="560">
        <f t="shared" si="4"/>
        <v>4514</v>
      </c>
      <c r="H51" s="245">
        <f t="shared" si="62"/>
        <v>3836900</v>
      </c>
      <c r="I51" s="245"/>
      <c r="J51" s="245"/>
      <c r="K51" s="245"/>
      <c r="L51" s="245"/>
      <c r="M51" s="245"/>
      <c r="N51" s="245">
        <f>H51</f>
        <v>3836900</v>
      </c>
      <c r="O51" s="245"/>
      <c r="P51" s="245"/>
      <c r="Q51" s="245"/>
      <c r="R51" s="245"/>
      <c r="S51" s="561">
        <f t="shared" ref="S51:S61" si="69">G51*0.35</f>
        <v>1579.8999999999999</v>
      </c>
      <c r="T51" s="561">
        <f t="shared" ref="T51:T61" si="70">G51*0.1</f>
        <v>451.40000000000003</v>
      </c>
      <c r="U51" s="561">
        <f t="shared" ref="U51:U61" si="71">G51:G51*0.15</f>
        <v>677.1</v>
      </c>
      <c r="V51" s="561">
        <f t="shared" ref="V51:V61" si="72">G51*0.4</f>
        <v>1805.6000000000001</v>
      </c>
      <c r="W51" s="562">
        <f t="shared" si="63"/>
        <v>1342915</v>
      </c>
      <c r="X51" s="562">
        <f t="shared" si="64"/>
        <v>383690</v>
      </c>
      <c r="Y51" s="562">
        <f t="shared" si="65"/>
        <v>575535</v>
      </c>
      <c r="Z51" s="562">
        <f t="shared" si="66"/>
        <v>1534760</v>
      </c>
      <c r="AA51" s="272"/>
      <c r="AB51" s="562">
        <f t="shared" si="41"/>
        <v>0</v>
      </c>
      <c r="AC51" s="272"/>
      <c r="AD51" s="561">
        <f t="shared" si="45"/>
        <v>0</v>
      </c>
      <c r="AE51" s="272"/>
      <c r="AF51" s="563">
        <f t="shared" si="7"/>
        <v>0</v>
      </c>
      <c r="AG51" s="272">
        <v>0</v>
      </c>
      <c r="AH51" s="563">
        <f t="shared" si="8"/>
        <v>0</v>
      </c>
      <c r="AI51" s="272"/>
      <c r="AJ51" s="563">
        <f t="shared" si="9"/>
        <v>0</v>
      </c>
      <c r="AK51" s="272">
        <v>6</v>
      </c>
      <c r="AL51" s="563">
        <f t="shared" si="10"/>
        <v>5100</v>
      </c>
      <c r="AM51" s="272"/>
      <c r="AN51" s="563">
        <f t="shared" si="11"/>
        <v>0</v>
      </c>
      <c r="AO51" s="272">
        <v>8</v>
      </c>
      <c r="AP51" s="563">
        <f t="shared" si="12"/>
        <v>6800</v>
      </c>
      <c r="AQ51" s="272"/>
      <c r="AR51" s="563">
        <f t="shared" si="13"/>
        <v>0</v>
      </c>
      <c r="AS51" s="272">
        <v>2000</v>
      </c>
      <c r="AT51" s="563">
        <f t="shared" si="14"/>
        <v>1700000</v>
      </c>
      <c r="AU51" s="272"/>
      <c r="AV51" s="563">
        <f t="shared" si="15"/>
        <v>0</v>
      </c>
      <c r="AW51" s="272">
        <v>1000</v>
      </c>
      <c r="AX51" s="563">
        <f t="shared" si="16"/>
        <v>850000</v>
      </c>
      <c r="AY51" s="563"/>
      <c r="AZ51" s="563">
        <f t="shared" si="17"/>
        <v>0</v>
      </c>
      <c r="BA51" s="272">
        <v>500</v>
      </c>
      <c r="BB51" s="563">
        <f t="shared" si="18"/>
        <v>425000</v>
      </c>
      <c r="BC51" s="272"/>
      <c r="BD51" s="563">
        <f t="shared" si="19"/>
        <v>0</v>
      </c>
      <c r="BE51" s="272">
        <v>500</v>
      </c>
      <c r="BF51" s="563">
        <f t="shared" si="20"/>
        <v>425000</v>
      </c>
      <c r="BG51" s="272">
        <v>500</v>
      </c>
      <c r="BH51" s="563">
        <f t="shared" si="21"/>
        <v>425000</v>
      </c>
      <c r="BI51" s="272"/>
      <c r="BJ51" s="563">
        <f t="shared" si="22"/>
        <v>0</v>
      </c>
      <c r="BK51" s="272">
        <f t="shared" si="46"/>
        <v>4514</v>
      </c>
      <c r="BL51" s="563">
        <f t="shared" si="46"/>
        <v>3836900</v>
      </c>
      <c r="BM51" s="564" t="s">
        <v>727</v>
      </c>
      <c r="BN51" s="709">
        <f t="shared" si="27"/>
        <v>3836900</v>
      </c>
      <c r="BO51" s="245">
        <f t="shared" si="67"/>
        <v>3836900</v>
      </c>
      <c r="BP51" s="389"/>
      <c r="BQ51" s="389"/>
      <c r="BR51" s="389"/>
      <c r="BS51" s="178">
        <f t="shared" si="61"/>
        <v>3836900</v>
      </c>
      <c r="BT51" s="389"/>
      <c r="BU51" s="389"/>
      <c r="BV51" s="178"/>
      <c r="BW51" s="179">
        <f t="shared" si="68"/>
        <v>3836900</v>
      </c>
    </row>
    <row r="52" spans="1:75" s="565" customFormat="1" x14ac:dyDescent="0.25">
      <c r="A52" s="874"/>
      <c r="B52" s="243"/>
      <c r="C52" s="171"/>
      <c r="D52" s="171" t="s">
        <v>610</v>
      </c>
      <c r="E52" s="171" t="s">
        <v>606</v>
      </c>
      <c r="F52" s="237">
        <v>500000</v>
      </c>
      <c r="G52" s="560">
        <f t="shared" si="4"/>
        <v>25</v>
      </c>
      <c r="H52" s="245">
        <f t="shared" si="62"/>
        <v>12500000</v>
      </c>
      <c r="I52" s="245"/>
      <c r="J52" s="245"/>
      <c r="K52" s="245"/>
      <c r="L52" s="245"/>
      <c r="M52" s="245"/>
      <c r="N52" s="245">
        <f>H52</f>
        <v>12500000</v>
      </c>
      <c r="O52" s="245"/>
      <c r="P52" s="245"/>
      <c r="Q52" s="245"/>
      <c r="R52" s="245"/>
      <c r="S52" s="561">
        <f t="shared" si="69"/>
        <v>8.75</v>
      </c>
      <c r="T52" s="561">
        <f t="shared" si="70"/>
        <v>2.5</v>
      </c>
      <c r="U52" s="561">
        <f t="shared" si="71"/>
        <v>3.75</v>
      </c>
      <c r="V52" s="561">
        <f t="shared" si="72"/>
        <v>10</v>
      </c>
      <c r="W52" s="562">
        <f t="shared" si="63"/>
        <v>4375000</v>
      </c>
      <c r="X52" s="562">
        <f t="shared" si="64"/>
        <v>1250000</v>
      </c>
      <c r="Y52" s="562">
        <f t="shared" si="65"/>
        <v>1875000</v>
      </c>
      <c r="Z52" s="562">
        <f t="shared" si="66"/>
        <v>5000000</v>
      </c>
      <c r="AA52" s="272">
        <v>0</v>
      </c>
      <c r="AB52" s="562">
        <f t="shared" si="41"/>
        <v>0</v>
      </c>
      <c r="AC52" s="272">
        <v>1</v>
      </c>
      <c r="AD52" s="561">
        <f t="shared" si="45"/>
        <v>500000</v>
      </c>
      <c r="AE52" s="272"/>
      <c r="AF52" s="563">
        <f t="shared" si="7"/>
        <v>0</v>
      </c>
      <c r="AG52" s="272">
        <v>2</v>
      </c>
      <c r="AH52" s="563">
        <f t="shared" si="8"/>
        <v>1000000</v>
      </c>
      <c r="AI52" s="272">
        <v>2</v>
      </c>
      <c r="AJ52" s="563">
        <f t="shared" si="9"/>
        <v>1000000</v>
      </c>
      <c r="AK52" s="272">
        <v>2</v>
      </c>
      <c r="AL52" s="563">
        <f t="shared" si="10"/>
        <v>1000000</v>
      </c>
      <c r="AM52" s="638">
        <v>0</v>
      </c>
      <c r="AN52" s="563">
        <f t="shared" si="11"/>
        <v>0</v>
      </c>
      <c r="AO52" s="272">
        <v>1</v>
      </c>
      <c r="AP52" s="563">
        <f t="shared" si="12"/>
        <v>500000</v>
      </c>
      <c r="AQ52" s="272">
        <v>1</v>
      </c>
      <c r="AR52" s="563">
        <f t="shared" si="13"/>
        <v>500000</v>
      </c>
      <c r="AS52" s="272">
        <v>1</v>
      </c>
      <c r="AT52" s="563">
        <f t="shared" si="14"/>
        <v>500000</v>
      </c>
      <c r="AU52" s="272">
        <v>5</v>
      </c>
      <c r="AV52" s="563">
        <f t="shared" si="15"/>
        <v>2500000</v>
      </c>
      <c r="AW52" s="272"/>
      <c r="AX52" s="563">
        <f t="shared" si="16"/>
        <v>0</v>
      </c>
      <c r="AY52" s="563">
        <v>2</v>
      </c>
      <c r="AZ52" s="563">
        <f t="shared" si="17"/>
        <v>1000000</v>
      </c>
      <c r="BA52" s="272"/>
      <c r="BB52" s="563">
        <f t="shared" si="18"/>
        <v>0</v>
      </c>
      <c r="BC52" s="272">
        <v>2</v>
      </c>
      <c r="BD52" s="563">
        <f t="shared" si="19"/>
        <v>1000000</v>
      </c>
      <c r="BE52" s="272">
        <v>2</v>
      </c>
      <c r="BF52" s="563">
        <f t="shared" si="20"/>
        <v>1000000</v>
      </c>
      <c r="BG52" s="272">
        <v>4</v>
      </c>
      <c r="BH52" s="563">
        <f t="shared" si="21"/>
        <v>2000000</v>
      </c>
      <c r="BI52" s="272"/>
      <c r="BJ52" s="563">
        <f t="shared" si="22"/>
        <v>0</v>
      </c>
      <c r="BK52" s="272">
        <f t="shared" si="46"/>
        <v>25</v>
      </c>
      <c r="BL52" s="563">
        <f t="shared" si="46"/>
        <v>12500000</v>
      </c>
      <c r="BM52" s="564" t="s">
        <v>727</v>
      </c>
      <c r="BN52" s="709">
        <f t="shared" si="27"/>
        <v>12500000</v>
      </c>
      <c r="BO52" s="245">
        <f t="shared" si="67"/>
        <v>12500000</v>
      </c>
      <c r="BP52" s="389"/>
      <c r="BQ52" s="389"/>
      <c r="BR52" s="389"/>
      <c r="BS52" s="178">
        <f t="shared" si="61"/>
        <v>12500000</v>
      </c>
      <c r="BT52" s="389"/>
      <c r="BU52" s="389"/>
      <c r="BV52" s="178"/>
      <c r="BW52" s="179">
        <f t="shared" si="68"/>
        <v>12500000</v>
      </c>
    </row>
    <row r="53" spans="1:75" s="565" customFormat="1" x14ac:dyDescent="0.25">
      <c r="A53" s="874"/>
      <c r="B53" s="243"/>
      <c r="C53" s="171"/>
      <c r="D53" s="171" t="s">
        <v>611</v>
      </c>
      <c r="E53" s="171" t="s">
        <v>606</v>
      </c>
      <c r="F53" s="237">
        <v>3000000</v>
      </c>
      <c r="G53" s="560">
        <f t="shared" si="4"/>
        <v>11</v>
      </c>
      <c r="H53" s="245">
        <f t="shared" si="62"/>
        <v>33000000</v>
      </c>
      <c r="I53" s="245"/>
      <c r="J53" s="245"/>
      <c r="K53" s="245"/>
      <c r="L53" s="245"/>
      <c r="M53" s="245">
        <f>H53*1</f>
        <v>33000000</v>
      </c>
      <c r="N53" s="245"/>
      <c r="O53" s="245"/>
      <c r="P53" s="245"/>
      <c r="Q53" s="245"/>
      <c r="R53" s="245"/>
      <c r="S53" s="561">
        <f t="shared" si="69"/>
        <v>3.8499999999999996</v>
      </c>
      <c r="T53" s="561">
        <f t="shared" si="70"/>
        <v>1.1000000000000001</v>
      </c>
      <c r="U53" s="561">
        <f t="shared" si="71"/>
        <v>1.65</v>
      </c>
      <c r="V53" s="561">
        <f t="shared" si="72"/>
        <v>4.4000000000000004</v>
      </c>
      <c r="W53" s="562">
        <f t="shared" si="63"/>
        <v>11549999.999999998</v>
      </c>
      <c r="X53" s="562">
        <f t="shared" si="64"/>
        <v>3300000.0000000005</v>
      </c>
      <c r="Y53" s="562">
        <f t="shared" si="65"/>
        <v>4950000</v>
      </c>
      <c r="Z53" s="562">
        <f t="shared" si="66"/>
        <v>13200000.000000002</v>
      </c>
      <c r="AA53" s="272">
        <v>1</v>
      </c>
      <c r="AB53" s="562">
        <f t="shared" si="41"/>
        <v>3000000</v>
      </c>
      <c r="AC53" s="272"/>
      <c r="AD53" s="561">
        <f t="shared" si="45"/>
        <v>0</v>
      </c>
      <c r="AE53" s="272"/>
      <c r="AF53" s="563">
        <f t="shared" si="7"/>
        <v>0</v>
      </c>
      <c r="AG53" s="272">
        <v>1</v>
      </c>
      <c r="AH53" s="563">
        <f t="shared" si="8"/>
        <v>3000000</v>
      </c>
      <c r="AI53" s="272"/>
      <c r="AJ53" s="563">
        <f t="shared" si="9"/>
        <v>0</v>
      </c>
      <c r="AK53" s="272">
        <v>1</v>
      </c>
      <c r="AL53" s="563">
        <f t="shared" si="10"/>
        <v>3000000</v>
      </c>
      <c r="AM53" s="272">
        <v>1</v>
      </c>
      <c r="AN53" s="563">
        <f t="shared" si="11"/>
        <v>3000000</v>
      </c>
      <c r="AO53" s="272">
        <v>1</v>
      </c>
      <c r="AP53" s="563">
        <f t="shared" si="12"/>
        <v>3000000</v>
      </c>
      <c r="AQ53" s="272"/>
      <c r="AR53" s="563">
        <f t="shared" si="13"/>
        <v>0</v>
      </c>
      <c r="AS53" s="272">
        <v>1</v>
      </c>
      <c r="AT53" s="563">
        <f t="shared" si="14"/>
        <v>3000000</v>
      </c>
      <c r="AU53" s="272">
        <v>1</v>
      </c>
      <c r="AV53" s="563">
        <f t="shared" si="15"/>
        <v>3000000</v>
      </c>
      <c r="AW53" s="272">
        <v>1</v>
      </c>
      <c r="AX53" s="563">
        <f t="shared" si="16"/>
        <v>3000000</v>
      </c>
      <c r="AY53" s="563">
        <v>1</v>
      </c>
      <c r="AZ53" s="563">
        <f t="shared" si="17"/>
        <v>3000000</v>
      </c>
      <c r="BA53" s="272"/>
      <c r="BB53" s="563">
        <f t="shared" si="18"/>
        <v>0</v>
      </c>
      <c r="BC53" s="272">
        <v>1</v>
      </c>
      <c r="BD53" s="563">
        <f t="shared" si="19"/>
        <v>3000000</v>
      </c>
      <c r="BE53" s="272">
        <v>1</v>
      </c>
      <c r="BF53" s="563">
        <f t="shared" si="20"/>
        <v>3000000</v>
      </c>
      <c r="BG53" s="272"/>
      <c r="BH53" s="563">
        <f t="shared" si="21"/>
        <v>0</v>
      </c>
      <c r="BI53" s="272"/>
      <c r="BJ53" s="563">
        <f t="shared" si="22"/>
        <v>0</v>
      </c>
      <c r="BK53" s="272">
        <f t="shared" si="46"/>
        <v>11</v>
      </c>
      <c r="BL53" s="563">
        <f t="shared" si="46"/>
        <v>33000000</v>
      </c>
      <c r="BM53" s="564" t="s">
        <v>790</v>
      </c>
      <c r="BN53" s="709">
        <f t="shared" si="27"/>
        <v>33000000</v>
      </c>
      <c r="BO53" s="245">
        <f t="shared" si="67"/>
        <v>33000000</v>
      </c>
      <c r="BP53" s="389"/>
      <c r="BQ53" s="389"/>
      <c r="BR53" s="389"/>
      <c r="BS53" s="178">
        <f t="shared" si="61"/>
        <v>33000000</v>
      </c>
      <c r="BT53" s="389"/>
      <c r="BU53" s="389"/>
      <c r="BV53" s="178"/>
      <c r="BW53" s="179">
        <f t="shared" si="68"/>
        <v>33000000</v>
      </c>
    </row>
    <row r="54" spans="1:75" s="565" customFormat="1" x14ac:dyDescent="0.25">
      <c r="A54" s="874"/>
      <c r="B54" s="243"/>
      <c r="C54" s="171"/>
      <c r="D54" s="171" t="s">
        <v>810</v>
      </c>
      <c r="E54" s="171" t="s">
        <v>809</v>
      </c>
      <c r="F54" s="237">
        <v>12000</v>
      </c>
      <c r="G54" s="560">
        <f t="shared" si="4"/>
        <v>934</v>
      </c>
      <c r="H54" s="245">
        <f t="shared" si="62"/>
        <v>11208000</v>
      </c>
      <c r="I54" s="245"/>
      <c r="J54" s="245"/>
      <c r="K54" s="245"/>
      <c r="L54" s="245"/>
      <c r="M54" s="245"/>
      <c r="N54" s="245"/>
      <c r="O54" s="245"/>
      <c r="P54" s="245"/>
      <c r="Q54" s="245"/>
      <c r="R54" s="245">
        <f>H54*1</f>
        <v>11208000</v>
      </c>
      <c r="S54" s="561">
        <f t="shared" si="69"/>
        <v>326.89999999999998</v>
      </c>
      <c r="T54" s="561">
        <f t="shared" si="70"/>
        <v>93.4</v>
      </c>
      <c r="U54" s="561">
        <f t="shared" si="71"/>
        <v>140.1</v>
      </c>
      <c r="V54" s="561">
        <f t="shared" si="72"/>
        <v>373.6</v>
      </c>
      <c r="W54" s="562">
        <f t="shared" si="63"/>
        <v>3922799.9999999995</v>
      </c>
      <c r="X54" s="562">
        <f t="shared" si="64"/>
        <v>1120800</v>
      </c>
      <c r="Y54" s="562">
        <f t="shared" si="65"/>
        <v>1681200</v>
      </c>
      <c r="Z54" s="562">
        <f t="shared" si="66"/>
        <v>4483200</v>
      </c>
      <c r="AA54" s="272">
        <v>40</v>
      </c>
      <c r="AB54" s="562">
        <f t="shared" si="41"/>
        <v>480000</v>
      </c>
      <c r="AC54" s="272">
        <v>19</v>
      </c>
      <c r="AD54" s="561">
        <f t="shared" si="45"/>
        <v>228000</v>
      </c>
      <c r="AE54" s="272">
        <v>66</v>
      </c>
      <c r="AF54" s="563">
        <f t="shared" si="7"/>
        <v>792000</v>
      </c>
      <c r="AG54" s="272">
        <v>87</v>
      </c>
      <c r="AH54" s="563">
        <f t="shared" si="8"/>
        <v>1044000</v>
      </c>
      <c r="AI54" s="272">
        <v>36</v>
      </c>
      <c r="AJ54" s="563">
        <f t="shared" si="9"/>
        <v>432000</v>
      </c>
      <c r="AK54" s="272">
        <v>62</v>
      </c>
      <c r="AL54" s="563">
        <f t="shared" si="10"/>
        <v>744000</v>
      </c>
      <c r="AM54" s="272">
        <v>34</v>
      </c>
      <c r="AN54" s="563">
        <f t="shared" si="11"/>
        <v>408000</v>
      </c>
      <c r="AO54" s="272">
        <v>84</v>
      </c>
      <c r="AP54" s="563">
        <f t="shared" si="12"/>
        <v>1008000</v>
      </c>
      <c r="AQ54" s="272">
        <v>7</v>
      </c>
      <c r="AR54" s="563">
        <f t="shared" si="13"/>
        <v>84000</v>
      </c>
      <c r="AS54" s="272">
        <v>28</v>
      </c>
      <c r="AT54" s="563">
        <f t="shared" si="14"/>
        <v>336000</v>
      </c>
      <c r="AU54" s="272">
        <v>44</v>
      </c>
      <c r="AV54" s="563">
        <f t="shared" si="15"/>
        <v>528000</v>
      </c>
      <c r="AW54" s="272">
        <v>43</v>
      </c>
      <c r="AX54" s="563">
        <f t="shared" si="16"/>
        <v>516000</v>
      </c>
      <c r="AY54" s="563">
        <v>63</v>
      </c>
      <c r="AZ54" s="563">
        <f t="shared" si="17"/>
        <v>756000</v>
      </c>
      <c r="BA54" s="272">
        <v>68</v>
      </c>
      <c r="BB54" s="563">
        <f t="shared" si="18"/>
        <v>816000</v>
      </c>
      <c r="BC54" s="272">
        <v>86</v>
      </c>
      <c r="BD54" s="563">
        <f t="shared" si="19"/>
        <v>1032000</v>
      </c>
      <c r="BE54" s="272">
        <v>45</v>
      </c>
      <c r="BF54" s="563">
        <f t="shared" si="20"/>
        <v>540000</v>
      </c>
      <c r="BG54" s="272">
        <v>122</v>
      </c>
      <c r="BH54" s="563">
        <f t="shared" si="21"/>
        <v>1464000</v>
      </c>
      <c r="BI54" s="272">
        <v>0</v>
      </c>
      <c r="BJ54" s="563">
        <f t="shared" si="22"/>
        <v>0</v>
      </c>
      <c r="BK54" s="272">
        <f t="shared" si="46"/>
        <v>934</v>
      </c>
      <c r="BL54" s="563">
        <f t="shared" si="46"/>
        <v>11208000</v>
      </c>
      <c r="BM54" s="564" t="s">
        <v>731</v>
      </c>
      <c r="BN54" s="709">
        <f t="shared" si="27"/>
        <v>11208000</v>
      </c>
      <c r="BO54" s="245">
        <f t="shared" si="67"/>
        <v>11208000</v>
      </c>
      <c r="BP54" s="389"/>
      <c r="BQ54" s="389"/>
      <c r="BR54" s="389"/>
      <c r="BS54" s="178">
        <f t="shared" si="61"/>
        <v>11208000</v>
      </c>
      <c r="BT54" s="389"/>
      <c r="BU54" s="389"/>
      <c r="BV54" s="178"/>
      <c r="BW54" s="179">
        <f t="shared" si="68"/>
        <v>11208000</v>
      </c>
    </row>
    <row r="55" spans="1:75" s="565" customFormat="1" x14ac:dyDescent="0.25">
      <c r="A55" s="874"/>
      <c r="B55" s="243"/>
      <c r="C55" s="171"/>
      <c r="D55" s="171" t="s">
        <v>666</v>
      </c>
      <c r="E55" s="171" t="s">
        <v>606</v>
      </c>
      <c r="F55" s="237">
        <v>1750000</v>
      </c>
      <c r="G55" s="560">
        <f t="shared" si="4"/>
        <v>14</v>
      </c>
      <c r="H55" s="245">
        <f>G55*F55+500000</f>
        <v>25000000</v>
      </c>
      <c r="I55" s="245"/>
      <c r="J55" s="245"/>
      <c r="K55" s="245"/>
      <c r="L55" s="245"/>
      <c r="M55" s="245">
        <v>0</v>
      </c>
      <c r="N55" s="245">
        <v>0</v>
      </c>
      <c r="O55" s="245"/>
      <c r="P55" s="245"/>
      <c r="Q55" s="245"/>
      <c r="R55" s="245">
        <f>H55*1</f>
        <v>25000000</v>
      </c>
      <c r="S55" s="561">
        <f t="shared" si="69"/>
        <v>4.8999999999999995</v>
      </c>
      <c r="T55" s="561">
        <f t="shared" si="70"/>
        <v>1.4000000000000001</v>
      </c>
      <c r="U55" s="561">
        <f t="shared" si="71"/>
        <v>2.1</v>
      </c>
      <c r="V55" s="561">
        <f t="shared" si="72"/>
        <v>5.6000000000000005</v>
      </c>
      <c r="W55" s="562">
        <f>S55*F55+500000</f>
        <v>9074999.9999999981</v>
      </c>
      <c r="X55" s="562">
        <f t="shared" si="64"/>
        <v>2450000.0000000005</v>
      </c>
      <c r="Y55" s="562">
        <f t="shared" si="65"/>
        <v>3675000</v>
      </c>
      <c r="Z55" s="562">
        <f t="shared" si="66"/>
        <v>9800000.0000000019</v>
      </c>
      <c r="AA55" s="272">
        <v>1</v>
      </c>
      <c r="AB55" s="562">
        <f t="shared" si="41"/>
        <v>1750000</v>
      </c>
      <c r="AC55" s="272">
        <v>0</v>
      </c>
      <c r="AD55" s="561">
        <f t="shared" si="45"/>
        <v>0</v>
      </c>
      <c r="AE55" s="272">
        <v>1</v>
      </c>
      <c r="AF55" s="563">
        <f t="shared" si="7"/>
        <v>1750000</v>
      </c>
      <c r="AG55" s="272">
        <v>1</v>
      </c>
      <c r="AH55" s="563">
        <f>AG55*F55+500000</f>
        <v>2250000</v>
      </c>
      <c r="AI55" s="272">
        <v>1</v>
      </c>
      <c r="AJ55" s="563">
        <f t="shared" si="9"/>
        <v>1750000</v>
      </c>
      <c r="AK55" s="272">
        <v>1</v>
      </c>
      <c r="AL55" s="563">
        <f t="shared" si="10"/>
        <v>1750000</v>
      </c>
      <c r="AM55" s="272">
        <v>1</v>
      </c>
      <c r="AN55" s="563">
        <f t="shared" si="11"/>
        <v>1750000</v>
      </c>
      <c r="AO55" s="272">
        <v>1</v>
      </c>
      <c r="AP55" s="563">
        <f t="shared" si="12"/>
        <v>1750000</v>
      </c>
      <c r="AQ55" s="272">
        <v>0</v>
      </c>
      <c r="AR55" s="563">
        <f t="shared" si="13"/>
        <v>0</v>
      </c>
      <c r="AS55" s="272">
        <v>0</v>
      </c>
      <c r="AT55" s="563">
        <f t="shared" si="14"/>
        <v>0</v>
      </c>
      <c r="AU55" s="272">
        <v>1</v>
      </c>
      <c r="AV55" s="563">
        <f t="shared" si="15"/>
        <v>1750000</v>
      </c>
      <c r="AW55" s="272">
        <v>1</v>
      </c>
      <c r="AX55" s="563">
        <f t="shared" si="16"/>
        <v>1750000</v>
      </c>
      <c r="AY55" s="563">
        <v>1</v>
      </c>
      <c r="AZ55" s="563">
        <f t="shared" si="17"/>
        <v>1750000</v>
      </c>
      <c r="BA55" s="272">
        <v>1</v>
      </c>
      <c r="BB55" s="563">
        <f t="shared" si="18"/>
        <v>1750000</v>
      </c>
      <c r="BC55" s="272">
        <v>1</v>
      </c>
      <c r="BD55" s="563">
        <f t="shared" si="19"/>
        <v>1750000</v>
      </c>
      <c r="BE55" s="272">
        <v>1</v>
      </c>
      <c r="BF55" s="563">
        <f t="shared" si="20"/>
        <v>1750000</v>
      </c>
      <c r="BG55" s="272">
        <v>1</v>
      </c>
      <c r="BH55" s="563">
        <f t="shared" si="21"/>
        <v>1750000</v>
      </c>
      <c r="BI55" s="272"/>
      <c r="BJ55" s="563">
        <f t="shared" si="22"/>
        <v>0</v>
      </c>
      <c r="BK55" s="272">
        <f t="shared" si="46"/>
        <v>14</v>
      </c>
      <c r="BL55" s="563">
        <f t="shared" si="46"/>
        <v>25000000</v>
      </c>
      <c r="BM55" s="564" t="s">
        <v>731</v>
      </c>
      <c r="BN55" s="709">
        <f t="shared" si="27"/>
        <v>25000000</v>
      </c>
      <c r="BO55" s="245">
        <f t="shared" si="67"/>
        <v>25000000</v>
      </c>
      <c r="BP55" s="389"/>
      <c r="BQ55" s="389"/>
      <c r="BR55" s="389"/>
      <c r="BS55" s="178">
        <f t="shared" si="61"/>
        <v>25000000</v>
      </c>
      <c r="BT55" s="389"/>
      <c r="BU55" s="389"/>
      <c r="BV55" s="178"/>
      <c r="BW55" s="179">
        <f t="shared" si="68"/>
        <v>25000000</v>
      </c>
    </row>
    <row r="56" spans="1:75" s="565" customFormat="1" ht="31.5" x14ac:dyDescent="0.25">
      <c r="A56" s="874"/>
      <c r="B56" s="243"/>
      <c r="C56" s="171"/>
      <c r="D56" s="171" t="s">
        <v>812</v>
      </c>
      <c r="E56" s="171" t="s">
        <v>606</v>
      </c>
      <c r="F56" s="237">
        <v>300000</v>
      </c>
      <c r="G56" s="560">
        <f t="shared" si="4"/>
        <v>80</v>
      </c>
      <c r="H56" s="245">
        <f t="shared" si="62"/>
        <v>24000000</v>
      </c>
      <c r="I56" s="245"/>
      <c r="J56" s="245"/>
      <c r="K56" s="245"/>
      <c r="L56" s="245"/>
      <c r="M56" s="245">
        <f>H56*0.75</f>
        <v>18000000</v>
      </c>
      <c r="N56" s="245">
        <v>0</v>
      </c>
      <c r="O56" s="245"/>
      <c r="P56" s="245"/>
      <c r="Q56" s="245"/>
      <c r="R56" s="245">
        <f>H56*0.25</f>
        <v>6000000</v>
      </c>
      <c r="S56" s="561">
        <f t="shared" si="69"/>
        <v>28</v>
      </c>
      <c r="T56" s="561">
        <f t="shared" si="70"/>
        <v>8</v>
      </c>
      <c r="U56" s="561">
        <f t="shared" si="71"/>
        <v>12</v>
      </c>
      <c r="V56" s="561">
        <f t="shared" si="72"/>
        <v>32</v>
      </c>
      <c r="W56" s="562">
        <f t="shared" si="63"/>
        <v>8400000</v>
      </c>
      <c r="X56" s="562">
        <f t="shared" si="64"/>
        <v>2400000</v>
      </c>
      <c r="Y56" s="562">
        <f t="shared" si="65"/>
        <v>3600000</v>
      </c>
      <c r="Z56" s="562">
        <f t="shared" si="66"/>
        <v>9600000</v>
      </c>
      <c r="AA56" s="272">
        <v>3</v>
      </c>
      <c r="AB56" s="562">
        <f t="shared" si="41"/>
        <v>900000</v>
      </c>
      <c r="AC56" s="272">
        <v>2</v>
      </c>
      <c r="AD56" s="561">
        <f t="shared" si="45"/>
        <v>600000</v>
      </c>
      <c r="AE56" s="272">
        <v>6</v>
      </c>
      <c r="AF56" s="563">
        <f t="shared" si="7"/>
        <v>1800000</v>
      </c>
      <c r="AG56" s="272">
        <v>8</v>
      </c>
      <c r="AH56" s="563">
        <f t="shared" si="8"/>
        <v>2400000</v>
      </c>
      <c r="AI56" s="272">
        <v>3</v>
      </c>
      <c r="AJ56" s="563">
        <f t="shared" si="9"/>
        <v>900000</v>
      </c>
      <c r="AK56" s="272">
        <v>5</v>
      </c>
      <c r="AL56" s="563">
        <f t="shared" si="10"/>
        <v>1500000</v>
      </c>
      <c r="AM56" s="272">
        <v>3</v>
      </c>
      <c r="AN56" s="563">
        <f t="shared" si="11"/>
        <v>900000</v>
      </c>
      <c r="AO56" s="272">
        <v>7</v>
      </c>
      <c r="AP56" s="563">
        <f t="shared" si="12"/>
        <v>2100000</v>
      </c>
      <c r="AQ56" s="272">
        <v>1</v>
      </c>
      <c r="AR56" s="563">
        <f t="shared" si="13"/>
        <v>300000</v>
      </c>
      <c r="AS56" s="272">
        <v>2</v>
      </c>
      <c r="AT56" s="563">
        <f t="shared" si="14"/>
        <v>600000</v>
      </c>
      <c r="AU56" s="272">
        <v>4</v>
      </c>
      <c r="AV56" s="563">
        <f t="shared" si="15"/>
        <v>1200000</v>
      </c>
      <c r="AW56" s="272">
        <v>4</v>
      </c>
      <c r="AX56" s="563">
        <f t="shared" si="16"/>
        <v>1200000</v>
      </c>
      <c r="AY56" s="563">
        <v>5</v>
      </c>
      <c r="AZ56" s="563">
        <f t="shared" si="17"/>
        <v>1500000</v>
      </c>
      <c r="BA56" s="272">
        <v>6</v>
      </c>
      <c r="BB56" s="563">
        <f t="shared" si="18"/>
        <v>1800000</v>
      </c>
      <c r="BC56" s="272">
        <v>7</v>
      </c>
      <c r="BD56" s="563">
        <f t="shared" si="19"/>
        <v>2100000</v>
      </c>
      <c r="BE56" s="272">
        <v>10</v>
      </c>
      <c r="BF56" s="563">
        <f t="shared" si="20"/>
        <v>3000000</v>
      </c>
      <c r="BG56" s="272">
        <v>4</v>
      </c>
      <c r="BH56" s="563">
        <f t="shared" si="21"/>
        <v>1200000</v>
      </c>
      <c r="BI56" s="272"/>
      <c r="BJ56" s="563">
        <f t="shared" si="22"/>
        <v>0</v>
      </c>
      <c r="BK56" s="272">
        <f t="shared" si="46"/>
        <v>80</v>
      </c>
      <c r="BL56" s="563">
        <f t="shared" si="46"/>
        <v>24000000</v>
      </c>
      <c r="BM56" s="564" t="s">
        <v>813</v>
      </c>
      <c r="BN56" s="709">
        <f t="shared" si="27"/>
        <v>24000000</v>
      </c>
      <c r="BO56" s="245">
        <f t="shared" si="67"/>
        <v>24000000</v>
      </c>
      <c r="BP56" s="389"/>
      <c r="BQ56" s="389"/>
      <c r="BR56" s="389"/>
      <c r="BS56" s="178">
        <f t="shared" si="61"/>
        <v>24000000</v>
      </c>
      <c r="BT56" s="389"/>
      <c r="BU56" s="389"/>
      <c r="BV56" s="178"/>
      <c r="BW56" s="179">
        <f t="shared" si="68"/>
        <v>24000000</v>
      </c>
    </row>
    <row r="57" spans="1:75" s="67" customFormat="1" x14ac:dyDescent="0.25">
      <c r="A57" s="874"/>
      <c r="B57" s="225"/>
      <c r="C57" s="38"/>
      <c r="D57" s="38" t="s">
        <v>689</v>
      </c>
      <c r="E57" s="38" t="s">
        <v>606</v>
      </c>
      <c r="F57" s="235"/>
      <c r="G57" s="228">
        <f t="shared" si="4"/>
        <v>0</v>
      </c>
      <c r="H57" s="236">
        <f t="shared" si="62"/>
        <v>0</v>
      </c>
      <c r="I57" s="236"/>
      <c r="J57" s="236"/>
      <c r="K57" s="236"/>
      <c r="L57" s="236"/>
      <c r="M57" s="236"/>
      <c r="N57" s="236">
        <f>H57</f>
        <v>0</v>
      </c>
      <c r="O57" s="236"/>
      <c r="P57" s="236"/>
      <c r="Q57" s="236"/>
      <c r="R57" s="236"/>
      <c r="S57" s="231"/>
      <c r="T57" s="231"/>
      <c r="U57" s="231"/>
      <c r="V57" s="231"/>
      <c r="W57" s="227">
        <f t="shared" si="63"/>
        <v>0</v>
      </c>
      <c r="X57" s="227">
        <f t="shared" si="64"/>
        <v>0</v>
      </c>
      <c r="Y57" s="227">
        <f t="shared" si="65"/>
        <v>0</v>
      </c>
      <c r="Z57" s="227">
        <f t="shared" si="66"/>
        <v>0</v>
      </c>
      <c r="AA57" s="230"/>
      <c r="AB57" s="227">
        <f t="shared" si="41"/>
        <v>0</v>
      </c>
      <c r="AC57" s="230"/>
      <c r="AD57" s="231">
        <f t="shared" si="45"/>
        <v>0</v>
      </c>
      <c r="AE57" s="230"/>
      <c r="AF57" s="53">
        <f t="shared" si="7"/>
        <v>0</v>
      </c>
      <c r="AG57" s="230"/>
      <c r="AH57" s="53">
        <f t="shared" si="8"/>
        <v>0</v>
      </c>
      <c r="AI57" s="230"/>
      <c r="AJ57" s="53">
        <f t="shared" si="9"/>
        <v>0</v>
      </c>
      <c r="AK57" s="230">
        <v>0</v>
      </c>
      <c r="AL57" s="53">
        <f t="shared" si="10"/>
        <v>0</v>
      </c>
      <c r="AM57" s="230"/>
      <c r="AN57" s="53">
        <f t="shared" si="11"/>
        <v>0</v>
      </c>
      <c r="AO57" s="230"/>
      <c r="AP57" s="53">
        <f t="shared" si="12"/>
        <v>0</v>
      </c>
      <c r="AQ57" s="230"/>
      <c r="AR57" s="53">
        <f t="shared" si="13"/>
        <v>0</v>
      </c>
      <c r="AS57" s="230"/>
      <c r="AT57" s="53">
        <f t="shared" si="14"/>
        <v>0</v>
      </c>
      <c r="AU57" s="230"/>
      <c r="AV57" s="53">
        <f t="shared" si="15"/>
        <v>0</v>
      </c>
      <c r="AW57" s="230"/>
      <c r="AX57" s="53">
        <f t="shared" si="16"/>
        <v>0</v>
      </c>
      <c r="AY57" s="53"/>
      <c r="AZ57" s="53">
        <f t="shared" si="17"/>
        <v>0</v>
      </c>
      <c r="BA57" s="230"/>
      <c r="BB57" s="53">
        <f t="shared" si="18"/>
        <v>0</v>
      </c>
      <c r="BC57" s="230"/>
      <c r="BD57" s="53">
        <f t="shared" si="19"/>
        <v>0</v>
      </c>
      <c r="BE57" s="230"/>
      <c r="BF57" s="53">
        <f t="shared" si="20"/>
        <v>0</v>
      </c>
      <c r="BG57" s="230"/>
      <c r="BH57" s="53">
        <f t="shared" si="21"/>
        <v>0</v>
      </c>
      <c r="BI57" s="230"/>
      <c r="BJ57" s="53">
        <f t="shared" si="22"/>
        <v>0</v>
      </c>
      <c r="BK57" s="230">
        <f t="shared" si="46"/>
        <v>0</v>
      </c>
      <c r="BL57" s="53">
        <f t="shared" si="46"/>
        <v>0</v>
      </c>
      <c r="BM57" s="316" t="s">
        <v>727</v>
      </c>
      <c r="BN57" s="709">
        <f t="shared" si="27"/>
        <v>0</v>
      </c>
      <c r="BO57" s="236">
        <f t="shared" si="67"/>
        <v>0</v>
      </c>
      <c r="BP57" s="263"/>
      <c r="BQ57" s="263"/>
      <c r="BR57" s="263"/>
      <c r="BS57" s="113">
        <f t="shared" si="61"/>
        <v>0</v>
      </c>
      <c r="BT57" s="263"/>
      <c r="BU57" s="263"/>
      <c r="BV57" s="113"/>
      <c r="BW57" s="223">
        <f t="shared" si="68"/>
        <v>0</v>
      </c>
    </row>
    <row r="58" spans="1:75" s="67" customFormat="1" x14ac:dyDescent="0.25">
      <c r="A58" s="874"/>
      <c r="B58" s="225"/>
      <c r="C58" s="38"/>
      <c r="D58" s="38" t="s">
        <v>680</v>
      </c>
      <c r="E58" s="38" t="s">
        <v>606</v>
      </c>
      <c r="F58" s="235">
        <v>300000</v>
      </c>
      <c r="G58" s="228">
        <f t="shared" si="4"/>
        <v>15</v>
      </c>
      <c r="H58" s="236">
        <f t="shared" si="62"/>
        <v>4500000</v>
      </c>
      <c r="I58" s="236"/>
      <c r="J58" s="236"/>
      <c r="K58" s="236"/>
      <c r="L58" s="236"/>
      <c r="M58" s="236"/>
      <c r="N58" s="236">
        <f>H58</f>
        <v>4500000</v>
      </c>
      <c r="O58" s="236"/>
      <c r="P58" s="236"/>
      <c r="Q58" s="236"/>
      <c r="R58" s="236"/>
      <c r="S58" s="231">
        <f t="shared" si="69"/>
        <v>5.25</v>
      </c>
      <c r="T58" s="231">
        <f t="shared" si="70"/>
        <v>1.5</v>
      </c>
      <c r="U58" s="231">
        <f t="shared" si="71"/>
        <v>2.25</v>
      </c>
      <c r="V58" s="231">
        <f t="shared" si="72"/>
        <v>6</v>
      </c>
      <c r="W58" s="227">
        <f t="shared" si="63"/>
        <v>1575000</v>
      </c>
      <c r="X58" s="227">
        <f t="shared" si="64"/>
        <v>450000</v>
      </c>
      <c r="Y58" s="227">
        <f t="shared" si="65"/>
        <v>675000</v>
      </c>
      <c r="Z58" s="227">
        <f t="shared" si="66"/>
        <v>1800000</v>
      </c>
      <c r="AA58" s="230">
        <v>2</v>
      </c>
      <c r="AB58" s="227">
        <f t="shared" si="41"/>
        <v>600000</v>
      </c>
      <c r="AC58" s="230">
        <v>2</v>
      </c>
      <c r="AD58" s="231">
        <f t="shared" si="45"/>
        <v>600000</v>
      </c>
      <c r="AE58" s="230"/>
      <c r="AF58" s="53">
        <f t="shared" si="7"/>
        <v>0</v>
      </c>
      <c r="AG58" s="230"/>
      <c r="AH58" s="53">
        <f t="shared" si="8"/>
        <v>0</v>
      </c>
      <c r="AI58" s="230"/>
      <c r="AJ58" s="53">
        <f t="shared" si="9"/>
        <v>0</v>
      </c>
      <c r="AK58" s="230">
        <v>2</v>
      </c>
      <c r="AL58" s="53">
        <f t="shared" si="10"/>
        <v>600000</v>
      </c>
      <c r="AM58" s="651">
        <v>0</v>
      </c>
      <c r="AN58" s="53">
        <f t="shared" si="11"/>
        <v>0</v>
      </c>
      <c r="AO58" s="230">
        <v>0</v>
      </c>
      <c r="AP58" s="53">
        <f t="shared" si="12"/>
        <v>0</v>
      </c>
      <c r="AQ58" s="230"/>
      <c r="AR58" s="53">
        <f t="shared" si="13"/>
        <v>0</v>
      </c>
      <c r="AS58" s="230">
        <v>2</v>
      </c>
      <c r="AT58" s="53">
        <f t="shared" si="14"/>
        <v>600000</v>
      </c>
      <c r="AU58" s="230">
        <v>2</v>
      </c>
      <c r="AV58" s="53">
        <f t="shared" si="15"/>
        <v>600000</v>
      </c>
      <c r="AW58" s="230">
        <v>2</v>
      </c>
      <c r="AX58" s="53">
        <f t="shared" si="16"/>
        <v>600000</v>
      </c>
      <c r="AY58" s="53"/>
      <c r="AZ58" s="53">
        <f t="shared" si="17"/>
        <v>0</v>
      </c>
      <c r="BA58" s="230"/>
      <c r="BB58" s="53">
        <f t="shared" si="18"/>
        <v>0</v>
      </c>
      <c r="BC58" s="230">
        <v>2</v>
      </c>
      <c r="BD58" s="53">
        <f t="shared" si="19"/>
        <v>600000</v>
      </c>
      <c r="BE58" s="230">
        <v>1</v>
      </c>
      <c r="BF58" s="53">
        <f t="shared" si="20"/>
        <v>300000</v>
      </c>
      <c r="BG58" s="230"/>
      <c r="BH58" s="53">
        <f t="shared" si="21"/>
        <v>0</v>
      </c>
      <c r="BI58" s="230"/>
      <c r="BJ58" s="53">
        <f t="shared" si="22"/>
        <v>0</v>
      </c>
      <c r="BK58" s="230">
        <f t="shared" si="46"/>
        <v>15</v>
      </c>
      <c r="BL58" s="53">
        <f t="shared" si="46"/>
        <v>4500000</v>
      </c>
      <c r="BM58" s="316" t="s">
        <v>727</v>
      </c>
      <c r="BN58" s="709">
        <f t="shared" si="27"/>
        <v>4500000</v>
      </c>
      <c r="BO58" s="236">
        <f t="shared" si="67"/>
        <v>4500000</v>
      </c>
      <c r="BP58" s="263"/>
      <c r="BQ58" s="263"/>
      <c r="BR58" s="263"/>
      <c r="BS58" s="113">
        <f t="shared" si="61"/>
        <v>4500000</v>
      </c>
      <c r="BT58" s="263"/>
      <c r="BU58" s="263"/>
      <c r="BV58" s="113"/>
      <c r="BW58" s="223">
        <f t="shared" si="68"/>
        <v>4500000</v>
      </c>
    </row>
    <row r="59" spans="1:75" s="67" customFormat="1" x14ac:dyDescent="0.25">
      <c r="A59" s="874"/>
      <c r="B59" s="225"/>
      <c r="C59" s="38"/>
      <c r="D59" s="38" t="s">
        <v>767</v>
      </c>
      <c r="E59" s="38"/>
      <c r="F59" s="235">
        <v>100000</v>
      </c>
      <c r="G59" s="228">
        <f t="shared" si="4"/>
        <v>2</v>
      </c>
      <c r="H59" s="236">
        <f t="shared" si="62"/>
        <v>200000</v>
      </c>
      <c r="I59" s="236"/>
      <c r="J59" s="236"/>
      <c r="K59" s="236"/>
      <c r="L59" s="236"/>
      <c r="M59" s="236"/>
      <c r="N59" s="236">
        <f>H59</f>
        <v>200000</v>
      </c>
      <c r="O59" s="236"/>
      <c r="P59" s="236"/>
      <c r="Q59" s="236"/>
      <c r="R59" s="236"/>
      <c r="S59" s="231">
        <f t="shared" si="69"/>
        <v>0.7</v>
      </c>
      <c r="T59" s="231">
        <f t="shared" si="70"/>
        <v>0.2</v>
      </c>
      <c r="U59" s="231">
        <f t="shared" si="71"/>
        <v>0.3</v>
      </c>
      <c r="V59" s="231">
        <f t="shared" si="72"/>
        <v>0.8</v>
      </c>
      <c r="W59" s="227">
        <f t="shared" si="63"/>
        <v>70000</v>
      </c>
      <c r="X59" s="227">
        <f t="shared" si="64"/>
        <v>20000</v>
      </c>
      <c r="Y59" s="227">
        <f t="shared" si="65"/>
        <v>30000</v>
      </c>
      <c r="Z59" s="227">
        <f t="shared" si="66"/>
        <v>80000</v>
      </c>
      <c r="AA59" s="230"/>
      <c r="AB59" s="227">
        <f t="shared" si="41"/>
        <v>0</v>
      </c>
      <c r="AC59" s="230"/>
      <c r="AD59" s="231">
        <f t="shared" si="45"/>
        <v>0</v>
      </c>
      <c r="AE59" s="230"/>
      <c r="AF59" s="53">
        <f t="shared" si="7"/>
        <v>0</v>
      </c>
      <c r="AG59" s="230"/>
      <c r="AH59" s="53">
        <f t="shared" si="8"/>
        <v>0</v>
      </c>
      <c r="AI59" s="230"/>
      <c r="AJ59" s="53">
        <f t="shared" si="9"/>
        <v>0</v>
      </c>
      <c r="AK59" s="230"/>
      <c r="AL59" s="53">
        <f t="shared" si="10"/>
        <v>0</v>
      </c>
      <c r="AM59" s="230"/>
      <c r="AN59" s="53">
        <f t="shared" si="11"/>
        <v>0</v>
      </c>
      <c r="AO59" s="230"/>
      <c r="AP59" s="53">
        <f t="shared" si="12"/>
        <v>0</v>
      </c>
      <c r="AQ59" s="230">
        <v>2</v>
      </c>
      <c r="AR59" s="53">
        <f t="shared" si="13"/>
        <v>200000</v>
      </c>
      <c r="AS59" s="230"/>
      <c r="AT59" s="53">
        <f t="shared" si="14"/>
        <v>0</v>
      </c>
      <c r="AU59" s="230"/>
      <c r="AV59" s="53">
        <f t="shared" si="15"/>
        <v>0</v>
      </c>
      <c r="AW59" s="230"/>
      <c r="AX59" s="53">
        <f t="shared" si="16"/>
        <v>0</v>
      </c>
      <c r="AY59" s="53"/>
      <c r="AZ59" s="53">
        <f t="shared" si="17"/>
        <v>0</v>
      </c>
      <c r="BA59" s="230"/>
      <c r="BB59" s="53">
        <f t="shared" si="18"/>
        <v>0</v>
      </c>
      <c r="BC59" s="230"/>
      <c r="BD59" s="53">
        <f t="shared" si="19"/>
        <v>0</v>
      </c>
      <c r="BE59" s="230"/>
      <c r="BF59" s="53">
        <f t="shared" si="20"/>
        <v>0</v>
      </c>
      <c r="BG59" s="230"/>
      <c r="BH59" s="53">
        <f t="shared" si="21"/>
        <v>0</v>
      </c>
      <c r="BI59" s="230"/>
      <c r="BJ59" s="53">
        <f t="shared" si="22"/>
        <v>0</v>
      </c>
      <c r="BK59" s="230">
        <f t="shared" si="46"/>
        <v>2</v>
      </c>
      <c r="BL59" s="53">
        <f t="shared" si="46"/>
        <v>200000</v>
      </c>
      <c r="BM59" s="316" t="s">
        <v>727</v>
      </c>
      <c r="BN59" s="709">
        <f t="shared" si="27"/>
        <v>200000</v>
      </c>
      <c r="BO59" s="236">
        <f t="shared" si="67"/>
        <v>200000</v>
      </c>
      <c r="BP59" s="263"/>
      <c r="BQ59" s="263"/>
      <c r="BR59" s="263"/>
      <c r="BS59" s="113">
        <f t="shared" si="61"/>
        <v>200000</v>
      </c>
      <c r="BT59" s="263"/>
      <c r="BU59" s="263"/>
      <c r="BV59" s="113"/>
      <c r="BW59" s="223">
        <f t="shared" si="68"/>
        <v>200000</v>
      </c>
    </row>
    <row r="60" spans="1:75" s="67" customFormat="1" x14ac:dyDescent="0.25">
      <c r="A60" s="874"/>
      <c r="B60" s="225"/>
      <c r="C60" s="38"/>
      <c r="D60" s="38" t="s">
        <v>768</v>
      </c>
      <c r="E60" s="38"/>
      <c r="F60" s="235">
        <v>100000</v>
      </c>
      <c r="G60" s="228">
        <f t="shared" si="4"/>
        <v>4</v>
      </c>
      <c r="H60" s="236">
        <f t="shared" si="62"/>
        <v>400000</v>
      </c>
      <c r="I60" s="236"/>
      <c r="J60" s="236"/>
      <c r="K60" s="236"/>
      <c r="L60" s="236"/>
      <c r="M60" s="236"/>
      <c r="N60" s="236">
        <f>H60</f>
        <v>400000</v>
      </c>
      <c r="O60" s="236"/>
      <c r="P60" s="236"/>
      <c r="Q60" s="236"/>
      <c r="R60" s="236"/>
      <c r="S60" s="231">
        <f t="shared" si="69"/>
        <v>1.4</v>
      </c>
      <c r="T60" s="231">
        <f t="shared" si="70"/>
        <v>0.4</v>
      </c>
      <c r="U60" s="231">
        <f t="shared" si="71"/>
        <v>0.6</v>
      </c>
      <c r="V60" s="231">
        <f t="shared" si="72"/>
        <v>1.6</v>
      </c>
      <c r="W60" s="227">
        <f t="shared" si="63"/>
        <v>140000</v>
      </c>
      <c r="X60" s="227">
        <f t="shared" si="64"/>
        <v>40000</v>
      </c>
      <c r="Y60" s="227">
        <f t="shared" si="65"/>
        <v>60000</v>
      </c>
      <c r="Z60" s="227">
        <f t="shared" si="66"/>
        <v>160000</v>
      </c>
      <c r="AA60" s="230"/>
      <c r="AB60" s="227">
        <f t="shared" si="41"/>
        <v>0</v>
      </c>
      <c r="AC60" s="230"/>
      <c r="AD60" s="231">
        <f t="shared" si="45"/>
        <v>0</v>
      </c>
      <c r="AE60" s="230"/>
      <c r="AF60" s="53">
        <f t="shared" si="7"/>
        <v>0</v>
      </c>
      <c r="AG60" s="230"/>
      <c r="AH60" s="53">
        <f t="shared" si="8"/>
        <v>0</v>
      </c>
      <c r="AI60" s="230"/>
      <c r="AJ60" s="53">
        <f t="shared" si="9"/>
        <v>0</v>
      </c>
      <c r="AK60" s="230"/>
      <c r="AL60" s="53">
        <f t="shared" si="10"/>
        <v>0</v>
      </c>
      <c r="AM60" s="230"/>
      <c r="AN60" s="53">
        <f t="shared" si="11"/>
        <v>0</v>
      </c>
      <c r="AO60" s="230"/>
      <c r="AP60" s="53">
        <f t="shared" si="12"/>
        <v>0</v>
      </c>
      <c r="AQ60" s="230">
        <v>4</v>
      </c>
      <c r="AR60" s="53">
        <f t="shared" si="13"/>
        <v>400000</v>
      </c>
      <c r="AS60" s="230"/>
      <c r="AT60" s="53">
        <f t="shared" si="14"/>
        <v>0</v>
      </c>
      <c r="AU60" s="230"/>
      <c r="AV60" s="53">
        <f t="shared" si="15"/>
        <v>0</v>
      </c>
      <c r="AW60" s="230"/>
      <c r="AX60" s="53">
        <f t="shared" si="16"/>
        <v>0</v>
      </c>
      <c r="AY60" s="53"/>
      <c r="AZ60" s="53">
        <f t="shared" si="17"/>
        <v>0</v>
      </c>
      <c r="BA60" s="230"/>
      <c r="BB60" s="53">
        <f t="shared" si="18"/>
        <v>0</v>
      </c>
      <c r="BC60" s="230"/>
      <c r="BD60" s="53">
        <f t="shared" si="19"/>
        <v>0</v>
      </c>
      <c r="BE60" s="230"/>
      <c r="BF60" s="53">
        <f t="shared" si="20"/>
        <v>0</v>
      </c>
      <c r="BG60" s="230"/>
      <c r="BH60" s="53">
        <f t="shared" si="21"/>
        <v>0</v>
      </c>
      <c r="BI60" s="230"/>
      <c r="BJ60" s="53">
        <f t="shared" si="22"/>
        <v>0</v>
      </c>
      <c r="BK60" s="230">
        <f t="shared" si="46"/>
        <v>4</v>
      </c>
      <c r="BL60" s="53">
        <f t="shared" si="46"/>
        <v>400000</v>
      </c>
      <c r="BM60" s="316" t="s">
        <v>727</v>
      </c>
      <c r="BN60" s="709">
        <f t="shared" si="27"/>
        <v>400000</v>
      </c>
      <c r="BO60" s="236">
        <f t="shared" si="67"/>
        <v>400000</v>
      </c>
      <c r="BP60" s="263"/>
      <c r="BQ60" s="263"/>
      <c r="BR60" s="263"/>
      <c r="BS60" s="113">
        <f t="shared" si="61"/>
        <v>400000</v>
      </c>
      <c r="BT60" s="263"/>
      <c r="BU60" s="263"/>
      <c r="BV60" s="113"/>
      <c r="BW60" s="223">
        <f t="shared" si="68"/>
        <v>400000</v>
      </c>
    </row>
    <row r="61" spans="1:75" s="67" customFormat="1" x14ac:dyDescent="0.25">
      <c r="A61" s="874"/>
      <c r="B61" s="225"/>
      <c r="C61" s="38"/>
      <c r="D61" s="38" t="s">
        <v>769</v>
      </c>
      <c r="E61" s="38"/>
      <c r="F61" s="235">
        <v>200000</v>
      </c>
      <c r="G61" s="228">
        <f t="shared" si="4"/>
        <v>4</v>
      </c>
      <c r="H61" s="236">
        <f t="shared" si="62"/>
        <v>800000</v>
      </c>
      <c r="I61" s="236"/>
      <c r="J61" s="236"/>
      <c r="K61" s="236"/>
      <c r="L61" s="236"/>
      <c r="M61" s="236"/>
      <c r="N61" s="236">
        <f>H61</f>
        <v>800000</v>
      </c>
      <c r="O61" s="236"/>
      <c r="P61" s="236"/>
      <c r="Q61" s="236"/>
      <c r="R61" s="236"/>
      <c r="S61" s="231">
        <f t="shared" si="69"/>
        <v>1.4</v>
      </c>
      <c r="T61" s="231">
        <f t="shared" si="70"/>
        <v>0.4</v>
      </c>
      <c r="U61" s="231">
        <f t="shared" si="71"/>
        <v>0.6</v>
      </c>
      <c r="V61" s="231">
        <f t="shared" si="72"/>
        <v>1.6</v>
      </c>
      <c r="W61" s="227">
        <f t="shared" si="63"/>
        <v>280000</v>
      </c>
      <c r="X61" s="227">
        <f t="shared" si="64"/>
        <v>80000</v>
      </c>
      <c r="Y61" s="227">
        <f t="shared" si="65"/>
        <v>120000</v>
      </c>
      <c r="Z61" s="227">
        <f t="shared" si="66"/>
        <v>320000</v>
      </c>
      <c r="AA61" s="230"/>
      <c r="AB61" s="227">
        <f t="shared" si="41"/>
        <v>0</v>
      </c>
      <c r="AC61" s="230"/>
      <c r="AD61" s="231">
        <f t="shared" si="45"/>
        <v>0</v>
      </c>
      <c r="AE61" s="230"/>
      <c r="AF61" s="53">
        <f t="shared" si="7"/>
        <v>0</v>
      </c>
      <c r="AG61" s="230"/>
      <c r="AH61" s="53">
        <f t="shared" si="8"/>
        <v>0</v>
      </c>
      <c r="AI61" s="230"/>
      <c r="AJ61" s="53">
        <f t="shared" si="9"/>
        <v>0</v>
      </c>
      <c r="AK61" s="230"/>
      <c r="AL61" s="53">
        <f t="shared" si="10"/>
        <v>0</v>
      </c>
      <c r="AM61" s="230"/>
      <c r="AN61" s="53">
        <f t="shared" si="11"/>
        <v>0</v>
      </c>
      <c r="AO61" s="230"/>
      <c r="AP61" s="53">
        <f t="shared" si="12"/>
        <v>0</v>
      </c>
      <c r="AQ61" s="230">
        <v>4</v>
      </c>
      <c r="AR61" s="53">
        <f t="shared" si="13"/>
        <v>800000</v>
      </c>
      <c r="AS61" s="230"/>
      <c r="AT61" s="53">
        <f t="shared" si="14"/>
        <v>0</v>
      </c>
      <c r="AU61" s="230"/>
      <c r="AV61" s="53">
        <f t="shared" si="15"/>
        <v>0</v>
      </c>
      <c r="AW61" s="230"/>
      <c r="AX61" s="53">
        <f t="shared" si="16"/>
        <v>0</v>
      </c>
      <c r="AY61" s="53"/>
      <c r="AZ61" s="53">
        <f t="shared" si="17"/>
        <v>0</v>
      </c>
      <c r="BA61" s="230"/>
      <c r="BB61" s="53">
        <f t="shared" si="18"/>
        <v>0</v>
      </c>
      <c r="BC61" s="230"/>
      <c r="BD61" s="53">
        <f t="shared" si="19"/>
        <v>0</v>
      </c>
      <c r="BE61" s="230"/>
      <c r="BF61" s="53">
        <f t="shared" si="20"/>
        <v>0</v>
      </c>
      <c r="BG61" s="230"/>
      <c r="BH61" s="53">
        <f t="shared" si="21"/>
        <v>0</v>
      </c>
      <c r="BI61" s="230"/>
      <c r="BJ61" s="53">
        <f t="shared" si="22"/>
        <v>0</v>
      </c>
      <c r="BK61" s="230">
        <f t="shared" si="46"/>
        <v>4</v>
      </c>
      <c r="BL61" s="53">
        <f t="shared" si="46"/>
        <v>800000</v>
      </c>
      <c r="BM61" s="316" t="s">
        <v>727</v>
      </c>
      <c r="BN61" s="709">
        <f t="shared" si="27"/>
        <v>800000</v>
      </c>
      <c r="BO61" s="236">
        <f t="shared" si="67"/>
        <v>800000</v>
      </c>
      <c r="BP61" s="263"/>
      <c r="BQ61" s="263"/>
      <c r="BR61" s="263"/>
      <c r="BS61" s="113">
        <f t="shared" si="61"/>
        <v>800000</v>
      </c>
      <c r="BT61" s="263"/>
      <c r="BU61" s="263"/>
      <c r="BV61" s="113"/>
      <c r="BW61" s="223">
        <f t="shared" si="68"/>
        <v>800000</v>
      </c>
    </row>
    <row r="62" spans="1:75" s="67" customFormat="1" x14ac:dyDescent="0.25">
      <c r="A62" s="874"/>
      <c r="B62" s="238"/>
      <c r="C62" s="265"/>
      <c r="D62" s="239" t="s">
        <v>3</v>
      </c>
      <c r="E62" s="265"/>
      <c r="F62" s="266"/>
      <c r="G62" s="241">
        <f t="shared" si="4"/>
        <v>12734</v>
      </c>
      <c r="H62" s="211">
        <f>SUM(H47:H61)</f>
        <v>173909900</v>
      </c>
      <c r="I62" s="249">
        <f>SUM(I47:I61)</f>
        <v>4170000</v>
      </c>
      <c r="J62" s="249">
        <f t="shared" ref="J62:BM62" si="73">SUM(J47:J61)</f>
        <v>20850000</v>
      </c>
      <c r="K62" s="249">
        <f t="shared" si="73"/>
        <v>0</v>
      </c>
      <c r="L62" s="249">
        <f t="shared" si="73"/>
        <v>0</v>
      </c>
      <c r="M62" s="249">
        <f t="shared" si="73"/>
        <v>51000000</v>
      </c>
      <c r="N62" s="249">
        <f t="shared" si="73"/>
        <v>33401900</v>
      </c>
      <c r="O62" s="249">
        <f t="shared" si="73"/>
        <v>0</v>
      </c>
      <c r="P62" s="249">
        <f t="shared" si="73"/>
        <v>0</v>
      </c>
      <c r="Q62" s="249">
        <f t="shared" si="73"/>
        <v>2780000</v>
      </c>
      <c r="R62" s="249">
        <f t="shared" si="73"/>
        <v>61708000</v>
      </c>
      <c r="S62" s="249">
        <f t="shared" si="73"/>
        <v>4456.8999999999987</v>
      </c>
      <c r="T62" s="249">
        <f t="shared" si="73"/>
        <v>1273.4000000000003</v>
      </c>
      <c r="U62" s="249">
        <f t="shared" si="73"/>
        <v>1910.0999999999997</v>
      </c>
      <c r="V62" s="249">
        <f t="shared" si="73"/>
        <v>5093.6000000000013</v>
      </c>
      <c r="W62" s="249">
        <f t="shared" si="73"/>
        <v>61193465</v>
      </c>
      <c r="X62" s="249">
        <f t="shared" si="73"/>
        <v>17340990</v>
      </c>
      <c r="Y62" s="249">
        <f t="shared" si="73"/>
        <v>26011485</v>
      </c>
      <c r="Z62" s="249">
        <f t="shared" si="73"/>
        <v>69363960</v>
      </c>
      <c r="AA62" s="249">
        <f t="shared" si="73"/>
        <v>54</v>
      </c>
      <c r="AB62" s="249">
        <f t="shared" si="73"/>
        <v>8730000</v>
      </c>
      <c r="AC62" s="249">
        <f t="shared" si="73"/>
        <v>29</v>
      </c>
      <c r="AD62" s="249">
        <f t="shared" si="73"/>
        <v>3228000</v>
      </c>
      <c r="AE62" s="249">
        <f t="shared" si="73"/>
        <v>80</v>
      </c>
      <c r="AF62" s="249">
        <f t="shared" si="73"/>
        <v>6642000</v>
      </c>
      <c r="AG62" s="249">
        <f t="shared" si="73"/>
        <v>1321</v>
      </c>
      <c r="AH62" s="249">
        <f t="shared" si="73"/>
        <v>15314000</v>
      </c>
      <c r="AI62" s="249">
        <f t="shared" si="73"/>
        <v>67</v>
      </c>
      <c r="AJ62" s="249">
        <f t="shared" si="73"/>
        <v>8182000</v>
      </c>
      <c r="AK62" s="249">
        <f t="shared" si="73"/>
        <v>100</v>
      </c>
      <c r="AL62" s="249">
        <f t="shared" si="73"/>
        <v>12899100</v>
      </c>
      <c r="AM62" s="249">
        <f t="shared" si="73"/>
        <v>55</v>
      </c>
      <c r="AN62" s="249">
        <f t="shared" si="73"/>
        <v>9058000</v>
      </c>
      <c r="AO62" s="249">
        <f t="shared" si="73"/>
        <v>114</v>
      </c>
      <c r="AP62" s="249">
        <f t="shared" si="73"/>
        <v>11364800</v>
      </c>
      <c r="AQ62" s="249">
        <f t="shared" si="73"/>
        <v>24</v>
      </c>
      <c r="AR62" s="249">
        <f t="shared" si="73"/>
        <v>3584000</v>
      </c>
      <c r="AS62" s="249">
        <f t="shared" si="73"/>
        <v>2543</v>
      </c>
      <c r="AT62" s="249">
        <f t="shared" si="73"/>
        <v>9261000</v>
      </c>
      <c r="AU62" s="249">
        <f t="shared" si="73"/>
        <v>67</v>
      </c>
      <c r="AV62" s="249">
        <f t="shared" si="73"/>
        <v>12178000</v>
      </c>
      <c r="AW62" s="249">
        <f t="shared" si="73"/>
        <v>2063</v>
      </c>
      <c r="AX62" s="249">
        <f t="shared" si="73"/>
        <v>11766000</v>
      </c>
      <c r="AY62" s="249">
        <f t="shared" si="73"/>
        <v>85</v>
      </c>
      <c r="AZ62" s="249">
        <f t="shared" si="73"/>
        <v>11506000</v>
      </c>
      <c r="BA62" s="249">
        <f t="shared" si="73"/>
        <v>790</v>
      </c>
      <c r="BB62" s="249">
        <f t="shared" si="73"/>
        <v>8661000</v>
      </c>
      <c r="BC62" s="249">
        <f t="shared" si="73"/>
        <v>2123</v>
      </c>
      <c r="BD62" s="249">
        <f t="shared" si="73"/>
        <v>16182000</v>
      </c>
      <c r="BE62" s="249">
        <f t="shared" si="73"/>
        <v>1576</v>
      </c>
      <c r="BF62" s="249">
        <f t="shared" si="73"/>
        <v>14665000</v>
      </c>
      <c r="BG62" s="249">
        <f t="shared" si="73"/>
        <v>1643</v>
      </c>
      <c r="BH62" s="249">
        <f t="shared" si="73"/>
        <v>10689000</v>
      </c>
      <c r="BI62" s="249">
        <f t="shared" si="73"/>
        <v>0</v>
      </c>
      <c r="BJ62" s="249">
        <f t="shared" si="73"/>
        <v>0</v>
      </c>
      <c r="BK62" s="249">
        <f t="shared" si="73"/>
        <v>12734</v>
      </c>
      <c r="BL62" s="249">
        <f t="shared" si="73"/>
        <v>173909900</v>
      </c>
      <c r="BM62" s="313">
        <f t="shared" si="73"/>
        <v>0</v>
      </c>
      <c r="BN62" s="709">
        <f t="shared" si="27"/>
        <v>173909900</v>
      </c>
      <c r="BO62" s="211">
        <f>SUM(BO47:BO61)</f>
        <v>173909900</v>
      </c>
      <c r="BP62" s="211">
        <f>SUM(BP47:BP61)</f>
        <v>0</v>
      </c>
      <c r="BQ62" s="211">
        <f>SUM(BQ47:BQ61)</f>
        <v>0</v>
      </c>
      <c r="BR62" s="211">
        <f>SUM(BR47:BR61)</f>
        <v>0</v>
      </c>
      <c r="BS62" s="211">
        <f>SUM(BS47:BS61)</f>
        <v>173909900</v>
      </c>
      <c r="BT62" s="211">
        <f>SUM(BT47:BT58)</f>
        <v>0</v>
      </c>
      <c r="BU62" s="211">
        <f>SUM(BU47:BU58)</f>
        <v>0</v>
      </c>
      <c r="BV62" s="211">
        <f>SUM(BV47:BV58)</f>
        <v>0</v>
      </c>
      <c r="BW62" s="211">
        <f>SUM(BW47:BW61)</f>
        <v>173909900</v>
      </c>
    </row>
    <row r="63" spans="1:75" s="39" customFormat="1" x14ac:dyDescent="0.25">
      <c r="A63" s="874"/>
      <c r="B63" s="225"/>
      <c r="C63" s="38">
        <v>21330</v>
      </c>
      <c r="D63" s="216" t="s">
        <v>856</v>
      </c>
      <c r="E63" s="38"/>
      <c r="F63" s="235"/>
      <c r="G63" s="228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0"/>
      <c r="T63" s="230"/>
      <c r="U63" s="230"/>
      <c r="V63" s="230"/>
      <c r="W63" s="53"/>
      <c r="X63" s="53"/>
      <c r="Y63" s="53"/>
      <c r="Z63" s="53"/>
      <c r="AA63" s="230"/>
      <c r="AB63" s="227">
        <f t="shared" si="41"/>
        <v>0</v>
      </c>
      <c r="AC63" s="230"/>
      <c r="AD63" s="231">
        <f t="shared" si="45"/>
        <v>0</v>
      </c>
      <c r="AE63" s="230"/>
      <c r="AF63" s="53">
        <f t="shared" si="7"/>
        <v>0</v>
      </c>
      <c r="AG63" s="230"/>
      <c r="AH63" s="53">
        <f t="shared" si="8"/>
        <v>0</v>
      </c>
      <c r="AI63" s="230"/>
      <c r="AJ63" s="53">
        <f t="shared" si="9"/>
        <v>0</v>
      </c>
      <c r="AK63" s="230"/>
      <c r="AL63" s="53">
        <f t="shared" si="10"/>
        <v>0</v>
      </c>
      <c r="AM63" s="230"/>
      <c r="AN63" s="53">
        <f t="shared" si="11"/>
        <v>0</v>
      </c>
      <c r="AO63" s="230"/>
      <c r="AP63" s="53">
        <f t="shared" si="12"/>
        <v>0</v>
      </c>
      <c r="AQ63" s="230"/>
      <c r="AR63" s="53">
        <f t="shared" si="13"/>
        <v>0</v>
      </c>
      <c r="AS63" s="230"/>
      <c r="AT63" s="53">
        <f t="shared" si="14"/>
        <v>0</v>
      </c>
      <c r="AU63" s="230"/>
      <c r="AV63" s="53">
        <f t="shared" si="15"/>
        <v>0</v>
      </c>
      <c r="AW63" s="230"/>
      <c r="AX63" s="53">
        <f t="shared" si="16"/>
        <v>0</v>
      </c>
      <c r="AY63" s="53"/>
      <c r="AZ63" s="53">
        <f t="shared" si="17"/>
        <v>0</v>
      </c>
      <c r="BA63" s="230"/>
      <c r="BB63" s="53">
        <f t="shared" si="18"/>
        <v>0</v>
      </c>
      <c r="BC63" s="230"/>
      <c r="BD63" s="53">
        <f t="shared" si="19"/>
        <v>0</v>
      </c>
      <c r="BE63" s="261"/>
      <c r="BF63" s="53">
        <f t="shared" si="20"/>
        <v>0</v>
      </c>
      <c r="BG63" s="230"/>
      <c r="BH63" s="53">
        <f t="shared" si="21"/>
        <v>0</v>
      </c>
      <c r="BI63" s="230"/>
      <c r="BJ63" s="53"/>
      <c r="BK63" s="230"/>
      <c r="BL63" s="53"/>
      <c r="BM63" s="316"/>
      <c r="BN63" s="709">
        <f t="shared" si="27"/>
        <v>0</v>
      </c>
      <c r="BO63" s="236">
        <f>H63</f>
        <v>0</v>
      </c>
      <c r="BP63" s="113"/>
      <c r="BQ63" s="113"/>
      <c r="BR63" s="113"/>
      <c r="BS63" s="113">
        <f t="shared" si="61"/>
        <v>0</v>
      </c>
      <c r="BT63" s="113"/>
      <c r="BU63" s="113"/>
      <c r="BV63" s="113">
        <f>BT63+BU63</f>
        <v>0</v>
      </c>
      <c r="BW63" s="223">
        <f>BS63+BV63</f>
        <v>0</v>
      </c>
    </row>
    <row r="64" spans="1:75" s="39" customFormat="1" x14ac:dyDescent="0.25">
      <c r="A64" s="874"/>
      <c r="B64" s="225"/>
      <c r="C64" s="38"/>
      <c r="D64" s="38" t="s">
        <v>612</v>
      </c>
      <c r="E64" s="38" t="s">
        <v>153</v>
      </c>
      <c r="F64" s="235">
        <v>160000</v>
      </c>
      <c r="G64" s="228">
        <f t="shared" si="4"/>
        <v>107</v>
      </c>
      <c r="H64" s="236">
        <f t="shared" ref="H64:H76" si="74">G64*F64</f>
        <v>17120000</v>
      </c>
      <c r="I64" s="236">
        <f>H64*0</f>
        <v>0</v>
      </c>
      <c r="J64" s="236">
        <f>H64*0</f>
        <v>0</v>
      </c>
      <c r="K64" s="236"/>
      <c r="L64" s="236"/>
      <c r="M64" s="236"/>
      <c r="N64" s="236">
        <f>H64</f>
        <v>17120000</v>
      </c>
      <c r="O64" s="236"/>
      <c r="P64" s="236"/>
      <c r="Q64" s="236">
        <f>0*H64</f>
        <v>0</v>
      </c>
      <c r="R64" s="236"/>
      <c r="S64" s="231">
        <f>G64*0.35</f>
        <v>37.449999999999996</v>
      </c>
      <c r="T64" s="231">
        <f>G64*0.65</f>
        <v>69.55</v>
      </c>
      <c r="U64" s="231"/>
      <c r="V64" s="231"/>
      <c r="W64" s="227">
        <f>S64*F64</f>
        <v>5991999.9999999991</v>
      </c>
      <c r="X64" s="227">
        <f>T64*F64</f>
        <v>11128000</v>
      </c>
      <c r="Y64" s="227">
        <f>U64*F64</f>
        <v>0</v>
      </c>
      <c r="Z64" s="227">
        <f>V64*F64</f>
        <v>0</v>
      </c>
      <c r="AA64" s="230">
        <v>5</v>
      </c>
      <c r="AB64" s="227">
        <f t="shared" si="41"/>
        <v>800000</v>
      </c>
      <c r="AC64" s="230">
        <v>5</v>
      </c>
      <c r="AD64" s="231">
        <f t="shared" si="45"/>
        <v>800000</v>
      </c>
      <c r="AE64" s="230"/>
      <c r="AF64" s="53">
        <f t="shared" si="7"/>
        <v>0</v>
      </c>
      <c r="AG64" s="230">
        <v>10</v>
      </c>
      <c r="AH64" s="53">
        <f t="shared" si="8"/>
        <v>1600000</v>
      </c>
      <c r="AI64" s="230">
        <v>10</v>
      </c>
      <c r="AJ64" s="53">
        <f t="shared" si="9"/>
        <v>1600000</v>
      </c>
      <c r="AK64" s="230">
        <v>0</v>
      </c>
      <c r="AL64" s="53">
        <f t="shared" si="10"/>
        <v>0</v>
      </c>
      <c r="AM64" s="230"/>
      <c r="AN64" s="53">
        <f t="shared" si="11"/>
        <v>0</v>
      </c>
      <c r="AO64" s="230"/>
      <c r="AP64" s="53">
        <f t="shared" si="12"/>
        <v>0</v>
      </c>
      <c r="AQ64" s="230">
        <v>0</v>
      </c>
      <c r="AR64" s="53">
        <f t="shared" si="13"/>
        <v>0</v>
      </c>
      <c r="AS64" s="230">
        <v>20</v>
      </c>
      <c r="AT64" s="53">
        <f t="shared" si="14"/>
        <v>3200000</v>
      </c>
      <c r="AU64" s="230">
        <v>12</v>
      </c>
      <c r="AV64" s="53">
        <f t="shared" si="15"/>
        <v>1920000</v>
      </c>
      <c r="AW64" s="230">
        <v>5</v>
      </c>
      <c r="AX64" s="53">
        <f t="shared" si="16"/>
        <v>800000</v>
      </c>
      <c r="AY64" s="53"/>
      <c r="AZ64" s="53">
        <f t="shared" si="17"/>
        <v>0</v>
      </c>
      <c r="BA64" s="230">
        <v>10</v>
      </c>
      <c r="BB64" s="53">
        <f t="shared" si="18"/>
        <v>1600000</v>
      </c>
      <c r="BC64" s="230">
        <v>10</v>
      </c>
      <c r="BD64" s="53">
        <f t="shared" si="19"/>
        <v>1600000</v>
      </c>
      <c r="BE64" s="261">
        <v>0</v>
      </c>
      <c r="BF64" s="53">
        <f t="shared" si="20"/>
        <v>0</v>
      </c>
      <c r="BG64" s="230">
        <v>20</v>
      </c>
      <c r="BH64" s="53">
        <f t="shared" si="21"/>
        <v>3200000</v>
      </c>
      <c r="BI64" s="230"/>
      <c r="BJ64" s="53">
        <f t="shared" si="22"/>
        <v>0</v>
      </c>
      <c r="BK64" s="230">
        <f t="shared" si="46"/>
        <v>107</v>
      </c>
      <c r="BL64" s="53">
        <f t="shared" si="46"/>
        <v>17120000</v>
      </c>
      <c r="BM64" s="661" t="s">
        <v>875</v>
      </c>
      <c r="BN64" s="709">
        <f t="shared" si="27"/>
        <v>17120000</v>
      </c>
      <c r="BO64" s="236"/>
      <c r="BP64" s="113"/>
      <c r="BQ64" s="236">
        <f>H64</f>
        <v>17120000</v>
      </c>
      <c r="BR64" s="113"/>
      <c r="BS64" s="113">
        <f t="shared" si="61"/>
        <v>17120000</v>
      </c>
      <c r="BT64" s="113"/>
      <c r="BU64" s="113"/>
      <c r="BV64" s="113"/>
      <c r="BW64" s="223">
        <f>BS64+BV64</f>
        <v>17120000</v>
      </c>
    </row>
    <row r="65" spans="1:75" s="39" customFormat="1" ht="31.5" customHeight="1" x14ac:dyDescent="0.25">
      <c r="A65" s="874"/>
      <c r="B65" s="225"/>
      <c r="C65" s="38"/>
      <c r="D65" s="38" t="s">
        <v>758</v>
      </c>
      <c r="E65" s="38" t="s">
        <v>153</v>
      </c>
      <c r="F65" s="235">
        <v>180000</v>
      </c>
      <c r="G65" s="228">
        <f t="shared" si="4"/>
        <v>378</v>
      </c>
      <c r="H65" s="236">
        <f t="shared" si="74"/>
        <v>68040000</v>
      </c>
      <c r="I65" s="236">
        <f>H65*0</f>
        <v>0</v>
      </c>
      <c r="J65" s="236">
        <f>H65*0</f>
        <v>0</v>
      </c>
      <c r="K65" s="236"/>
      <c r="L65" s="236"/>
      <c r="M65" s="236"/>
      <c r="N65" s="236">
        <f>H65</f>
        <v>68040000</v>
      </c>
      <c r="O65" s="236"/>
      <c r="P65" s="236"/>
      <c r="Q65" s="236">
        <f>0*H65</f>
        <v>0</v>
      </c>
      <c r="R65" s="236"/>
      <c r="S65" s="231">
        <f>G65*0.35</f>
        <v>132.29999999999998</v>
      </c>
      <c r="T65" s="231">
        <f>G65*0.65</f>
        <v>245.70000000000002</v>
      </c>
      <c r="U65" s="231"/>
      <c r="V65" s="231"/>
      <c r="W65" s="227">
        <f t="shared" ref="W65:W76" si="75">S65*F65</f>
        <v>23813999.999999996</v>
      </c>
      <c r="X65" s="227">
        <f t="shared" ref="X65:X76" si="76">T65*F65</f>
        <v>44226000</v>
      </c>
      <c r="Y65" s="227">
        <f t="shared" ref="Y65:Y76" si="77">U65*F65</f>
        <v>0</v>
      </c>
      <c r="Z65" s="227">
        <f t="shared" ref="Z65:Z76" si="78">V65*F65</f>
        <v>0</v>
      </c>
      <c r="AA65" s="230">
        <v>60</v>
      </c>
      <c r="AB65" s="227">
        <f t="shared" si="41"/>
        <v>10800000</v>
      </c>
      <c r="AC65" s="230">
        <v>8</v>
      </c>
      <c r="AD65" s="231">
        <f t="shared" si="45"/>
        <v>1440000</v>
      </c>
      <c r="AE65" s="230">
        <v>30</v>
      </c>
      <c r="AF65" s="53">
        <f t="shared" si="7"/>
        <v>5400000</v>
      </c>
      <c r="AG65" s="230">
        <v>10</v>
      </c>
      <c r="AH65" s="53">
        <f t="shared" si="8"/>
        <v>1800000</v>
      </c>
      <c r="AI65" s="230"/>
      <c r="AJ65" s="53">
        <f t="shared" si="9"/>
        <v>0</v>
      </c>
      <c r="AK65" s="230">
        <v>10</v>
      </c>
      <c r="AL65" s="53">
        <f t="shared" si="10"/>
        <v>1800000</v>
      </c>
      <c r="AM65" s="230"/>
      <c r="AN65" s="53">
        <f t="shared" si="11"/>
        <v>0</v>
      </c>
      <c r="AO65" s="230"/>
      <c r="AP65" s="53">
        <f t="shared" si="12"/>
        <v>0</v>
      </c>
      <c r="AQ65" s="230">
        <v>10</v>
      </c>
      <c r="AR65" s="53">
        <f t="shared" si="13"/>
        <v>1800000</v>
      </c>
      <c r="AS65" s="230">
        <v>30</v>
      </c>
      <c r="AT65" s="53">
        <f t="shared" si="14"/>
        <v>5400000</v>
      </c>
      <c r="AU65" s="230">
        <v>30</v>
      </c>
      <c r="AV65" s="53">
        <f t="shared" si="15"/>
        <v>5400000</v>
      </c>
      <c r="AW65" s="230"/>
      <c r="AX65" s="53">
        <f t="shared" si="16"/>
        <v>0</v>
      </c>
      <c r="AY65" s="53">
        <v>30</v>
      </c>
      <c r="AZ65" s="53">
        <f t="shared" si="17"/>
        <v>5400000</v>
      </c>
      <c r="BA65" s="230">
        <v>40</v>
      </c>
      <c r="BB65" s="53">
        <f t="shared" si="18"/>
        <v>7200000</v>
      </c>
      <c r="BC65" s="230">
        <v>40</v>
      </c>
      <c r="BD65" s="53">
        <f t="shared" si="19"/>
        <v>7200000</v>
      </c>
      <c r="BE65" s="261">
        <v>30</v>
      </c>
      <c r="BF65" s="53">
        <f t="shared" si="20"/>
        <v>5400000</v>
      </c>
      <c r="BG65" s="230">
        <v>50</v>
      </c>
      <c r="BH65" s="53">
        <f t="shared" si="21"/>
        <v>9000000</v>
      </c>
      <c r="BI65" s="230"/>
      <c r="BJ65" s="53">
        <f t="shared" si="22"/>
        <v>0</v>
      </c>
      <c r="BK65" s="230">
        <f t="shared" si="46"/>
        <v>378</v>
      </c>
      <c r="BL65" s="53">
        <f t="shared" si="46"/>
        <v>68040000</v>
      </c>
      <c r="BM65" s="661" t="s">
        <v>875</v>
      </c>
      <c r="BN65" s="709">
        <f t="shared" si="27"/>
        <v>68040000</v>
      </c>
      <c r="BO65" s="236"/>
      <c r="BP65" s="113"/>
      <c r="BQ65" s="236">
        <f t="shared" ref="BQ65:BQ74" si="79">H65</f>
        <v>68040000</v>
      </c>
      <c r="BR65" s="113"/>
      <c r="BS65" s="113">
        <f t="shared" si="61"/>
        <v>68040000</v>
      </c>
      <c r="BT65" s="113"/>
      <c r="BU65" s="113"/>
      <c r="BV65" s="113"/>
      <c r="BW65" s="223">
        <f t="shared" ref="BW65:BW74" si="80">BS65+BV65</f>
        <v>68040000</v>
      </c>
    </row>
    <row r="66" spans="1:75" s="39" customFormat="1" x14ac:dyDescent="0.25">
      <c r="A66" s="874"/>
      <c r="B66" s="225"/>
      <c r="C66" s="38"/>
      <c r="D66" s="657" t="s">
        <v>613</v>
      </c>
      <c r="E66" s="38" t="s">
        <v>153</v>
      </c>
      <c r="F66" s="235">
        <v>278000</v>
      </c>
      <c r="G66" s="228">
        <f t="shared" si="4"/>
        <v>137</v>
      </c>
      <c r="H66" s="236">
        <f t="shared" si="74"/>
        <v>38086000</v>
      </c>
      <c r="I66" s="236">
        <f>H66*0.2</f>
        <v>7617200</v>
      </c>
      <c r="J66" s="236">
        <f>H66*0.8</f>
        <v>30468800</v>
      </c>
      <c r="K66" s="236"/>
      <c r="L66" s="236"/>
      <c r="M66" s="236"/>
      <c r="N66" s="236">
        <f>H66*0</f>
        <v>0</v>
      </c>
      <c r="O66" s="236"/>
      <c r="P66" s="236"/>
      <c r="Q66" s="236">
        <f>0*H66</f>
        <v>0</v>
      </c>
      <c r="R66" s="236"/>
      <c r="S66" s="231">
        <f>G66*0.35</f>
        <v>47.949999999999996</v>
      </c>
      <c r="T66" s="231">
        <f>G66*0.65</f>
        <v>89.05</v>
      </c>
      <c r="U66" s="231"/>
      <c r="V66" s="231"/>
      <c r="W66" s="227">
        <f t="shared" si="75"/>
        <v>13330099.999999998</v>
      </c>
      <c r="X66" s="227">
        <f t="shared" si="76"/>
        <v>24755900</v>
      </c>
      <c r="Y66" s="227">
        <f t="shared" si="77"/>
        <v>0</v>
      </c>
      <c r="Z66" s="227">
        <f t="shared" si="78"/>
        <v>0</v>
      </c>
      <c r="AA66" s="230"/>
      <c r="AB66" s="227">
        <f t="shared" si="41"/>
        <v>0</v>
      </c>
      <c r="AC66" s="230"/>
      <c r="AD66" s="231">
        <f t="shared" si="45"/>
        <v>0</v>
      </c>
      <c r="AE66" s="230"/>
      <c r="AF66" s="53">
        <f t="shared" si="7"/>
        <v>0</v>
      </c>
      <c r="AG66" s="230"/>
      <c r="AH66" s="53">
        <f t="shared" si="8"/>
        <v>0</v>
      </c>
      <c r="AI66" s="230"/>
      <c r="AJ66" s="53">
        <f t="shared" si="9"/>
        <v>0</v>
      </c>
      <c r="AK66" s="230">
        <v>10</v>
      </c>
      <c r="AL66" s="53">
        <f t="shared" si="10"/>
        <v>2780000</v>
      </c>
      <c r="AM66" s="230">
        <v>20</v>
      </c>
      <c r="AN66" s="53">
        <f t="shared" si="11"/>
        <v>5560000</v>
      </c>
      <c r="AO66" s="230">
        <v>40</v>
      </c>
      <c r="AP66" s="53">
        <f t="shared" si="12"/>
        <v>11120000</v>
      </c>
      <c r="AQ66" s="230"/>
      <c r="AR66" s="53">
        <f t="shared" si="13"/>
        <v>0</v>
      </c>
      <c r="AS66" s="230">
        <v>5</v>
      </c>
      <c r="AT66" s="53">
        <f t="shared" si="14"/>
        <v>1390000</v>
      </c>
      <c r="AU66" s="230"/>
      <c r="AV66" s="53">
        <f t="shared" si="15"/>
        <v>0</v>
      </c>
      <c r="AW66" s="230">
        <v>20</v>
      </c>
      <c r="AX66" s="53">
        <f t="shared" si="16"/>
        <v>5560000</v>
      </c>
      <c r="AY66" s="53"/>
      <c r="AZ66" s="53">
        <f t="shared" si="17"/>
        <v>0</v>
      </c>
      <c r="BA66" s="230"/>
      <c r="BB66" s="53">
        <f t="shared" si="18"/>
        <v>0</v>
      </c>
      <c r="BC66" s="230">
        <v>2</v>
      </c>
      <c r="BD66" s="53">
        <f t="shared" si="19"/>
        <v>556000</v>
      </c>
      <c r="BE66" s="230">
        <v>40</v>
      </c>
      <c r="BF66" s="53">
        <f t="shared" si="20"/>
        <v>11120000</v>
      </c>
      <c r="BG66" s="230">
        <v>0</v>
      </c>
      <c r="BH66" s="53">
        <f t="shared" si="21"/>
        <v>0</v>
      </c>
      <c r="BI66" s="230"/>
      <c r="BJ66" s="53">
        <f t="shared" si="22"/>
        <v>0</v>
      </c>
      <c r="BK66" s="230">
        <f t="shared" si="46"/>
        <v>137</v>
      </c>
      <c r="BL66" s="53">
        <f t="shared" si="46"/>
        <v>38086000</v>
      </c>
      <c r="BM66" s="315" t="s">
        <v>469</v>
      </c>
      <c r="BN66" s="709">
        <f t="shared" si="27"/>
        <v>38086000</v>
      </c>
      <c r="BO66" s="236"/>
      <c r="BP66" s="113"/>
      <c r="BQ66" s="236">
        <f t="shared" si="79"/>
        <v>38086000</v>
      </c>
      <c r="BR66" s="113"/>
      <c r="BS66" s="113">
        <f t="shared" si="61"/>
        <v>38086000</v>
      </c>
      <c r="BT66" s="113"/>
      <c r="BU66" s="113"/>
      <c r="BV66" s="113"/>
      <c r="BW66" s="223">
        <f t="shared" si="80"/>
        <v>38086000</v>
      </c>
    </row>
    <row r="67" spans="1:75" s="39" customFormat="1" x14ac:dyDescent="0.25">
      <c r="A67" s="874"/>
      <c r="B67" s="225"/>
      <c r="C67" s="38"/>
      <c r="D67" s="657" t="s">
        <v>614</v>
      </c>
      <c r="E67" s="38" t="s">
        <v>153</v>
      </c>
      <c r="F67" s="235">
        <v>80000</v>
      </c>
      <c r="G67" s="228">
        <f t="shared" si="4"/>
        <v>78</v>
      </c>
      <c r="H67" s="236">
        <f t="shared" si="74"/>
        <v>6240000</v>
      </c>
      <c r="I67" s="236">
        <f>H67*0.2</f>
        <v>1248000</v>
      </c>
      <c r="J67" s="236">
        <f>H67*0.8</f>
        <v>4992000</v>
      </c>
      <c r="K67" s="236"/>
      <c r="L67" s="236"/>
      <c r="M67" s="236"/>
      <c r="N67" s="236">
        <f>H67*0</f>
        <v>0</v>
      </c>
      <c r="O67" s="236"/>
      <c r="P67" s="236"/>
      <c r="Q67" s="236">
        <f>0*H67</f>
        <v>0</v>
      </c>
      <c r="R67" s="236"/>
      <c r="S67" s="231">
        <f>G67*0.35</f>
        <v>27.299999999999997</v>
      </c>
      <c r="T67" s="231">
        <f>G67*0.65</f>
        <v>50.7</v>
      </c>
      <c r="U67" s="231"/>
      <c r="V67" s="231"/>
      <c r="W67" s="227">
        <f t="shared" si="75"/>
        <v>2184000</v>
      </c>
      <c r="X67" s="227">
        <f t="shared" si="76"/>
        <v>4056000</v>
      </c>
      <c r="Y67" s="227">
        <f t="shared" si="77"/>
        <v>0</v>
      </c>
      <c r="Z67" s="227">
        <f t="shared" si="78"/>
        <v>0</v>
      </c>
      <c r="AA67" s="230"/>
      <c r="AB67" s="227">
        <f t="shared" si="41"/>
        <v>0</v>
      </c>
      <c r="AC67" s="230"/>
      <c r="AD67" s="231">
        <f t="shared" si="45"/>
        <v>0</v>
      </c>
      <c r="AE67" s="230">
        <v>5</v>
      </c>
      <c r="AF67" s="53">
        <f t="shared" si="7"/>
        <v>400000</v>
      </c>
      <c r="AG67" s="230">
        <v>15</v>
      </c>
      <c r="AH67" s="53">
        <f t="shared" si="8"/>
        <v>1200000</v>
      </c>
      <c r="AI67" s="230">
        <v>5</v>
      </c>
      <c r="AJ67" s="53">
        <f t="shared" si="9"/>
        <v>400000</v>
      </c>
      <c r="AK67" s="230">
        <v>5</v>
      </c>
      <c r="AL67" s="53">
        <f t="shared" si="10"/>
        <v>400000</v>
      </c>
      <c r="AM67" s="230">
        <v>0</v>
      </c>
      <c r="AN67" s="53">
        <f t="shared" si="11"/>
        <v>0</v>
      </c>
      <c r="AO67" s="230"/>
      <c r="AP67" s="53">
        <f t="shared" si="12"/>
        <v>0</v>
      </c>
      <c r="AQ67" s="230">
        <v>5</v>
      </c>
      <c r="AR67" s="53">
        <f t="shared" si="13"/>
        <v>400000</v>
      </c>
      <c r="AS67" s="230">
        <v>30</v>
      </c>
      <c r="AT67" s="53">
        <f t="shared" si="14"/>
        <v>2400000</v>
      </c>
      <c r="AU67" s="230"/>
      <c r="AV67" s="53">
        <f t="shared" si="15"/>
        <v>0</v>
      </c>
      <c r="AW67" s="230"/>
      <c r="AX67" s="53">
        <f t="shared" si="16"/>
        <v>0</v>
      </c>
      <c r="AY67" s="53"/>
      <c r="AZ67" s="53">
        <f t="shared" si="17"/>
        <v>0</v>
      </c>
      <c r="BA67" s="230">
        <v>3</v>
      </c>
      <c r="BB67" s="53">
        <f t="shared" si="18"/>
        <v>240000</v>
      </c>
      <c r="BC67" s="230">
        <v>10</v>
      </c>
      <c r="BD67" s="53">
        <f t="shared" si="19"/>
        <v>800000</v>
      </c>
      <c r="BE67" s="230"/>
      <c r="BF67" s="53">
        <f t="shared" si="20"/>
        <v>0</v>
      </c>
      <c r="BG67" s="230">
        <v>0</v>
      </c>
      <c r="BH67" s="53">
        <f t="shared" si="21"/>
        <v>0</v>
      </c>
      <c r="BI67" s="230"/>
      <c r="BJ67" s="53">
        <f t="shared" si="22"/>
        <v>0</v>
      </c>
      <c r="BK67" s="230">
        <f t="shared" si="46"/>
        <v>78</v>
      </c>
      <c r="BL67" s="53">
        <f t="shared" si="46"/>
        <v>6240000</v>
      </c>
      <c r="BM67" s="315" t="s">
        <v>469</v>
      </c>
      <c r="BN67" s="709">
        <f t="shared" si="27"/>
        <v>6240000</v>
      </c>
      <c r="BO67" s="236"/>
      <c r="BP67" s="113"/>
      <c r="BQ67" s="236">
        <f t="shared" si="79"/>
        <v>6240000</v>
      </c>
      <c r="BR67" s="113"/>
      <c r="BS67" s="113">
        <f t="shared" si="61"/>
        <v>6240000</v>
      </c>
      <c r="BT67" s="113"/>
      <c r="BU67" s="113"/>
      <c r="BV67" s="113"/>
      <c r="BW67" s="223">
        <f t="shared" si="80"/>
        <v>6240000</v>
      </c>
    </row>
    <row r="68" spans="1:75" s="165" customFormat="1" x14ac:dyDescent="0.25">
      <c r="A68" s="874"/>
      <c r="B68" s="243"/>
      <c r="C68" s="171"/>
      <c r="D68" s="171" t="s">
        <v>615</v>
      </c>
      <c r="E68" s="171" t="s">
        <v>153</v>
      </c>
      <c r="F68" s="237">
        <v>203000</v>
      </c>
      <c r="G68" s="560">
        <f t="shared" si="4"/>
        <v>65</v>
      </c>
      <c r="H68" s="245">
        <f t="shared" si="74"/>
        <v>13195000</v>
      </c>
      <c r="I68" s="245">
        <f>H68*0</f>
        <v>0</v>
      </c>
      <c r="J68" s="245">
        <f>H68*0</f>
        <v>0</v>
      </c>
      <c r="K68" s="245"/>
      <c r="L68" s="245"/>
      <c r="M68" s="245"/>
      <c r="N68" s="245">
        <f>H68</f>
        <v>13195000</v>
      </c>
      <c r="O68" s="245"/>
      <c r="P68" s="245"/>
      <c r="Q68" s="245"/>
      <c r="R68" s="245"/>
      <c r="S68" s="561">
        <f>G68*0.35</f>
        <v>22.75</v>
      </c>
      <c r="T68" s="561">
        <f>G68*0.65</f>
        <v>42.25</v>
      </c>
      <c r="U68" s="561"/>
      <c r="V68" s="561"/>
      <c r="W68" s="562">
        <f t="shared" si="75"/>
        <v>4618250</v>
      </c>
      <c r="X68" s="562">
        <f t="shared" si="76"/>
        <v>8576750</v>
      </c>
      <c r="Y68" s="562">
        <f t="shared" si="77"/>
        <v>0</v>
      </c>
      <c r="Z68" s="562">
        <f t="shared" si="78"/>
        <v>0</v>
      </c>
      <c r="AA68" s="272">
        <v>2</v>
      </c>
      <c r="AB68" s="562">
        <f t="shared" si="41"/>
        <v>406000</v>
      </c>
      <c r="AC68" s="272">
        <v>0</v>
      </c>
      <c r="AD68" s="561">
        <f t="shared" si="45"/>
        <v>0</v>
      </c>
      <c r="AE68" s="272">
        <v>10</v>
      </c>
      <c r="AF68" s="563">
        <f t="shared" si="7"/>
        <v>2030000</v>
      </c>
      <c r="AG68" s="272"/>
      <c r="AH68" s="563">
        <f t="shared" si="8"/>
        <v>0</v>
      </c>
      <c r="AI68" s="272">
        <v>10</v>
      </c>
      <c r="AJ68" s="563">
        <f t="shared" si="9"/>
        <v>2030000</v>
      </c>
      <c r="AK68" s="272">
        <v>2</v>
      </c>
      <c r="AL68" s="563">
        <f t="shared" si="10"/>
        <v>406000</v>
      </c>
      <c r="AM68" s="272"/>
      <c r="AN68" s="563">
        <f t="shared" si="11"/>
        <v>0</v>
      </c>
      <c r="AO68" s="272"/>
      <c r="AP68" s="563">
        <f t="shared" si="12"/>
        <v>0</v>
      </c>
      <c r="AQ68" s="272">
        <v>2</v>
      </c>
      <c r="AR68" s="563">
        <f t="shared" si="13"/>
        <v>406000</v>
      </c>
      <c r="AS68" s="272"/>
      <c r="AT68" s="563">
        <f t="shared" si="14"/>
        <v>0</v>
      </c>
      <c r="AU68" s="272">
        <v>5</v>
      </c>
      <c r="AV68" s="563">
        <f t="shared" si="15"/>
        <v>1015000</v>
      </c>
      <c r="AW68" s="272">
        <v>15</v>
      </c>
      <c r="AX68" s="563">
        <f t="shared" si="16"/>
        <v>3045000</v>
      </c>
      <c r="AY68" s="563">
        <v>10</v>
      </c>
      <c r="AZ68" s="563">
        <f t="shared" si="17"/>
        <v>2030000</v>
      </c>
      <c r="BA68" s="272">
        <v>2</v>
      </c>
      <c r="BB68" s="563">
        <f t="shared" si="18"/>
        <v>406000</v>
      </c>
      <c r="BC68" s="272">
        <v>2</v>
      </c>
      <c r="BD68" s="563">
        <f t="shared" si="19"/>
        <v>406000</v>
      </c>
      <c r="BE68" s="272">
        <v>5</v>
      </c>
      <c r="BF68" s="563">
        <f t="shared" si="20"/>
        <v>1015000</v>
      </c>
      <c r="BG68" s="272">
        <v>0</v>
      </c>
      <c r="BH68" s="563">
        <f t="shared" si="21"/>
        <v>0</v>
      </c>
      <c r="BI68" s="272"/>
      <c r="BJ68" s="563">
        <f t="shared" si="22"/>
        <v>0</v>
      </c>
      <c r="BK68" s="272">
        <f t="shared" si="46"/>
        <v>65</v>
      </c>
      <c r="BL68" s="563">
        <f t="shared" si="46"/>
        <v>13195000</v>
      </c>
      <c r="BM68" s="674" t="s">
        <v>875</v>
      </c>
      <c r="BN68" s="709">
        <f t="shared" si="27"/>
        <v>13195000</v>
      </c>
      <c r="BO68" s="245"/>
      <c r="BP68" s="178"/>
      <c r="BQ68" s="245">
        <f t="shared" si="79"/>
        <v>13195000</v>
      </c>
      <c r="BR68" s="178"/>
      <c r="BS68" s="178">
        <f t="shared" si="61"/>
        <v>13195000</v>
      </c>
      <c r="BT68" s="178"/>
      <c r="BU68" s="178"/>
      <c r="BV68" s="178"/>
      <c r="BW68" s="179">
        <f t="shared" si="80"/>
        <v>13195000</v>
      </c>
    </row>
    <row r="69" spans="1:75" s="165" customFormat="1" x14ac:dyDescent="0.25">
      <c r="A69" s="874"/>
      <c r="B69" s="243"/>
      <c r="C69" s="171"/>
      <c r="D69" s="171" t="s">
        <v>622</v>
      </c>
      <c r="E69" s="171" t="s">
        <v>153</v>
      </c>
      <c r="F69" s="237">
        <v>217500</v>
      </c>
      <c r="G69" s="560">
        <f t="shared" si="4"/>
        <v>18</v>
      </c>
      <c r="H69" s="245">
        <f t="shared" si="74"/>
        <v>3915000</v>
      </c>
      <c r="I69" s="245">
        <f>H69*0</f>
        <v>0</v>
      </c>
      <c r="J69" s="245">
        <f>H69*0</f>
        <v>0</v>
      </c>
      <c r="K69" s="245"/>
      <c r="L69" s="245"/>
      <c r="M69" s="245"/>
      <c r="N69" s="245">
        <f>H69</f>
        <v>3915000</v>
      </c>
      <c r="O69" s="245"/>
      <c r="P69" s="245"/>
      <c r="Q69" s="245"/>
      <c r="R69" s="245"/>
      <c r="S69" s="561">
        <f t="shared" ref="S69:S76" si="81">G69*0.15</f>
        <v>2.6999999999999997</v>
      </c>
      <c r="T69" s="561">
        <f t="shared" ref="T69:T76" si="82">G69*0.7</f>
        <v>12.6</v>
      </c>
      <c r="U69" s="561">
        <f t="shared" ref="U69:U76" si="83">G69:G69*0.15</f>
        <v>2.6999999999999997</v>
      </c>
      <c r="V69" s="561"/>
      <c r="W69" s="562">
        <f t="shared" si="75"/>
        <v>587250</v>
      </c>
      <c r="X69" s="562">
        <f t="shared" si="76"/>
        <v>2740500</v>
      </c>
      <c r="Y69" s="562">
        <f t="shared" si="77"/>
        <v>587250</v>
      </c>
      <c r="Z69" s="562">
        <f t="shared" si="78"/>
        <v>0</v>
      </c>
      <c r="AA69" s="272"/>
      <c r="AB69" s="562">
        <f t="shared" si="41"/>
        <v>0</v>
      </c>
      <c r="AC69" s="272">
        <v>0</v>
      </c>
      <c r="AD69" s="561">
        <f t="shared" si="45"/>
        <v>0</v>
      </c>
      <c r="AE69" s="272">
        <v>1</v>
      </c>
      <c r="AF69" s="563">
        <f t="shared" si="7"/>
        <v>217500</v>
      </c>
      <c r="AG69" s="272"/>
      <c r="AH69" s="563">
        <f t="shared" si="8"/>
        <v>0</v>
      </c>
      <c r="AI69" s="272"/>
      <c r="AJ69" s="563">
        <f t="shared" si="9"/>
        <v>0</v>
      </c>
      <c r="AK69" s="272">
        <v>0</v>
      </c>
      <c r="AL69" s="563">
        <f t="shared" si="10"/>
        <v>0</v>
      </c>
      <c r="AM69" s="272">
        <v>2</v>
      </c>
      <c r="AN69" s="563">
        <f t="shared" si="11"/>
        <v>435000</v>
      </c>
      <c r="AO69" s="272">
        <v>0</v>
      </c>
      <c r="AP69" s="563">
        <f t="shared" si="12"/>
        <v>0</v>
      </c>
      <c r="AQ69" s="272">
        <v>0</v>
      </c>
      <c r="AR69" s="563">
        <f t="shared" si="13"/>
        <v>0</v>
      </c>
      <c r="AS69" s="272">
        <v>0</v>
      </c>
      <c r="AT69" s="563">
        <f t="shared" si="14"/>
        <v>0</v>
      </c>
      <c r="AU69" s="272"/>
      <c r="AV69" s="563">
        <f t="shared" si="15"/>
        <v>0</v>
      </c>
      <c r="AW69" s="272"/>
      <c r="AX69" s="563">
        <f t="shared" si="16"/>
        <v>0</v>
      </c>
      <c r="AY69" s="563"/>
      <c r="AZ69" s="563">
        <f t="shared" si="17"/>
        <v>0</v>
      </c>
      <c r="BA69" s="272">
        <v>2</v>
      </c>
      <c r="BB69" s="563">
        <f t="shared" si="18"/>
        <v>435000</v>
      </c>
      <c r="BC69" s="272">
        <v>10</v>
      </c>
      <c r="BD69" s="563">
        <f t="shared" si="19"/>
        <v>2175000</v>
      </c>
      <c r="BE69" s="272">
        <v>2</v>
      </c>
      <c r="BF69" s="563">
        <f t="shared" si="20"/>
        <v>435000</v>
      </c>
      <c r="BG69" s="272">
        <v>1</v>
      </c>
      <c r="BH69" s="563">
        <f t="shared" si="21"/>
        <v>217500</v>
      </c>
      <c r="BI69" s="272"/>
      <c r="BJ69" s="563">
        <f t="shared" si="22"/>
        <v>0</v>
      </c>
      <c r="BK69" s="272">
        <f t="shared" si="46"/>
        <v>18</v>
      </c>
      <c r="BL69" s="563">
        <f t="shared" si="46"/>
        <v>3915000</v>
      </c>
      <c r="BM69" s="674" t="s">
        <v>875</v>
      </c>
      <c r="BN69" s="709">
        <f t="shared" si="27"/>
        <v>3915000</v>
      </c>
      <c r="BO69" s="245"/>
      <c r="BP69" s="178"/>
      <c r="BQ69" s="245">
        <f t="shared" si="79"/>
        <v>3915000</v>
      </c>
      <c r="BR69" s="178"/>
      <c r="BS69" s="178">
        <f t="shared" si="61"/>
        <v>3915000</v>
      </c>
      <c r="BT69" s="178"/>
      <c r="BU69" s="178"/>
      <c r="BV69" s="178"/>
      <c r="BW69" s="179">
        <f t="shared" si="80"/>
        <v>3915000</v>
      </c>
    </row>
    <row r="70" spans="1:75" s="165" customFormat="1" x14ac:dyDescent="0.25">
      <c r="A70" s="874"/>
      <c r="B70" s="243"/>
      <c r="C70" s="171"/>
      <c r="D70" s="171" t="s">
        <v>616</v>
      </c>
      <c r="E70" s="171" t="s">
        <v>153</v>
      </c>
      <c r="F70" s="237">
        <v>236000</v>
      </c>
      <c r="G70" s="560">
        <f t="shared" si="4"/>
        <v>10</v>
      </c>
      <c r="H70" s="245">
        <f t="shared" si="74"/>
        <v>2360000</v>
      </c>
      <c r="I70" s="245">
        <f>H70*0</f>
        <v>0</v>
      </c>
      <c r="J70" s="245">
        <f>H70*0</f>
        <v>0</v>
      </c>
      <c r="K70" s="245"/>
      <c r="L70" s="245"/>
      <c r="M70" s="245"/>
      <c r="N70" s="245">
        <f>H70</f>
        <v>2360000</v>
      </c>
      <c r="O70" s="245"/>
      <c r="P70" s="245"/>
      <c r="Q70" s="245"/>
      <c r="R70" s="245"/>
      <c r="S70" s="561">
        <f t="shared" si="81"/>
        <v>1.5</v>
      </c>
      <c r="T70" s="561">
        <f t="shared" si="82"/>
        <v>7</v>
      </c>
      <c r="U70" s="561">
        <f t="shared" si="83"/>
        <v>1.5</v>
      </c>
      <c r="V70" s="561"/>
      <c r="W70" s="562">
        <f t="shared" si="75"/>
        <v>354000</v>
      </c>
      <c r="X70" s="562">
        <f t="shared" si="76"/>
        <v>1652000</v>
      </c>
      <c r="Y70" s="562">
        <f t="shared" si="77"/>
        <v>354000</v>
      </c>
      <c r="Z70" s="562">
        <f t="shared" si="78"/>
        <v>0</v>
      </c>
      <c r="AA70" s="272">
        <v>0</v>
      </c>
      <c r="AB70" s="562">
        <f t="shared" si="41"/>
        <v>0</v>
      </c>
      <c r="AC70" s="272"/>
      <c r="AD70" s="561">
        <f t="shared" si="45"/>
        <v>0</v>
      </c>
      <c r="AE70" s="272"/>
      <c r="AF70" s="563">
        <f t="shared" si="7"/>
        <v>0</v>
      </c>
      <c r="AG70" s="272">
        <v>10</v>
      </c>
      <c r="AH70" s="563">
        <f t="shared" si="8"/>
        <v>2360000</v>
      </c>
      <c r="AI70" s="272"/>
      <c r="AJ70" s="563">
        <f t="shared" si="9"/>
        <v>0</v>
      </c>
      <c r="AK70" s="272">
        <v>0</v>
      </c>
      <c r="AL70" s="563">
        <f t="shared" si="10"/>
        <v>0</v>
      </c>
      <c r="AM70" s="272"/>
      <c r="AN70" s="563">
        <f t="shared" si="11"/>
        <v>0</v>
      </c>
      <c r="AO70" s="272"/>
      <c r="AP70" s="563">
        <f t="shared" si="12"/>
        <v>0</v>
      </c>
      <c r="AQ70" s="272">
        <v>0</v>
      </c>
      <c r="AR70" s="563">
        <f t="shared" si="13"/>
        <v>0</v>
      </c>
      <c r="AS70" s="272">
        <v>0</v>
      </c>
      <c r="AT70" s="563">
        <f t="shared" si="14"/>
        <v>0</v>
      </c>
      <c r="AU70" s="272"/>
      <c r="AV70" s="563">
        <f t="shared" si="15"/>
        <v>0</v>
      </c>
      <c r="AW70" s="272"/>
      <c r="AX70" s="563">
        <f t="shared" si="16"/>
        <v>0</v>
      </c>
      <c r="AY70" s="563"/>
      <c r="AZ70" s="563">
        <f t="shared" si="17"/>
        <v>0</v>
      </c>
      <c r="BA70" s="272"/>
      <c r="BB70" s="563">
        <f t="shared" si="18"/>
        <v>0</v>
      </c>
      <c r="BC70" s="272"/>
      <c r="BD70" s="563">
        <f t="shared" si="19"/>
        <v>0</v>
      </c>
      <c r="BE70" s="272"/>
      <c r="BF70" s="563">
        <f t="shared" si="20"/>
        <v>0</v>
      </c>
      <c r="BG70" s="272">
        <v>0</v>
      </c>
      <c r="BH70" s="563">
        <f t="shared" si="21"/>
        <v>0</v>
      </c>
      <c r="BI70" s="272"/>
      <c r="BJ70" s="563">
        <f t="shared" si="22"/>
        <v>0</v>
      </c>
      <c r="BK70" s="272">
        <f t="shared" si="46"/>
        <v>10</v>
      </c>
      <c r="BL70" s="563">
        <f t="shared" si="46"/>
        <v>2360000</v>
      </c>
      <c r="BM70" s="674" t="s">
        <v>875</v>
      </c>
      <c r="BN70" s="709">
        <f t="shared" si="27"/>
        <v>2360000</v>
      </c>
      <c r="BO70" s="245"/>
      <c r="BP70" s="178"/>
      <c r="BQ70" s="245">
        <f t="shared" si="79"/>
        <v>2360000</v>
      </c>
      <c r="BR70" s="178"/>
      <c r="BS70" s="178">
        <f t="shared" si="61"/>
        <v>2360000</v>
      </c>
      <c r="BT70" s="178"/>
      <c r="BU70" s="178"/>
      <c r="BV70" s="178"/>
      <c r="BW70" s="179">
        <f t="shared" si="80"/>
        <v>2360000</v>
      </c>
    </row>
    <row r="71" spans="1:75" s="165" customFormat="1" x14ac:dyDescent="0.25">
      <c r="A71" s="874"/>
      <c r="B71" s="243"/>
      <c r="C71" s="171"/>
      <c r="D71" s="171" t="s">
        <v>617</v>
      </c>
      <c r="E71" s="171" t="s">
        <v>153</v>
      </c>
      <c r="F71" s="237">
        <v>228000</v>
      </c>
      <c r="G71" s="560">
        <f t="shared" si="4"/>
        <v>3</v>
      </c>
      <c r="H71" s="245">
        <f t="shared" si="74"/>
        <v>684000</v>
      </c>
      <c r="I71" s="245">
        <f>H71*0</f>
        <v>0</v>
      </c>
      <c r="J71" s="245">
        <f>H71*0</f>
        <v>0</v>
      </c>
      <c r="K71" s="245"/>
      <c r="L71" s="245"/>
      <c r="M71" s="245"/>
      <c r="N71" s="245">
        <f>H71</f>
        <v>684000</v>
      </c>
      <c r="O71" s="245"/>
      <c r="P71" s="245"/>
      <c r="Q71" s="245"/>
      <c r="R71" s="245"/>
      <c r="S71" s="561">
        <f>G71*0.35</f>
        <v>1.0499999999999998</v>
      </c>
      <c r="T71" s="561">
        <f>G71*0.65</f>
        <v>1.9500000000000002</v>
      </c>
      <c r="U71" s="561"/>
      <c r="V71" s="561"/>
      <c r="W71" s="562">
        <f t="shared" si="75"/>
        <v>239399.99999999997</v>
      </c>
      <c r="X71" s="562">
        <f t="shared" si="76"/>
        <v>444600.00000000006</v>
      </c>
      <c r="Y71" s="562">
        <f t="shared" si="77"/>
        <v>0</v>
      </c>
      <c r="Z71" s="562">
        <f t="shared" si="78"/>
        <v>0</v>
      </c>
      <c r="AA71" s="272"/>
      <c r="AB71" s="562">
        <f t="shared" si="41"/>
        <v>0</v>
      </c>
      <c r="AC71" s="272">
        <v>1</v>
      </c>
      <c r="AD71" s="561">
        <f t="shared" si="45"/>
        <v>228000</v>
      </c>
      <c r="AE71" s="272"/>
      <c r="AF71" s="563">
        <f t="shared" si="7"/>
        <v>0</v>
      </c>
      <c r="AG71" s="272"/>
      <c r="AH71" s="563">
        <f t="shared" si="8"/>
        <v>0</v>
      </c>
      <c r="AI71" s="272">
        <v>0</v>
      </c>
      <c r="AJ71" s="563">
        <f t="shared" si="9"/>
        <v>0</v>
      </c>
      <c r="AK71" s="272">
        <v>0</v>
      </c>
      <c r="AL71" s="563">
        <f t="shared" si="10"/>
        <v>0</v>
      </c>
      <c r="AM71" s="272"/>
      <c r="AN71" s="563">
        <f t="shared" si="11"/>
        <v>0</v>
      </c>
      <c r="AO71" s="272">
        <v>2</v>
      </c>
      <c r="AP71" s="563">
        <f t="shared" si="12"/>
        <v>456000</v>
      </c>
      <c r="AQ71" s="272"/>
      <c r="AR71" s="563">
        <f t="shared" si="13"/>
        <v>0</v>
      </c>
      <c r="AS71" s="272">
        <v>0</v>
      </c>
      <c r="AT71" s="563">
        <f t="shared" si="14"/>
        <v>0</v>
      </c>
      <c r="AU71" s="272"/>
      <c r="AV71" s="563">
        <f t="shared" si="15"/>
        <v>0</v>
      </c>
      <c r="AW71" s="272">
        <v>0</v>
      </c>
      <c r="AX71" s="563">
        <f t="shared" si="16"/>
        <v>0</v>
      </c>
      <c r="AY71" s="563"/>
      <c r="AZ71" s="563">
        <f t="shared" si="17"/>
        <v>0</v>
      </c>
      <c r="BA71" s="272"/>
      <c r="BB71" s="563">
        <f t="shared" si="18"/>
        <v>0</v>
      </c>
      <c r="BC71" s="272">
        <v>0</v>
      </c>
      <c r="BD71" s="563">
        <f t="shared" si="19"/>
        <v>0</v>
      </c>
      <c r="BE71" s="272"/>
      <c r="BF71" s="563">
        <f t="shared" si="20"/>
        <v>0</v>
      </c>
      <c r="BG71" s="272">
        <v>0</v>
      </c>
      <c r="BH71" s="563">
        <f t="shared" si="21"/>
        <v>0</v>
      </c>
      <c r="BI71" s="272"/>
      <c r="BJ71" s="563">
        <f t="shared" si="22"/>
        <v>0</v>
      </c>
      <c r="BK71" s="272">
        <f t="shared" si="46"/>
        <v>3</v>
      </c>
      <c r="BL71" s="563">
        <f t="shared" si="46"/>
        <v>684000</v>
      </c>
      <c r="BM71" s="674" t="s">
        <v>875</v>
      </c>
      <c r="BN71" s="709">
        <f t="shared" si="27"/>
        <v>684000</v>
      </c>
      <c r="BO71" s="245"/>
      <c r="BP71" s="178"/>
      <c r="BQ71" s="245">
        <f t="shared" si="79"/>
        <v>684000</v>
      </c>
      <c r="BR71" s="178"/>
      <c r="BS71" s="178">
        <f t="shared" si="61"/>
        <v>684000</v>
      </c>
      <c r="BT71" s="178"/>
      <c r="BU71" s="178"/>
      <c r="BV71" s="178"/>
      <c r="BW71" s="179">
        <f t="shared" si="80"/>
        <v>684000</v>
      </c>
    </row>
    <row r="72" spans="1:75" s="165" customFormat="1" x14ac:dyDescent="0.25">
      <c r="A72" s="874"/>
      <c r="B72" s="243"/>
      <c r="C72" s="171"/>
      <c r="D72" s="171" t="s">
        <v>618</v>
      </c>
      <c r="E72" s="171" t="s">
        <v>153</v>
      </c>
      <c r="F72" s="237">
        <v>300000</v>
      </c>
      <c r="G72" s="560">
        <f t="shared" si="4"/>
        <v>47</v>
      </c>
      <c r="H72" s="245">
        <f t="shared" si="74"/>
        <v>14100000</v>
      </c>
      <c r="I72" s="245">
        <v>0</v>
      </c>
      <c r="J72" s="245">
        <v>0</v>
      </c>
      <c r="K72" s="245"/>
      <c r="L72" s="245"/>
      <c r="M72" s="245"/>
      <c r="N72" s="245"/>
      <c r="O72" s="245"/>
      <c r="P72" s="245"/>
      <c r="Q72" s="245">
        <v>0</v>
      </c>
      <c r="R72" s="245">
        <f>H72*1</f>
        <v>14100000</v>
      </c>
      <c r="S72" s="561">
        <f t="shared" si="81"/>
        <v>7.05</v>
      </c>
      <c r="T72" s="561">
        <f t="shared" si="82"/>
        <v>32.9</v>
      </c>
      <c r="U72" s="561">
        <f t="shared" si="83"/>
        <v>7.05</v>
      </c>
      <c r="V72" s="561"/>
      <c r="W72" s="562">
        <f t="shared" si="75"/>
        <v>2115000</v>
      </c>
      <c r="X72" s="562">
        <f t="shared" si="76"/>
        <v>9870000</v>
      </c>
      <c r="Y72" s="562">
        <f t="shared" si="77"/>
        <v>2115000</v>
      </c>
      <c r="Z72" s="562">
        <f t="shared" si="78"/>
        <v>0</v>
      </c>
      <c r="AA72" s="272">
        <v>3</v>
      </c>
      <c r="AB72" s="562">
        <f t="shared" si="41"/>
        <v>900000</v>
      </c>
      <c r="AC72" s="272">
        <v>3</v>
      </c>
      <c r="AD72" s="561">
        <f t="shared" si="45"/>
        <v>900000</v>
      </c>
      <c r="AE72" s="272">
        <v>3</v>
      </c>
      <c r="AF72" s="563">
        <f t="shared" si="7"/>
        <v>900000</v>
      </c>
      <c r="AG72" s="272">
        <v>8</v>
      </c>
      <c r="AH72" s="563">
        <f t="shared" si="8"/>
        <v>2400000</v>
      </c>
      <c r="AI72" s="272">
        <v>3</v>
      </c>
      <c r="AJ72" s="563">
        <f t="shared" si="9"/>
        <v>900000</v>
      </c>
      <c r="AK72" s="272">
        <v>3</v>
      </c>
      <c r="AL72" s="563">
        <f t="shared" si="10"/>
        <v>900000</v>
      </c>
      <c r="AM72" s="272">
        <v>0</v>
      </c>
      <c r="AN72" s="563">
        <f t="shared" si="11"/>
        <v>0</v>
      </c>
      <c r="AO72" s="272">
        <v>2</v>
      </c>
      <c r="AP72" s="563">
        <f t="shared" si="12"/>
        <v>600000</v>
      </c>
      <c r="AQ72" s="272">
        <v>2</v>
      </c>
      <c r="AR72" s="563">
        <f t="shared" si="13"/>
        <v>600000</v>
      </c>
      <c r="AS72" s="272">
        <v>3</v>
      </c>
      <c r="AT72" s="563">
        <f t="shared" si="14"/>
        <v>900000</v>
      </c>
      <c r="AU72" s="272">
        <v>2</v>
      </c>
      <c r="AV72" s="563">
        <f t="shared" si="15"/>
        <v>600000</v>
      </c>
      <c r="AW72" s="272">
        <v>2</v>
      </c>
      <c r="AX72" s="563">
        <f t="shared" si="16"/>
        <v>600000</v>
      </c>
      <c r="AY72" s="563">
        <v>3</v>
      </c>
      <c r="AZ72" s="563">
        <f t="shared" si="17"/>
        <v>900000</v>
      </c>
      <c r="BA72" s="272">
        <v>3</v>
      </c>
      <c r="BB72" s="563">
        <f t="shared" si="18"/>
        <v>900000</v>
      </c>
      <c r="BC72" s="272">
        <v>2</v>
      </c>
      <c r="BD72" s="563">
        <f t="shared" si="19"/>
        <v>600000</v>
      </c>
      <c r="BE72" s="272">
        <v>2</v>
      </c>
      <c r="BF72" s="563">
        <f t="shared" si="20"/>
        <v>600000</v>
      </c>
      <c r="BG72" s="272">
        <v>3</v>
      </c>
      <c r="BH72" s="563">
        <f t="shared" si="21"/>
        <v>900000</v>
      </c>
      <c r="BI72" s="272"/>
      <c r="BJ72" s="563">
        <f t="shared" si="22"/>
        <v>0</v>
      </c>
      <c r="BK72" s="272">
        <f t="shared" si="46"/>
        <v>47</v>
      </c>
      <c r="BL72" s="563">
        <f t="shared" si="46"/>
        <v>14100000</v>
      </c>
      <c r="BM72" s="566" t="s">
        <v>731</v>
      </c>
      <c r="BN72" s="709">
        <f t="shared" si="27"/>
        <v>14100000</v>
      </c>
      <c r="BO72" s="245"/>
      <c r="BP72" s="178"/>
      <c r="BQ72" s="245">
        <f t="shared" si="79"/>
        <v>14100000</v>
      </c>
      <c r="BR72" s="178"/>
      <c r="BS72" s="178">
        <f t="shared" si="61"/>
        <v>14100000</v>
      </c>
      <c r="BT72" s="178"/>
      <c r="BU72" s="178"/>
      <c r="BV72" s="178"/>
      <c r="BW72" s="179">
        <f t="shared" si="80"/>
        <v>14100000</v>
      </c>
    </row>
    <row r="73" spans="1:75" s="165" customFormat="1" x14ac:dyDescent="0.25">
      <c r="A73" s="874"/>
      <c r="B73" s="243"/>
      <c r="C73" s="171"/>
      <c r="D73" s="171" t="s">
        <v>619</v>
      </c>
      <c r="E73" s="171" t="s">
        <v>153</v>
      </c>
      <c r="F73" s="237">
        <v>85000</v>
      </c>
      <c r="G73" s="560">
        <f t="shared" si="4"/>
        <v>100</v>
      </c>
      <c r="H73" s="245">
        <f t="shared" si="74"/>
        <v>8500000</v>
      </c>
      <c r="I73" s="245">
        <v>0</v>
      </c>
      <c r="J73" s="245">
        <v>0</v>
      </c>
      <c r="K73" s="245"/>
      <c r="L73" s="245"/>
      <c r="M73" s="245"/>
      <c r="N73" s="245"/>
      <c r="O73" s="245"/>
      <c r="P73" s="245"/>
      <c r="Q73" s="245">
        <v>0</v>
      </c>
      <c r="R73" s="245">
        <f>H73*1</f>
        <v>8500000</v>
      </c>
      <c r="S73" s="561">
        <f t="shared" si="81"/>
        <v>15</v>
      </c>
      <c r="T73" s="561">
        <f t="shared" si="82"/>
        <v>70</v>
      </c>
      <c r="U73" s="561">
        <f t="shared" si="83"/>
        <v>15</v>
      </c>
      <c r="V73" s="561"/>
      <c r="W73" s="562">
        <f t="shared" si="75"/>
        <v>1275000</v>
      </c>
      <c r="X73" s="562">
        <f t="shared" si="76"/>
        <v>5950000</v>
      </c>
      <c r="Y73" s="562">
        <f t="shared" si="77"/>
        <v>1275000</v>
      </c>
      <c r="Z73" s="562">
        <f t="shared" si="78"/>
        <v>0</v>
      </c>
      <c r="AA73" s="272">
        <v>10</v>
      </c>
      <c r="AB73" s="562">
        <f t="shared" si="41"/>
        <v>850000</v>
      </c>
      <c r="AC73" s="272">
        <v>5</v>
      </c>
      <c r="AD73" s="561">
        <f t="shared" si="45"/>
        <v>425000</v>
      </c>
      <c r="AE73" s="272">
        <v>5</v>
      </c>
      <c r="AF73" s="563">
        <f t="shared" si="7"/>
        <v>425000</v>
      </c>
      <c r="AG73" s="272">
        <v>5</v>
      </c>
      <c r="AH73" s="563">
        <f t="shared" si="8"/>
        <v>425000</v>
      </c>
      <c r="AI73" s="272">
        <v>5</v>
      </c>
      <c r="AJ73" s="563">
        <f t="shared" si="9"/>
        <v>425000</v>
      </c>
      <c r="AK73" s="272">
        <v>5</v>
      </c>
      <c r="AL73" s="563">
        <f t="shared" si="10"/>
        <v>425000</v>
      </c>
      <c r="AM73" s="272">
        <v>5</v>
      </c>
      <c r="AN73" s="563">
        <f t="shared" si="11"/>
        <v>425000</v>
      </c>
      <c r="AO73" s="638">
        <v>0</v>
      </c>
      <c r="AP73" s="563">
        <f t="shared" si="12"/>
        <v>0</v>
      </c>
      <c r="AQ73" s="272">
        <v>5</v>
      </c>
      <c r="AR73" s="563">
        <f t="shared" si="13"/>
        <v>425000</v>
      </c>
      <c r="AS73" s="272">
        <v>10</v>
      </c>
      <c r="AT73" s="563">
        <f t="shared" si="14"/>
        <v>850000</v>
      </c>
      <c r="AU73" s="272">
        <v>5</v>
      </c>
      <c r="AV73" s="563">
        <f t="shared" si="15"/>
        <v>425000</v>
      </c>
      <c r="AW73" s="272">
        <v>5</v>
      </c>
      <c r="AX73" s="563">
        <f t="shared" si="16"/>
        <v>425000</v>
      </c>
      <c r="AY73" s="563">
        <v>5</v>
      </c>
      <c r="AZ73" s="563">
        <f t="shared" si="17"/>
        <v>425000</v>
      </c>
      <c r="BA73" s="272">
        <v>5</v>
      </c>
      <c r="BB73" s="563">
        <f t="shared" si="18"/>
        <v>425000</v>
      </c>
      <c r="BC73" s="272">
        <v>11</v>
      </c>
      <c r="BD73" s="563">
        <f t="shared" si="19"/>
        <v>935000</v>
      </c>
      <c r="BE73" s="272">
        <v>9</v>
      </c>
      <c r="BF73" s="563">
        <f t="shared" si="20"/>
        <v>765000</v>
      </c>
      <c r="BG73" s="272">
        <v>5</v>
      </c>
      <c r="BH73" s="563">
        <f t="shared" si="21"/>
        <v>425000</v>
      </c>
      <c r="BI73" s="272"/>
      <c r="BJ73" s="563">
        <f t="shared" si="22"/>
        <v>0</v>
      </c>
      <c r="BK73" s="272">
        <f t="shared" si="46"/>
        <v>100</v>
      </c>
      <c r="BL73" s="563">
        <f t="shared" si="46"/>
        <v>8500000</v>
      </c>
      <c r="BM73" s="566" t="s">
        <v>731</v>
      </c>
      <c r="BN73" s="709">
        <f t="shared" si="27"/>
        <v>8500000</v>
      </c>
      <c r="BO73" s="245"/>
      <c r="BP73" s="178"/>
      <c r="BQ73" s="245">
        <f t="shared" si="79"/>
        <v>8500000</v>
      </c>
      <c r="BR73" s="178"/>
      <c r="BS73" s="178">
        <f t="shared" si="61"/>
        <v>8500000</v>
      </c>
      <c r="BT73" s="178"/>
      <c r="BU73" s="178"/>
      <c r="BV73" s="178"/>
      <c r="BW73" s="179">
        <f t="shared" si="80"/>
        <v>8500000</v>
      </c>
    </row>
    <row r="74" spans="1:75" s="165" customFormat="1" x14ac:dyDescent="0.25">
      <c r="A74" s="874"/>
      <c r="B74" s="243"/>
      <c r="C74" s="171"/>
      <c r="D74" s="171" t="s">
        <v>620</v>
      </c>
      <c r="E74" s="171" t="s">
        <v>153</v>
      </c>
      <c r="F74" s="237">
        <v>41800</v>
      </c>
      <c r="G74" s="560">
        <f t="shared" si="4"/>
        <v>10</v>
      </c>
      <c r="H74" s="245">
        <f t="shared" si="74"/>
        <v>418000</v>
      </c>
      <c r="I74" s="245">
        <v>0</v>
      </c>
      <c r="J74" s="245">
        <v>0</v>
      </c>
      <c r="K74" s="245"/>
      <c r="L74" s="245"/>
      <c r="M74" s="245"/>
      <c r="N74" s="245"/>
      <c r="O74" s="245"/>
      <c r="P74" s="245"/>
      <c r="Q74" s="245">
        <v>0</v>
      </c>
      <c r="R74" s="245">
        <f>H74*1</f>
        <v>418000</v>
      </c>
      <c r="S74" s="561">
        <f t="shared" si="81"/>
        <v>1.5</v>
      </c>
      <c r="T74" s="561">
        <f>G74*0.85</f>
        <v>8.5</v>
      </c>
      <c r="U74" s="561">
        <v>0</v>
      </c>
      <c r="V74" s="561"/>
      <c r="W74" s="562">
        <f t="shared" si="75"/>
        <v>62700</v>
      </c>
      <c r="X74" s="562">
        <f t="shared" si="76"/>
        <v>355300</v>
      </c>
      <c r="Y74" s="562">
        <f t="shared" si="77"/>
        <v>0</v>
      </c>
      <c r="Z74" s="562">
        <f t="shared" si="78"/>
        <v>0</v>
      </c>
      <c r="AA74" s="272">
        <v>1</v>
      </c>
      <c r="AB74" s="562">
        <f t="shared" si="41"/>
        <v>41800</v>
      </c>
      <c r="AC74" s="272">
        <v>1</v>
      </c>
      <c r="AD74" s="561">
        <f t="shared" si="45"/>
        <v>41800</v>
      </c>
      <c r="AE74" s="272">
        <v>1</v>
      </c>
      <c r="AF74" s="563">
        <f t="shared" si="7"/>
        <v>41800</v>
      </c>
      <c r="AG74" s="272">
        <v>1</v>
      </c>
      <c r="AH74" s="563">
        <f t="shared" si="8"/>
        <v>41800</v>
      </c>
      <c r="AI74" s="272">
        <v>0</v>
      </c>
      <c r="AJ74" s="563">
        <f t="shared" si="9"/>
        <v>0</v>
      </c>
      <c r="AK74" s="272">
        <v>0</v>
      </c>
      <c r="AL74" s="563">
        <f t="shared" si="10"/>
        <v>0</v>
      </c>
      <c r="AM74" s="272">
        <v>0</v>
      </c>
      <c r="AN74" s="563">
        <f t="shared" si="11"/>
        <v>0</v>
      </c>
      <c r="AO74" s="272">
        <v>0</v>
      </c>
      <c r="AP74" s="563">
        <f t="shared" si="12"/>
        <v>0</v>
      </c>
      <c r="AQ74" s="272">
        <v>0</v>
      </c>
      <c r="AR74" s="563">
        <f t="shared" si="13"/>
        <v>0</v>
      </c>
      <c r="AS74" s="272">
        <v>1</v>
      </c>
      <c r="AT74" s="563">
        <f t="shared" si="14"/>
        <v>41800</v>
      </c>
      <c r="AU74" s="272">
        <v>1</v>
      </c>
      <c r="AV74" s="563">
        <f t="shared" si="15"/>
        <v>41800</v>
      </c>
      <c r="AW74" s="272">
        <v>1</v>
      </c>
      <c r="AX74" s="563">
        <f t="shared" si="16"/>
        <v>41800</v>
      </c>
      <c r="AY74" s="563">
        <v>0</v>
      </c>
      <c r="AZ74" s="563">
        <f t="shared" si="17"/>
        <v>0</v>
      </c>
      <c r="BA74" s="272">
        <v>1</v>
      </c>
      <c r="BB74" s="563">
        <f t="shared" si="18"/>
        <v>41800</v>
      </c>
      <c r="BC74" s="272">
        <v>0</v>
      </c>
      <c r="BD74" s="563">
        <f t="shared" si="19"/>
        <v>0</v>
      </c>
      <c r="BE74" s="272">
        <v>1</v>
      </c>
      <c r="BF74" s="563">
        <f t="shared" si="20"/>
        <v>41800</v>
      </c>
      <c r="BG74" s="272">
        <v>1</v>
      </c>
      <c r="BH74" s="563">
        <f t="shared" si="21"/>
        <v>41800</v>
      </c>
      <c r="BI74" s="272"/>
      <c r="BJ74" s="563">
        <f t="shared" si="22"/>
        <v>0</v>
      </c>
      <c r="BK74" s="272">
        <f t="shared" si="46"/>
        <v>10</v>
      </c>
      <c r="BL74" s="563">
        <f t="shared" si="46"/>
        <v>418000</v>
      </c>
      <c r="BM74" s="566" t="s">
        <v>731</v>
      </c>
      <c r="BN74" s="709">
        <f t="shared" si="27"/>
        <v>418000</v>
      </c>
      <c r="BO74" s="245"/>
      <c r="BP74" s="178"/>
      <c r="BQ74" s="245">
        <f t="shared" si="79"/>
        <v>418000</v>
      </c>
      <c r="BR74" s="178"/>
      <c r="BS74" s="178">
        <f t="shared" si="61"/>
        <v>418000</v>
      </c>
      <c r="BT74" s="178"/>
      <c r="BU74" s="178"/>
      <c r="BV74" s="178"/>
      <c r="BW74" s="179">
        <f t="shared" si="80"/>
        <v>418000</v>
      </c>
    </row>
    <row r="75" spans="1:75" s="39" customFormat="1" x14ac:dyDescent="0.25">
      <c r="A75" s="874"/>
      <c r="B75" s="225"/>
      <c r="C75" s="38"/>
      <c r="D75" s="38" t="s">
        <v>760</v>
      </c>
      <c r="E75" s="38" t="s">
        <v>153</v>
      </c>
      <c r="F75" s="235"/>
      <c r="G75" s="228">
        <f t="shared" si="4"/>
        <v>0</v>
      </c>
      <c r="H75" s="236">
        <f t="shared" si="74"/>
        <v>0</v>
      </c>
      <c r="I75" s="236">
        <f>H75*0.1</f>
        <v>0</v>
      </c>
      <c r="J75" s="236">
        <f>H75*0.8</f>
        <v>0</v>
      </c>
      <c r="K75" s="236"/>
      <c r="L75" s="236"/>
      <c r="M75" s="236"/>
      <c r="N75" s="236">
        <f>H75</f>
        <v>0</v>
      </c>
      <c r="O75" s="236"/>
      <c r="P75" s="236"/>
      <c r="Q75" s="236">
        <f>0.1*H75</f>
        <v>0</v>
      </c>
      <c r="R75" s="236"/>
      <c r="S75" s="231">
        <f t="shared" si="81"/>
        <v>0</v>
      </c>
      <c r="T75" s="231">
        <f t="shared" si="82"/>
        <v>0</v>
      </c>
      <c r="U75" s="231">
        <f t="shared" si="83"/>
        <v>0</v>
      </c>
      <c r="V75" s="231"/>
      <c r="W75" s="227">
        <f t="shared" si="75"/>
        <v>0</v>
      </c>
      <c r="X75" s="227">
        <f t="shared" si="76"/>
        <v>0</v>
      </c>
      <c r="Y75" s="227">
        <f t="shared" si="77"/>
        <v>0</v>
      </c>
      <c r="Z75" s="227">
        <f t="shared" si="78"/>
        <v>0</v>
      </c>
      <c r="AA75" s="230"/>
      <c r="AB75" s="227">
        <f t="shared" si="41"/>
        <v>0</v>
      </c>
      <c r="AC75" s="230"/>
      <c r="AD75" s="231">
        <f t="shared" si="45"/>
        <v>0</v>
      </c>
      <c r="AE75" s="230"/>
      <c r="AF75" s="53">
        <f t="shared" si="7"/>
        <v>0</v>
      </c>
      <c r="AG75" s="230"/>
      <c r="AH75" s="53">
        <f t="shared" si="8"/>
        <v>0</v>
      </c>
      <c r="AI75" s="230"/>
      <c r="AJ75" s="53">
        <f t="shared" si="9"/>
        <v>0</v>
      </c>
      <c r="AK75" s="230"/>
      <c r="AL75" s="53">
        <f t="shared" si="10"/>
        <v>0</v>
      </c>
      <c r="AM75" s="230"/>
      <c r="AN75" s="53">
        <f t="shared" si="11"/>
        <v>0</v>
      </c>
      <c r="AO75" s="230"/>
      <c r="AP75" s="53">
        <f t="shared" si="12"/>
        <v>0</v>
      </c>
      <c r="AQ75" s="230"/>
      <c r="AR75" s="53">
        <f t="shared" si="13"/>
        <v>0</v>
      </c>
      <c r="AS75" s="230"/>
      <c r="AT75" s="53">
        <f t="shared" si="14"/>
        <v>0</v>
      </c>
      <c r="AU75" s="230"/>
      <c r="AV75" s="53">
        <f t="shared" si="15"/>
        <v>0</v>
      </c>
      <c r="AW75" s="230"/>
      <c r="AX75" s="53">
        <f t="shared" si="16"/>
        <v>0</v>
      </c>
      <c r="AY75" s="53"/>
      <c r="AZ75" s="53">
        <f t="shared" si="17"/>
        <v>0</v>
      </c>
      <c r="BA75" s="230"/>
      <c r="BB75" s="53">
        <f t="shared" si="18"/>
        <v>0</v>
      </c>
      <c r="BC75" s="230">
        <v>0</v>
      </c>
      <c r="BD75" s="53">
        <f t="shared" si="19"/>
        <v>0</v>
      </c>
      <c r="BE75" s="230"/>
      <c r="BF75" s="53">
        <f t="shared" si="20"/>
        <v>0</v>
      </c>
      <c r="BG75" s="230">
        <v>0</v>
      </c>
      <c r="BH75" s="53">
        <f t="shared" si="21"/>
        <v>0</v>
      </c>
      <c r="BI75" s="230"/>
      <c r="BJ75" s="53">
        <f t="shared" si="22"/>
        <v>0</v>
      </c>
      <c r="BK75" s="230">
        <f t="shared" si="46"/>
        <v>0</v>
      </c>
      <c r="BL75" s="53">
        <f t="shared" si="46"/>
        <v>0</v>
      </c>
      <c r="BM75" s="674" t="s">
        <v>875</v>
      </c>
      <c r="BN75" s="709">
        <f t="shared" si="27"/>
        <v>0</v>
      </c>
      <c r="BO75" s="236"/>
      <c r="BP75" s="113"/>
      <c r="BQ75" s="236"/>
      <c r="BR75" s="113"/>
      <c r="BS75" s="113"/>
      <c r="BT75" s="113"/>
      <c r="BU75" s="113"/>
      <c r="BV75" s="113"/>
      <c r="BW75" s="223"/>
    </row>
    <row r="76" spans="1:75" s="39" customFormat="1" x14ac:dyDescent="0.25">
      <c r="A76" s="874"/>
      <c r="B76" s="225"/>
      <c r="C76" s="38"/>
      <c r="D76" s="38" t="s">
        <v>770</v>
      </c>
      <c r="E76" s="38" t="s">
        <v>607</v>
      </c>
      <c r="F76" s="235"/>
      <c r="G76" s="228">
        <f t="shared" si="4"/>
        <v>0</v>
      </c>
      <c r="H76" s="236">
        <f t="shared" si="74"/>
        <v>0</v>
      </c>
      <c r="I76" s="236">
        <f>H76*0.1</f>
        <v>0</v>
      </c>
      <c r="J76" s="236">
        <f>H76*0.8</f>
        <v>0</v>
      </c>
      <c r="K76" s="236"/>
      <c r="L76" s="236"/>
      <c r="M76" s="236"/>
      <c r="N76" s="236">
        <f>H76</f>
        <v>0</v>
      </c>
      <c r="O76" s="236"/>
      <c r="P76" s="236"/>
      <c r="Q76" s="236">
        <f>0.1*H76</f>
        <v>0</v>
      </c>
      <c r="R76" s="236"/>
      <c r="S76" s="231">
        <f t="shared" si="81"/>
        <v>0</v>
      </c>
      <c r="T76" s="231">
        <f t="shared" si="82"/>
        <v>0</v>
      </c>
      <c r="U76" s="231">
        <f t="shared" si="83"/>
        <v>0</v>
      </c>
      <c r="V76" s="231"/>
      <c r="W76" s="227">
        <f t="shared" si="75"/>
        <v>0</v>
      </c>
      <c r="X76" s="227">
        <f t="shared" si="76"/>
        <v>0</v>
      </c>
      <c r="Y76" s="227">
        <f t="shared" si="77"/>
        <v>0</v>
      </c>
      <c r="Z76" s="227">
        <f t="shared" si="78"/>
        <v>0</v>
      </c>
      <c r="AA76" s="230"/>
      <c r="AB76" s="227">
        <f t="shared" si="41"/>
        <v>0</v>
      </c>
      <c r="AC76" s="230"/>
      <c r="AD76" s="231">
        <f t="shared" si="45"/>
        <v>0</v>
      </c>
      <c r="AE76" s="230"/>
      <c r="AF76" s="53">
        <f t="shared" si="7"/>
        <v>0</v>
      </c>
      <c r="AG76" s="230"/>
      <c r="AH76" s="53">
        <f t="shared" si="8"/>
        <v>0</v>
      </c>
      <c r="AI76" s="230"/>
      <c r="AJ76" s="53">
        <f t="shared" si="9"/>
        <v>0</v>
      </c>
      <c r="AK76" s="230"/>
      <c r="AL76" s="53">
        <f t="shared" si="10"/>
        <v>0</v>
      </c>
      <c r="AM76" s="230"/>
      <c r="AN76" s="53">
        <f t="shared" si="11"/>
        <v>0</v>
      </c>
      <c r="AO76" s="230"/>
      <c r="AP76" s="53">
        <f t="shared" si="12"/>
        <v>0</v>
      </c>
      <c r="AQ76" s="230"/>
      <c r="AR76" s="53">
        <f t="shared" si="13"/>
        <v>0</v>
      </c>
      <c r="AS76" s="230">
        <v>0</v>
      </c>
      <c r="AT76" s="53">
        <f t="shared" si="14"/>
        <v>0</v>
      </c>
      <c r="AU76" s="230"/>
      <c r="AV76" s="53">
        <f t="shared" si="15"/>
        <v>0</v>
      </c>
      <c r="AW76" s="230"/>
      <c r="AX76" s="53">
        <f t="shared" si="16"/>
        <v>0</v>
      </c>
      <c r="AY76" s="53"/>
      <c r="AZ76" s="53">
        <f t="shared" si="17"/>
        <v>0</v>
      </c>
      <c r="BA76" s="230"/>
      <c r="BB76" s="53">
        <f t="shared" si="18"/>
        <v>0</v>
      </c>
      <c r="BC76" s="230"/>
      <c r="BD76" s="53">
        <f t="shared" si="19"/>
        <v>0</v>
      </c>
      <c r="BE76" s="230"/>
      <c r="BF76" s="53">
        <f t="shared" si="20"/>
        <v>0</v>
      </c>
      <c r="BG76" s="230"/>
      <c r="BH76" s="53">
        <f t="shared" si="21"/>
        <v>0</v>
      </c>
      <c r="BI76" s="230"/>
      <c r="BJ76" s="53">
        <f t="shared" si="22"/>
        <v>0</v>
      </c>
      <c r="BK76" s="230">
        <f t="shared" si="46"/>
        <v>0</v>
      </c>
      <c r="BL76" s="53">
        <f t="shared" si="46"/>
        <v>0</v>
      </c>
      <c r="BM76" s="674" t="s">
        <v>875</v>
      </c>
      <c r="BN76" s="709">
        <f t="shared" si="27"/>
        <v>0</v>
      </c>
      <c r="BO76" s="236"/>
      <c r="BP76" s="113"/>
      <c r="BQ76" s="236"/>
      <c r="BR76" s="113"/>
      <c r="BS76" s="113"/>
      <c r="BT76" s="113"/>
      <c r="BU76" s="113"/>
      <c r="BV76" s="113"/>
      <c r="BW76" s="223"/>
    </row>
    <row r="77" spans="1:75" s="39" customFormat="1" x14ac:dyDescent="0.25">
      <c r="A77" s="874"/>
      <c r="B77" s="267"/>
      <c r="C77" s="248"/>
      <c r="D77" s="239" t="s">
        <v>3</v>
      </c>
      <c r="E77" s="248"/>
      <c r="F77" s="248"/>
      <c r="G77" s="241">
        <f t="shared" ref="G77:G131" si="84">BK77</f>
        <v>953</v>
      </c>
      <c r="H77" s="268">
        <f t="shared" ref="H77:Z77" si="85">SUM(H64:H74)</f>
        <v>172658000</v>
      </c>
      <c r="I77" s="269">
        <f t="shared" si="85"/>
        <v>8865200</v>
      </c>
      <c r="J77" s="269">
        <f t="shared" si="85"/>
        <v>35460800</v>
      </c>
      <c r="K77" s="269">
        <f t="shared" si="85"/>
        <v>0</v>
      </c>
      <c r="L77" s="269">
        <f t="shared" si="85"/>
        <v>0</v>
      </c>
      <c r="M77" s="269">
        <f t="shared" si="85"/>
        <v>0</v>
      </c>
      <c r="N77" s="269">
        <f t="shared" si="85"/>
        <v>105314000</v>
      </c>
      <c r="O77" s="269">
        <f t="shared" si="85"/>
        <v>0</v>
      </c>
      <c r="P77" s="269">
        <f t="shared" si="85"/>
        <v>0</v>
      </c>
      <c r="Q77" s="269">
        <f t="shared" si="85"/>
        <v>0</v>
      </c>
      <c r="R77" s="269">
        <f t="shared" si="85"/>
        <v>23018000</v>
      </c>
      <c r="S77" s="270">
        <f t="shared" si="85"/>
        <v>296.54999999999995</v>
      </c>
      <c r="T77" s="270">
        <f t="shared" si="85"/>
        <v>630.20000000000005</v>
      </c>
      <c r="U77" s="270">
        <f t="shared" si="85"/>
        <v>26.25</v>
      </c>
      <c r="V77" s="270">
        <f t="shared" si="85"/>
        <v>0</v>
      </c>
      <c r="W77" s="270">
        <f t="shared" si="85"/>
        <v>54571699.999999993</v>
      </c>
      <c r="X77" s="270">
        <f t="shared" si="85"/>
        <v>113755050</v>
      </c>
      <c r="Y77" s="270">
        <f t="shared" si="85"/>
        <v>4331250</v>
      </c>
      <c r="Z77" s="270">
        <f t="shared" si="85"/>
        <v>0</v>
      </c>
      <c r="AA77" s="271">
        <f>SUM(AA64:AA76)</f>
        <v>81</v>
      </c>
      <c r="AB77" s="271">
        <f t="shared" ref="AB77:BL77" si="86">SUM(AB64:AB76)</f>
        <v>13797800</v>
      </c>
      <c r="AC77" s="271">
        <f t="shared" si="86"/>
        <v>23</v>
      </c>
      <c r="AD77" s="271">
        <f t="shared" si="86"/>
        <v>3834800</v>
      </c>
      <c r="AE77" s="271">
        <f t="shared" si="86"/>
        <v>55</v>
      </c>
      <c r="AF77" s="271">
        <f t="shared" si="86"/>
        <v>9414300</v>
      </c>
      <c r="AG77" s="271">
        <f t="shared" si="86"/>
        <v>59</v>
      </c>
      <c r="AH77" s="271">
        <f t="shared" si="86"/>
        <v>9826800</v>
      </c>
      <c r="AI77" s="271">
        <f t="shared" si="86"/>
        <v>33</v>
      </c>
      <c r="AJ77" s="271">
        <f t="shared" si="86"/>
        <v>5355000</v>
      </c>
      <c r="AK77" s="271">
        <f t="shared" si="86"/>
        <v>35</v>
      </c>
      <c r="AL77" s="271">
        <f t="shared" si="86"/>
        <v>6711000</v>
      </c>
      <c r="AM77" s="271">
        <f t="shared" si="86"/>
        <v>27</v>
      </c>
      <c r="AN77" s="271">
        <f t="shared" si="86"/>
        <v>6420000</v>
      </c>
      <c r="AO77" s="271">
        <f t="shared" si="86"/>
        <v>44</v>
      </c>
      <c r="AP77" s="271">
        <f t="shared" si="86"/>
        <v>12176000</v>
      </c>
      <c r="AQ77" s="271">
        <f t="shared" si="86"/>
        <v>24</v>
      </c>
      <c r="AR77" s="271">
        <f t="shared" si="86"/>
        <v>3631000</v>
      </c>
      <c r="AS77" s="271">
        <f t="shared" si="86"/>
        <v>99</v>
      </c>
      <c r="AT77" s="271">
        <f t="shared" si="86"/>
        <v>14181800</v>
      </c>
      <c r="AU77" s="271">
        <f t="shared" si="86"/>
        <v>55</v>
      </c>
      <c r="AV77" s="271">
        <f t="shared" si="86"/>
        <v>9401800</v>
      </c>
      <c r="AW77" s="271">
        <f t="shared" si="86"/>
        <v>48</v>
      </c>
      <c r="AX77" s="271">
        <f t="shared" si="86"/>
        <v>10471800</v>
      </c>
      <c r="AY77" s="271">
        <f t="shared" si="86"/>
        <v>48</v>
      </c>
      <c r="AZ77" s="271">
        <f t="shared" si="86"/>
        <v>8755000</v>
      </c>
      <c r="BA77" s="271">
        <f t="shared" si="86"/>
        <v>66</v>
      </c>
      <c r="BB77" s="271">
        <f t="shared" si="86"/>
        <v>11247800</v>
      </c>
      <c r="BC77" s="271">
        <f t="shared" si="86"/>
        <v>87</v>
      </c>
      <c r="BD77" s="271">
        <f t="shared" si="86"/>
        <v>14272000</v>
      </c>
      <c r="BE77" s="271">
        <f t="shared" si="86"/>
        <v>89</v>
      </c>
      <c r="BF77" s="271">
        <f t="shared" si="86"/>
        <v>19376800</v>
      </c>
      <c r="BG77" s="271">
        <f t="shared" si="86"/>
        <v>80</v>
      </c>
      <c r="BH77" s="271">
        <f t="shared" si="86"/>
        <v>13784300</v>
      </c>
      <c r="BI77" s="271">
        <f t="shared" si="86"/>
        <v>0</v>
      </c>
      <c r="BJ77" s="271">
        <f t="shared" si="86"/>
        <v>0</v>
      </c>
      <c r="BK77" s="271">
        <f t="shared" si="86"/>
        <v>953</v>
      </c>
      <c r="BL77" s="271">
        <f t="shared" si="86"/>
        <v>172658000</v>
      </c>
      <c r="BM77" s="320"/>
      <c r="BN77" s="709">
        <f t="shared" si="27"/>
        <v>172658000</v>
      </c>
      <c r="BO77" s="557">
        <f t="shared" ref="BO77:BW77" si="87">SUM(BO64:BO74)</f>
        <v>0</v>
      </c>
      <c r="BP77" s="557">
        <f t="shared" si="87"/>
        <v>0</v>
      </c>
      <c r="BQ77" s="557">
        <f t="shared" si="87"/>
        <v>172658000</v>
      </c>
      <c r="BR77" s="557">
        <f t="shared" si="87"/>
        <v>0</v>
      </c>
      <c r="BS77" s="557">
        <f t="shared" si="87"/>
        <v>172658000</v>
      </c>
      <c r="BT77" s="557">
        <f t="shared" si="87"/>
        <v>0</v>
      </c>
      <c r="BU77" s="557">
        <f t="shared" si="87"/>
        <v>0</v>
      </c>
      <c r="BV77" s="557">
        <f t="shared" si="87"/>
        <v>0</v>
      </c>
      <c r="BW77" s="557">
        <f t="shared" si="87"/>
        <v>172658000</v>
      </c>
    </row>
    <row r="78" spans="1:75" s="39" customFormat="1" ht="35.450000000000003" customHeight="1" x14ac:dyDescent="0.25">
      <c r="A78" s="874"/>
      <c r="B78" s="225"/>
      <c r="C78" s="38">
        <v>21340</v>
      </c>
      <c r="D78" s="216" t="s">
        <v>857</v>
      </c>
      <c r="E78" s="38"/>
      <c r="F78" s="235"/>
      <c r="G78" s="228">
        <f t="shared" si="84"/>
        <v>0</v>
      </c>
      <c r="H78" s="236">
        <f t="shared" ref="H78:H86" si="88">G78*F78</f>
        <v>0</v>
      </c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0"/>
      <c r="T78" s="230"/>
      <c r="U78" s="230"/>
      <c r="V78" s="230"/>
      <c r="W78" s="53"/>
      <c r="X78" s="53"/>
      <c r="Y78" s="53"/>
      <c r="Z78" s="53"/>
      <c r="AA78" s="230"/>
      <c r="AB78" s="227">
        <f t="shared" si="41"/>
        <v>0</v>
      </c>
      <c r="AC78" s="230"/>
      <c r="AD78" s="231">
        <f t="shared" si="45"/>
        <v>0</v>
      </c>
      <c r="AE78" s="230"/>
      <c r="AF78" s="53">
        <f t="shared" ref="AF78:AF129" si="89">AE78*F78</f>
        <v>0</v>
      </c>
      <c r="AG78" s="230"/>
      <c r="AH78" s="53">
        <f t="shared" ref="AH78:AH129" si="90">AG78*F78</f>
        <v>0</v>
      </c>
      <c r="AI78" s="230"/>
      <c r="AJ78" s="53">
        <f t="shared" ref="AJ78:AJ129" si="91">AI78*F78</f>
        <v>0</v>
      </c>
      <c r="AK78" s="230"/>
      <c r="AL78" s="53">
        <f t="shared" ref="AL78:AL129" si="92">AK78*F78</f>
        <v>0</v>
      </c>
      <c r="AM78" s="230"/>
      <c r="AN78" s="53">
        <f t="shared" ref="AN78:AN129" si="93">AM78*F78</f>
        <v>0</v>
      </c>
      <c r="AO78" s="230"/>
      <c r="AP78" s="53">
        <f t="shared" ref="AP78:AP129" si="94">AO78*F78</f>
        <v>0</v>
      </c>
      <c r="AQ78" s="230"/>
      <c r="AR78" s="53">
        <f t="shared" ref="AR78:AR129" si="95">AQ78*F78</f>
        <v>0</v>
      </c>
      <c r="AS78" s="230"/>
      <c r="AT78" s="53">
        <f t="shared" ref="AT78:AT129" si="96">AS78*F78</f>
        <v>0</v>
      </c>
      <c r="AU78" s="230"/>
      <c r="AV78" s="53">
        <f t="shared" ref="AV78:AV129" si="97">AU78*F78</f>
        <v>0</v>
      </c>
      <c r="AW78" s="230"/>
      <c r="AX78" s="53">
        <f t="shared" ref="AX78:AX129" si="98">AW78*F78</f>
        <v>0</v>
      </c>
      <c r="AY78" s="53"/>
      <c r="AZ78" s="53">
        <f t="shared" ref="AZ78:AZ129" si="99">AY78*F78</f>
        <v>0</v>
      </c>
      <c r="BA78" s="230"/>
      <c r="BB78" s="53">
        <f t="shared" ref="BB78:BB129" si="100">BA78*F78</f>
        <v>0</v>
      </c>
      <c r="BC78" s="230"/>
      <c r="BD78" s="53">
        <f t="shared" ref="BD78:BD129" si="101">BC78*F78</f>
        <v>0</v>
      </c>
      <c r="BE78" s="230"/>
      <c r="BF78" s="53">
        <f t="shared" ref="BF78:BF129" si="102">BE78*F78</f>
        <v>0</v>
      </c>
      <c r="BG78" s="230"/>
      <c r="BH78" s="53">
        <f t="shared" ref="BH78:BH129" si="103">BG78*F78</f>
        <v>0</v>
      </c>
      <c r="BI78" s="230"/>
      <c r="BJ78" s="53">
        <f t="shared" ref="BJ78:BJ129" si="104">BI78*F78</f>
        <v>0</v>
      </c>
      <c r="BK78" s="230">
        <f t="shared" si="46"/>
        <v>0</v>
      </c>
      <c r="BL78" s="53">
        <f t="shared" si="46"/>
        <v>0</v>
      </c>
      <c r="BM78" s="316"/>
      <c r="BN78" s="709">
        <f t="shared" si="27"/>
        <v>0</v>
      </c>
      <c r="BO78" s="236">
        <f>H78</f>
        <v>0</v>
      </c>
      <c r="BP78" s="113"/>
      <c r="BQ78" s="113"/>
      <c r="BR78" s="113"/>
      <c r="BS78" s="113">
        <f t="shared" si="61"/>
        <v>0</v>
      </c>
      <c r="BT78" s="113"/>
      <c r="BU78" s="113"/>
      <c r="BV78" s="113">
        <f>BT78+BU78</f>
        <v>0</v>
      </c>
      <c r="BW78" s="223">
        <f t="shared" ref="BW78:BW86" si="105">BS78+BV78</f>
        <v>0</v>
      </c>
    </row>
    <row r="79" spans="1:75" s="39" customFormat="1" x14ac:dyDescent="0.25">
      <c r="A79" s="874"/>
      <c r="B79" s="225"/>
      <c r="C79" s="38"/>
      <c r="D79" s="38" t="s">
        <v>623</v>
      </c>
      <c r="E79" s="38" t="s">
        <v>153</v>
      </c>
      <c r="F79" s="235">
        <v>6000</v>
      </c>
      <c r="G79" s="228">
        <f t="shared" si="84"/>
        <v>342</v>
      </c>
      <c r="H79" s="236">
        <f t="shared" si="88"/>
        <v>2052000</v>
      </c>
      <c r="I79" s="236">
        <f>H79*0.1</f>
        <v>205200</v>
      </c>
      <c r="J79" s="236">
        <f>H79*0.8</f>
        <v>1641600</v>
      </c>
      <c r="K79" s="236"/>
      <c r="L79" s="236"/>
      <c r="M79" s="236"/>
      <c r="N79" s="236"/>
      <c r="O79" s="236"/>
      <c r="P79" s="236"/>
      <c r="Q79" s="236">
        <f>0.1*H79</f>
        <v>205200</v>
      </c>
      <c r="R79" s="236"/>
      <c r="S79" s="231">
        <f t="shared" ref="S79:S86" si="106">G79*0.15</f>
        <v>51.3</v>
      </c>
      <c r="T79" s="231">
        <f t="shared" ref="T79:T86" si="107">G79*0.7</f>
        <v>239.39999999999998</v>
      </c>
      <c r="U79" s="231">
        <f t="shared" ref="U79:U86" si="108">G79:G79*0.15</f>
        <v>51.3</v>
      </c>
      <c r="V79" s="231"/>
      <c r="W79" s="227">
        <f>S79*F79</f>
        <v>307800</v>
      </c>
      <c r="X79" s="227">
        <f>T79*F79</f>
        <v>1436399.9999999998</v>
      </c>
      <c r="Y79" s="227">
        <f>U79*F79</f>
        <v>307800</v>
      </c>
      <c r="Z79" s="227">
        <f>V79*F79</f>
        <v>0</v>
      </c>
      <c r="AA79" s="230">
        <v>10</v>
      </c>
      <c r="AB79" s="227">
        <f t="shared" si="41"/>
        <v>60000</v>
      </c>
      <c r="AC79" s="230">
        <v>30</v>
      </c>
      <c r="AD79" s="231">
        <f t="shared" si="45"/>
        <v>180000</v>
      </c>
      <c r="AE79" s="230">
        <v>20</v>
      </c>
      <c r="AF79" s="53">
        <f t="shared" si="89"/>
        <v>120000</v>
      </c>
      <c r="AG79" s="230">
        <v>30</v>
      </c>
      <c r="AH79" s="53">
        <f t="shared" si="90"/>
        <v>180000</v>
      </c>
      <c r="AI79" s="230">
        <v>15</v>
      </c>
      <c r="AJ79" s="53">
        <f t="shared" si="91"/>
        <v>90000</v>
      </c>
      <c r="AK79" s="230">
        <v>10</v>
      </c>
      <c r="AL79" s="53">
        <f t="shared" si="92"/>
        <v>60000</v>
      </c>
      <c r="AM79" s="230">
        <v>40</v>
      </c>
      <c r="AN79" s="53">
        <f t="shared" si="93"/>
        <v>240000</v>
      </c>
      <c r="AO79" s="230">
        <v>30</v>
      </c>
      <c r="AP79" s="53">
        <f t="shared" si="94"/>
        <v>180000</v>
      </c>
      <c r="AQ79" s="230">
        <v>12</v>
      </c>
      <c r="AR79" s="53">
        <f t="shared" si="95"/>
        <v>72000</v>
      </c>
      <c r="AS79" s="230"/>
      <c r="AT79" s="53">
        <f t="shared" si="96"/>
        <v>0</v>
      </c>
      <c r="AU79" s="651">
        <v>15</v>
      </c>
      <c r="AV79" s="53">
        <f t="shared" si="97"/>
        <v>90000</v>
      </c>
      <c r="AW79" s="230">
        <v>15</v>
      </c>
      <c r="AX79" s="53">
        <f t="shared" si="98"/>
        <v>90000</v>
      </c>
      <c r="AY79" s="53">
        <v>15</v>
      </c>
      <c r="AZ79" s="53">
        <f t="shared" si="99"/>
        <v>90000</v>
      </c>
      <c r="BA79" s="230">
        <v>10</v>
      </c>
      <c r="BB79" s="53">
        <f t="shared" si="100"/>
        <v>60000</v>
      </c>
      <c r="BC79" s="230">
        <v>20</v>
      </c>
      <c r="BD79" s="53">
        <f t="shared" si="101"/>
        <v>120000</v>
      </c>
      <c r="BE79" s="230">
        <v>50</v>
      </c>
      <c r="BF79" s="53">
        <f t="shared" si="102"/>
        <v>300000</v>
      </c>
      <c r="BG79" s="651">
        <v>20</v>
      </c>
      <c r="BH79" s="53">
        <f t="shared" si="103"/>
        <v>120000</v>
      </c>
      <c r="BI79" s="230"/>
      <c r="BJ79" s="53">
        <f t="shared" si="104"/>
        <v>0</v>
      </c>
      <c r="BK79" s="230">
        <f t="shared" si="46"/>
        <v>342</v>
      </c>
      <c r="BL79" s="53">
        <f t="shared" si="46"/>
        <v>2052000</v>
      </c>
      <c r="BM79" s="315" t="s">
        <v>482</v>
      </c>
      <c r="BN79" s="709">
        <f t="shared" si="27"/>
        <v>2052000</v>
      </c>
      <c r="BO79" s="236"/>
      <c r="BP79" s="113"/>
      <c r="BQ79" s="113">
        <f t="shared" ref="BQ79:BQ86" si="109">H79</f>
        <v>2052000</v>
      </c>
      <c r="BR79" s="113"/>
      <c r="BS79" s="113">
        <f t="shared" si="61"/>
        <v>2052000</v>
      </c>
      <c r="BT79" s="113"/>
      <c r="BU79" s="113"/>
      <c r="BV79" s="113"/>
      <c r="BW79" s="223">
        <f t="shared" si="105"/>
        <v>2052000</v>
      </c>
    </row>
    <row r="80" spans="1:75" s="165" customFormat="1" ht="33" customHeight="1" x14ac:dyDescent="0.25">
      <c r="A80" s="874"/>
      <c r="B80" s="243"/>
      <c r="C80" s="171"/>
      <c r="D80" s="171" t="s">
        <v>638</v>
      </c>
      <c r="E80" s="171" t="s">
        <v>153</v>
      </c>
      <c r="F80" s="237">
        <v>9000</v>
      </c>
      <c r="G80" s="560">
        <f>BK80</f>
        <v>522</v>
      </c>
      <c r="H80" s="245">
        <f t="shared" si="88"/>
        <v>4698000</v>
      </c>
      <c r="I80" s="245">
        <f>H80*0.1</f>
        <v>469800</v>
      </c>
      <c r="J80" s="245">
        <f>H80*0.8</f>
        <v>3758400</v>
      </c>
      <c r="K80" s="245"/>
      <c r="L80" s="245"/>
      <c r="M80" s="245"/>
      <c r="N80" s="245"/>
      <c r="O80" s="245"/>
      <c r="P80" s="245"/>
      <c r="Q80" s="245">
        <f>0.1*H80</f>
        <v>469800</v>
      </c>
      <c r="R80" s="245"/>
      <c r="S80" s="561">
        <f t="shared" si="106"/>
        <v>78.3</v>
      </c>
      <c r="T80" s="561">
        <f t="shared" si="107"/>
        <v>365.4</v>
      </c>
      <c r="U80" s="561">
        <f t="shared" si="108"/>
        <v>78.3</v>
      </c>
      <c r="V80" s="561"/>
      <c r="W80" s="562">
        <f t="shared" ref="W80:W86" si="110">S80*F80</f>
        <v>704700</v>
      </c>
      <c r="X80" s="562">
        <f t="shared" ref="X80:X86" si="111">T80*F80</f>
        <v>3288600</v>
      </c>
      <c r="Y80" s="562">
        <f t="shared" ref="Y80:Y86" si="112">U80*F80</f>
        <v>704700</v>
      </c>
      <c r="Z80" s="562">
        <f t="shared" ref="Z80:Z86" si="113">V80*F80</f>
        <v>0</v>
      </c>
      <c r="AA80" s="638">
        <v>25</v>
      </c>
      <c r="AB80" s="562">
        <f>AA80*F80</f>
        <v>225000</v>
      </c>
      <c r="AC80" s="272">
        <v>40</v>
      </c>
      <c r="AD80" s="561">
        <f>AC80*F80</f>
        <v>360000</v>
      </c>
      <c r="AE80" s="272">
        <v>30</v>
      </c>
      <c r="AF80" s="563">
        <f>AE80*F80</f>
        <v>270000</v>
      </c>
      <c r="AG80" s="272">
        <v>25</v>
      </c>
      <c r="AH80" s="563">
        <f>AG80*F80</f>
        <v>225000</v>
      </c>
      <c r="AI80" s="272">
        <v>100</v>
      </c>
      <c r="AJ80" s="563">
        <f>AI80*F80</f>
        <v>900000</v>
      </c>
      <c r="AK80" s="272">
        <v>5</v>
      </c>
      <c r="AL80" s="563">
        <f>AK80*F80</f>
        <v>45000</v>
      </c>
      <c r="AM80" s="272">
        <v>40</v>
      </c>
      <c r="AN80" s="563">
        <f>AM80*F80</f>
        <v>360000</v>
      </c>
      <c r="AO80" s="272">
        <v>28</v>
      </c>
      <c r="AP80" s="563">
        <f>AO80*F80</f>
        <v>252000</v>
      </c>
      <c r="AQ80" s="272">
        <v>50</v>
      </c>
      <c r="AR80" s="563">
        <f>AQ80*F80</f>
        <v>450000</v>
      </c>
      <c r="AS80" s="638">
        <v>16</v>
      </c>
      <c r="AT80" s="563">
        <f>AS80*F80</f>
        <v>144000</v>
      </c>
      <c r="AU80" s="638">
        <v>21</v>
      </c>
      <c r="AV80" s="563">
        <f>AU80*F80</f>
        <v>189000</v>
      </c>
      <c r="AW80" s="272">
        <v>40</v>
      </c>
      <c r="AX80" s="563">
        <f>AW80*F80</f>
        <v>360000</v>
      </c>
      <c r="AY80" s="563">
        <v>25</v>
      </c>
      <c r="AZ80" s="563">
        <f>AY80*F80</f>
        <v>225000</v>
      </c>
      <c r="BA80" s="272">
        <v>10</v>
      </c>
      <c r="BB80" s="563">
        <f>BA80*F80</f>
        <v>90000</v>
      </c>
      <c r="BC80" s="272">
        <v>12</v>
      </c>
      <c r="BD80" s="563">
        <f>BC80*F80</f>
        <v>108000</v>
      </c>
      <c r="BE80" s="272">
        <v>50</v>
      </c>
      <c r="BF80" s="563">
        <f>BE80*F80</f>
        <v>450000</v>
      </c>
      <c r="BG80" s="272">
        <v>5</v>
      </c>
      <c r="BH80" s="563">
        <f>BG80*F80</f>
        <v>45000</v>
      </c>
      <c r="BI80" s="272"/>
      <c r="BJ80" s="563">
        <f>BI80*F80</f>
        <v>0</v>
      </c>
      <c r="BK80" s="272">
        <f>AA80+AC80+AE80+AG80+AI80+AK80+AM80+AO80+AQ80+AS80+AU80+AW80+AY80+BA80+BC80+BE80+BG80+BI80</f>
        <v>522</v>
      </c>
      <c r="BL80" s="563">
        <f>AB80+AD80+AF80+AH80+AJ80+AL80+AN80+AP80+AR80+AT80+AV80+AX80+AZ80+BB80+BD80+BF80+BH80+BJ80</f>
        <v>4698000</v>
      </c>
      <c r="BM80" s="566" t="s">
        <v>482</v>
      </c>
      <c r="BN80" s="709">
        <f t="shared" si="27"/>
        <v>4698000</v>
      </c>
      <c r="BO80" s="245"/>
      <c r="BP80" s="178"/>
      <c r="BQ80" s="178">
        <f t="shared" si="109"/>
        <v>4698000</v>
      </c>
      <c r="BR80" s="178"/>
      <c r="BS80" s="178">
        <f>BO80+BP80+BQ80+BR80</f>
        <v>4698000</v>
      </c>
      <c r="BT80" s="178"/>
      <c r="BU80" s="178"/>
      <c r="BV80" s="178"/>
      <c r="BW80" s="179">
        <f>BS80+BV80</f>
        <v>4698000</v>
      </c>
    </row>
    <row r="81" spans="1:83" s="165" customFormat="1" ht="18" customHeight="1" x14ac:dyDescent="0.25">
      <c r="A81" s="874"/>
      <c r="B81" s="243"/>
      <c r="C81" s="171"/>
      <c r="D81" s="171" t="s">
        <v>624</v>
      </c>
      <c r="E81" s="171" t="s">
        <v>153</v>
      </c>
      <c r="F81" s="237">
        <v>6000</v>
      </c>
      <c r="G81" s="560">
        <f t="shared" si="84"/>
        <v>270</v>
      </c>
      <c r="H81" s="245">
        <f t="shared" si="88"/>
        <v>1620000</v>
      </c>
      <c r="I81" s="245">
        <v>0</v>
      </c>
      <c r="J81" s="245">
        <v>0</v>
      </c>
      <c r="K81" s="245"/>
      <c r="L81" s="245"/>
      <c r="M81" s="245"/>
      <c r="N81" s="245"/>
      <c r="O81" s="245"/>
      <c r="P81" s="245"/>
      <c r="Q81" s="245">
        <v>0</v>
      </c>
      <c r="R81" s="245">
        <f>H81*1</f>
        <v>1620000</v>
      </c>
      <c r="S81" s="561">
        <f t="shared" si="106"/>
        <v>40.5</v>
      </c>
      <c r="T81" s="561">
        <f t="shared" si="107"/>
        <v>189</v>
      </c>
      <c r="U81" s="561">
        <f t="shared" si="108"/>
        <v>40.5</v>
      </c>
      <c r="V81" s="561"/>
      <c r="W81" s="562">
        <f t="shared" si="110"/>
        <v>243000</v>
      </c>
      <c r="X81" s="562">
        <f t="shared" si="111"/>
        <v>1134000</v>
      </c>
      <c r="Y81" s="562">
        <f t="shared" si="112"/>
        <v>243000</v>
      </c>
      <c r="Z81" s="562">
        <f t="shared" si="113"/>
        <v>0</v>
      </c>
      <c r="AA81" s="272">
        <v>50</v>
      </c>
      <c r="AB81" s="562">
        <f t="shared" si="41"/>
        <v>300000</v>
      </c>
      <c r="AC81" s="272">
        <v>5</v>
      </c>
      <c r="AD81" s="561">
        <f t="shared" si="45"/>
        <v>30000</v>
      </c>
      <c r="AE81" s="272">
        <v>20</v>
      </c>
      <c r="AF81" s="563">
        <f t="shared" si="89"/>
        <v>120000</v>
      </c>
      <c r="AG81" s="272">
        <v>50</v>
      </c>
      <c r="AH81" s="563">
        <f t="shared" si="90"/>
        <v>300000</v>
      </c>
      <c r="AI81" s="272">
        <v>10</v>
      </c>
      <c r="AJ81" s="563">
        <f t="shared" si="91"/>
        <v>60000</v>
      </c>
      <c r="AK81" s="272">
        <v>10</v>
      </c>
      <c r="AL81" s="563">
        <f t="shared" si="92"/>
        <v>60000</v>
      </c>
      <c r="AM81" s="272">
        <v>15</v>
      </c>
      <c r="AN81" s="563">
        <f t="shared" si="93"/>
        <v>90000</v>
      </c>
      <c r="AO81" s="272">
        <v>0</v>
      </c>
      <c r="AP81" s="563">
        <f t="shared" si="94"/>
        <v>0</v>
      </c>
      <c r="AQ81" s="272">
        <v>5</v>
      </c>
      <c r="AR81" s="563">
        <f t="shared" si="95"/>
        <v>30000</v>
      </c>
      <c r="AS81" s="638">
        <v>20</v>
      </c>
      <c r="AT81" s="563">
        <f t="shared" si="96"/>
        <v>120000</v>
      </c>
      <c r="AU81" s="272">
        <v>10</v>
      </c>
      <c r="AV81" s="563">
        <f t="shared" si="97"/>
        <v>60000</v>
      </c>
      <c r="AW81" s="272">
        <v>20</v>
      </c>
      <c r="AX81" s="563">
        <f t="shared" si="98"/>
        <v>120000</v>
      </c>
      <c r="AY81" s="563">
        <v>10</v>
      </c>
      <c r="AZ81" s="563">
        <f t="shared" si="99"/>
        <v>60000</v>
      </c>
      <c r="BA81" s="272">
        <v>10</v>
      </c>
      <c r="BB81" s="563">
        <f t="shared" si="100"/>
        <v>60000</v>
      </c>
      <c r="BC81" s="272">
        <v>15</v>
      </c>
      <c r="BD81" s="563">
        <f t="shared" si="101"/>
        <v>90000</v>
      </c>
      <c r="BE81" s="272">
        <v>10</v>
      </c>
      <c r="BF81" s="563">
        <f t="shared" si="102"/>
        <v>60000</v>
      </c>
      <c r="BG81" s="272">
        <v>10</v>
      </c>
      <c r="BH81" s="563">
        <f t="shared" si="103"/>
        <v>60000</v>
      </c>
      <c r="BI81" s="272"/>
      <c r="BJ81" s="563">
        <f t="shared" si="104"/>
        <v>0</v>
      </c>
      <c r="BK81" s="272">
        <f t="shared" si="46"/>
        <v>270</v>
      </c>
      <c r="BL81" s="563">
        <f t="shared" si="46"/>
        <v>1620000</v>
      </c>
      <c r="BM81" s="566" t="s">
        <v>731</v>
      </c>
      <c r="BN81" s="709">
        <f t="shared" si="27"/>
        <v>1620000</v>
      </c>
      <c r="BO81" s="245"/>
      <c r="BP81" s="178"/>
      <c r="BQ81" s="178">
        <f t="shared" si="109"/>
        <v>1620000</v>
      </c>
      <c r="BR81" s="178"/>
      <c r="BS81" s="178">
        <f t="shared" si="61"/>
        <v>1620000</v>
      </c>
      <c r="BT81" s="178"/>
      <c r="BU81" s="178"/>
      <c r="BV81" s="178"/>
      <c r="BW81" s="179">
        <f t="shared" si="105"/>
        <v>1620000</v>
      </c>
    </row>
    <row r="82" spans="1:83" s="165" customFormat="1" ht="33.6" customHeight="1" x14ac:dyDescent="0.25">
      <c r="A82" s="874"/>
      <c r="B82" s="243"/>
      <c r="C82" s="171"/>
      <c r="D82" s="171" t="s">
        <v>718</v>
      </c>
      <c r="E82" s="171" t="s">
        <v>153</v>
      </c>
      <c r="F82" s="237">
        <v>9000</v>
      </c>
      <c r="G82" s="560">
        <f t="shared" si="84"/>
        <v>70</v>
      </c>
      <c r="H82" s="245">
        <f t="shared" si="88"/>
        <v>630000</v>
      </c>
      <c r="I82" s="245">
        <v>0</v>
      </c>
      <c r="J82" s="245">
        <v>0</v>
      </c>
      <c r="K82" s="245"/>
      <c r="L82" s="245"/>
      <c r="M82" s="245"/>
      <c r="N82" s="245"/>
      <c r="O82" s="245"/>
      <c r="P82" s="245"/>
      <c r="Q82" s="245">
        <v>0</v>
      </c>
      <c r="R82" s="245">
        <f>H82*1</f>
        <v>630000</v>
      </c>
      <c r="S82" s="561">
        <f t="shared" si="106"/>
        <v>10.5</v>
      </c>
      <c r="T82" s="561">
        <f t="shared" si="107"/>
        <v>49</v>
      </c>
      <c r="U82" s="561">
        <f t="shared" si="108"/>
        <v>10.5</v>
      </c>
      <c r="V82" s="561"/>
      <c r="W82" s="562">
        <f t="shared" si="110"/>
        <v>94500</v>
      </c>
      <c r="X82" s="562">
        <f t="shared" si="111"/>
        <v>441000</v>
      </c>
      <c r="Y82" s="562">
        <f t="shared" si="112"/>
        <v>94500</v>
      </c>
      <c r="Z82" s="562">
        <f t="shared" si="113"/>
        <v>0</v>
      </c>
      <c r="AA82" s="272">
        <v>4</v>
      </c>
      <c r="AB82" s="562">
        <f t="shared" si="41"/>
        <v>36000</v>
      </c>
      <c r="AC82" s="272">
        <v>3</v>
      </c>
      <c r="AD82" s="561">
        <f t="shared" si="45"/>
        <v>27000</v>
      </c>
      <c r="AE82" s="272">
        <v>3</v>
      </c>
      <c r="AF82" s="563">
        <f t="shared" si="89"/>
        <v>27000</v>
      </c>
      <c r="AG82" s="272">
        <v>5</v>
      </c>
      <c r="AH82" s="563">
        <f t="shared" si="90"/>
        <v>45000</v>
      </c>
      <c r="AI82" s="272">
        <v>3</v>
      </c>
      <c r="AJ82" s="563">
        <f t="shared" si="91"/>
        <v>27000</v>
      </c>
      <c r="AK82" s="272">
        <v>4</v>
      </c>
      <c r="AL82" s="563">
        <f t="shared" si="92"/>
        <v>36000</v>
      </c>
      <c r="AM82" s="272">
        <v>9</v>
      </c>
      <c r="AN82" s="563">
        <f t="shared" si="93"/>
        <v>81000</v>
      </c>
      <c r="AO82" s="272">
        <v>5</v>
      </c>
      <c r="AP82" s="563">
        <f t="shared" si="94"/>
        <v>45000</v>
      </c>
      <c r="AQ82" s="272">
        <v>2</v>
      </c>
      <c r="AR82" s="563">
        <f t="shared" si="95"/>
        <v>18000</v>
      </c>
      <c r="AS82" s="272">
        <v>3</v>
      </c>
      <c r="AT82" s="563">
        <f t="shared" si="96"/>
        <v>27000</v>
      </c>
      <c r="AU82" s="272">
        <v>5</v>
      </c>
      <c r="AV82" s="563">
        <f t="shared" si="97"/>
        <v>45000</v>
      </c>
      <c r="AW82" s="272">
        <v>2</v>
      </c>
      <c r="AX82" s="563">
        <f t="shared" si="98"/>
        <v>18000</v>
      </c>
      <c r="AY82" s="563">
        <v>6</v>
      </c>
      <c r="AZ82" s="563">
        <f t="shared" si="99"/>
        <v>54000</v>
      </c>
      <c r="BA82" s="272">
        <v>3</v>
      </c>
      <c r="BB82" s="563">
        <f t="shared" si="100"/>
        <v>27000</v>
      </c>
      <c r="BC82" s="272">
        <v>1</v>
      </c>
      <c r="BD82" s="563">
        <f t="shared" si="101"/>
        <v>9000</v>
      </c>
      <c r="BE82" s="272">
        <v>5</v>
      </c>
      <c r="BF82" s="563">
        <f t="shared" si="102"/>
        <v>45000</v>
      </c>
      <c r="BG82" s="638">
        <v>7</v>
      </c>
      <c r="BH82" s="563">
        <f t="shared" si="103"/>
        <v>63000</v>
      </c>
      <c r="BI82" s="272"/>
      <c r="BJ82" s="563">
        <f t="shared" si="104"/>
        <v>0</v>
      </c>
      <c r="BK82" s="272">
        <f t="shared" si="46"/>
        <v>70</v>
      </c>
      <c r="BL82" s="563">
        <f t="shared" si="46"/>
        <v>630000</v>
      </c>
      <c r="BM82" s="566" t="s">
        <v>731</v>
      </c>
      <c r="BN82" s="709">
        <f t="shared" si="27"/>
        <v>630000</v>
      </c>
      <c r="BO82" s="245"/>
      <c r="BP82" s="178"/>
      <c r="BQ82" s="178">
        <f t="shared" si="109"/>
        <v>630000</v>
      </c>
      <c r="BR82" s="178"/>
      <c r="BS82" s="178">
        <f t="shared" si="61"/>
        <v>630000</v>
      </c>
      <c r="BT82" s="178"/>
      <c r="BU82" s="178"/>
      <c r="BV82" s="178"/>
      <c r="BW82" s="179">
        <f t="shared" si="105"/>
        <v>630000</v>
      </c>
    </row>
    <row r="83" spans="1:83" s="165" customFormat="1" ht="33.6" customHeight="1" x14ac:dyDescent="0.25">
      <c r="A83" s="874"/>
      <c r="B83" s="243"/>
      <c r="C83" s="171"/>
      <c r="D83" s="171" t="s">
        <v>802</v>
      </c>
      <c r="E83" s="171" t="s">
        <v>153</v>
      </c>
      <c r="F83" s="237">
        <v>6000</v>
      </c>
      <c r="G83" s="560">
        <f t="shared" si="84"/>
        <v>33</v>
      </c>
      <c r="H83" s="245">
        <f t="shared" si="88"/>
        <v>198000</v>
      </c>
      <c r="I83" s="245"/>
      <c r="J83" s="245"/>
      <c r="K83" s="245"/>
      <c r="L83" s="245"/>
      <c r="M83" s="245"/>
      <c r="N83" s="245"/>
      <c r="O83" s="245"/>
      <c r="P83" s="245"/>
      <c r="Q83" s="245"/>
      <c r="R83" s="245">
        <f>H83*1</f>
        <v>198000</v>
      </c>
      <c r="S83" s="561">
        <f t="shared" si="106"/>
        <v>4.95</v>
      </c>
      <c r="T83" s="561">
        <f t="shared" si="107"/>
        <v>23.099999999999998</v>
      </c>
      <c r="U83" s="561">
        <f t="shared" si="108"/>
        <v>4.95</v>
      </c>
      <c r="V83" s="561"/>
      <c r="W83" s="562">
        <f t="shared" si="110"/>
        <v>29700</v>
      </c>
      <c r="X83" s="562">
        <f t="shared" si="111"/>
        <v>138600</v>
      </c>
      <c r="Y83" s="562">
        <f t="shared" si="112"/>
        <v>29700</v>
      </c>
      <c r="Z83" s="562">
        <f t="shared" si="113"/>
        <v>0</v>
      </c>
      <c r="AA83" s="272">
        <v>3</v>
      </c>
      <c r="AB83" s="562">
        <f t="shared" si="41"/>
        <v>18000</v>
      </c>
      <c r="AC83" s="272">
        <v>2</v>
      </c>
      <c r="AD83" s="561">
        <f t="shared" si="45"/>
        <v>12000</v>
      </c>
      <c r="AE83" s="272">
        <v>4</v>
      </c>
      <c r="AF83" s="563">
        <f t="shared" si="89"/>
        <v>24000</v>
      </c>
      <c r="AG83" s="272">
        <v>4</v>
      </c>
      <c r="AH83" s="563">
        <f t="shared" si="90"/>
        <v>24000</v>
      </c>
      <c r="AI83" s="272">
        <v>1</v>
      </c>
      <c r="AJ83" s="563">
        <f t="shared" si="91"/>
        <v>6000</v>
      </c>
      <c r="AK83" s="272">
        <v>2</v>
      </c>
      <c r="AL83" s="563">
        <f t="shared" si="92"/>
        <v>12000</v>
      </c>
      <c r="AM83" s="272">
        <v>1</v>
      </c>
      <c r="AN83" s="563">
        <f t="shared" si="93"/>
        <v>6000</v>
      </c>
      <c r="AO83" s="272">
        <v>1</v>
      </c>
      <c r="AP83" s="563">
        <f t="shared" si="94"/>
        <v>6000</v>
      </c>
      <c r="AQ83" s="272">
        <v>1</v>
      </c>
      <c r="AR83" s="563">
        <f>AQ83*F83</f>
        <v>6000</v>
      </c>
      <c r="AS83" s="272">
        <v>2</v>
      </c>
      <c r="AT83" s="563">
        <f t="shared" si="96"/>
        <v>12000</v>
      </c>
      <c r="AU83" s="272">
        <v>1</v>
      </c>
      <c r="AV83" s="563">
        <f t="shared" si="97"/>
        <v>6000</v>
      </c>
      <c r="AW83" s="272">
        <v>1</v>
      </c>
      <c r="AX83" s="563">
        <f t="shared" si="98"/>
        <v>6000</v>
      </c>
      <c r="AY83" s="563">
        <v>1</v>
      </c>
      <c r="AZ83" s="563">
        <f t="shared" si="99"/>
        <v>6000</v>
      </c>
      <c r="BA83" s="272">
        <v>4</v>
      </c>
      <c r="BB83" s="563">
        <f t="shared" si="100"/>
        <v>24000</v>
      </c>
      <c r="BC83" s="272">
        <v>2</v>
      </c>
      <c r="BD83" s="563">
        <f t="shared" si="101"/>
        <v>12000</v>
      </c>
      <c r="BE83" s="272">
        <v>1</v>
      </c>
      <c r="BF83" s="563">
        <f t="shared" si="102"/>
        <v>6000</v>
      </c>
      <c r="BG83" s="272">
        <v>2</v>
      </c>
      <c r="BH83" s="563">
        <f t="shared" si="103"/>
        <v>12000</v>
      </c>
      <c r="BI83" s="272"/>
      <c r="BJ83" s="563">
        <f t="shared" si="104"/>
        <v>0</v>
      </c>
      <c r="BK83" s="272">
        <f t="shared" si="46"/>
        <v>33</v>
      </c>
      <c r="BL83" s="563">
        <f t="shared" si="46"/>
        <v>198000</v>
      </c>
      <c r="BM83" s="566" t="s">
        <v>731</v>
      </c>
      <c r="BN83" s="709">
        <f t="shared" si="27"/>
        <v>198000</v>
      </c>
      <c r="BO83" s="245"/>
      <c r="BP83" s="178"/>
      <c r="BQ83" s="178">
        <f t="shared" si="109"/>
        <v>198000</v>
      </c>
      <c r="BR83" s="178"/>
      <c r="BS83" s="178">
        <f t="shared" si="61"/>
        <v>198000</v>
      </c>
      <c r="BT83" s="178"/>
      <c r="BU83" s="178"/>
      <c r="BV83" s="178"/>
      <c r="BW83" s="179">
        <f t="shared" si="105"/>
        <v>198000</v>
      </c>
    </row>
    <row r="84" spans="1:83" s="165" customFormat="1" ht="33.6" customHeight="1" x14ac:dyDescent="0.25">
      <c r="A84" s="874"/>
      <c r="B84" s="243"/>
      <c r="C84" s="171"/>
      <c r="D84" s="171" t="s">
        <v>803</v>
      </c>
      <c r="E84" s="171" t="s">
        <v>153</v>
      </c>
      <c r="F84" s="237">
        <v>6000</v>
      </c>
      <c r="G84" s="560">
        <f t="shared" si="84"/>
        <v>10</v>
      </c>
      <c r="H84" s="245">
        <f t="shared" si="88"/>
        <v>60000</v>
      </c>
      <c r="I84" s="245"/>
      <c r="J84" s="245"/>
      <c r="K84" s="245"/>
      <c r="L84" s="245"/>
      <c r="M84" s="245"/>
      <c r="N84" s="245"/>
      <c r="O84" s="245"/>
      <c r="P84" s="245"/>
      <c r="Q84" s="245"/>
      <c r="R84" s="245">
        <f>H84*1</f>
        <v>60000</v>
      </c>
      <c r="S84" s="561">
        <f t="shared" si="106"/>
        <v>1.5</v>
      </c>
      <c r="T84" s="561">
        <f t="shared" si="107"/>
        <v>7</v>
      </c>
      <c r="U84" s="561">
        <f t="shared" si="108"/>
        <v>1.5</v>
      </c>
      <c r="V84" s="561"/>
      <c r="W84" s="562">
        <f t="shared" si="110"/>
        <v>9000</v>
      </c>
      <c r="X84" s="562">
        <f t="shared" si="111"/>
        <v>42000</v>
      </c>
      <c r="Y84" s="562">
        <f t="shared" si="112"/>
        <v>9000</v>
      </c>
      <c r="Z84" s="562">
        <f t="shared" si="113"/>
        <v>0</v>
      </c>
      <c r="AA84" s="272">
        <v>3</v>
      </c>
      <c r="AB84" s="562">
        <f t="shared" si="41"/>
        <v>18000</v>
      </c>
      <c r="AC84" s="272">
        <v>0</v>
      </c>
      <c r="AD84" s="561">
        <f t="shared" si="45"/>
        <v>0</v>
      </c>
      <c r="AE84" s="272">
        <v>3</v>
      </c>
      <c r="AF84" s="563">
        <f t="shared" si="89"/>
        <v>18000</v>
      </c>
      <c r="AG84" s="272">
        <v>0</v>
      </c>
      <c r="AH84" s="563">
        <f t="shared" si="90"/>
        <v>0</v>
      </c>
      <c r="AI84" s="272">
        <v>0</v>
      </c>
      <c r="AJ84" s="563">
        <f t="shared" si="91"/>
        <v>0</v>
      </c>
      <c r="AK84" s="272">
        <v>0</v>
      </c>
      <c r="AL84" s="563">
        <f t="shared" si="92"/>
        <v>0</v>
      </c>
      <c r="AM84" s="272">
        <v>0</v>
      </c>
      <c r="AN84" s="563">
        <f t="shared" si="93"/>
        <v>0</v>
      </c>
      <c r="AO84" s="272">
        <v>0</v>
      </c>
      <c r="AP84" s="563">
        <f t="shared" si="94"/>
        <v>0</v>
      </c>
      <c r="AQ84" s="272">
        <v>0</v>
      </c>
      <c r="AR84" s="563"/>
      <c r="AS84" s="272">
        <v>0</v>
      </c>
      <c r="AT84" s="563">
        <f t="shared" si="96"/>
        <v>0</v>
      </c>
      <c r="AU84" s="272">
        <v>0</v>
      </c>
      <c r="AV84" s="563">
        <f t="shared" si="97"/>
        <v>0</v>
      </c>
      <c r="AW84" s="272">
        <v>0</v>
      </c>
      <c r="AX84" s="563">
        <f t="shared" si="98"/>
        <v>0</v>
      </c>
      <c r="AY84" s="563">
        <v>0</v>
      </c>
      <c r="AZ84" s="563">
        <f t="shared" si="99"/>
        <v>0</v>
      </c>
      <c r="BA84" s="272">
        <v>0</v>
      </c>
      <c r="BB84" s="563">
        <f t="shared" si="100"/>
        <v>0</v>
      </c>
      <c r="BC84" s="272">
        <v>4</v>
      </c>
      <c r="BD84" s="563">
        <f t="shared" si="101"/>
        <v>24000</v>
      </c>
      <c r="BE84" s="272"/>
      <c r="BF84" s="563"/>
      <c r="BG84" s="272"/>
      <c r="BH84" s="563"/>
      <c r="BI84" s="272"/>
      <c r="BJ84" s="563">
        <f t="shared" si="104"/>
        <v>0</v>
      </c>
      <c r="BK84" s="272">
        <f t="shared" si="46"/>
        <v>10</v>
      </c>
      <c r="BL84" s="563">
        <f t="shared" si="46"/>
        <v>60000</v>
      </c>
      <c r="BM84" s="566" t="s">
        <v>731</v>
      </c>
      <c r="BN84" s="709">
        <f t="shared" ref="BN84:BN132" si="114">BJ84+BH84+BF84+BD84+BB84+AZ84+AX84+AV84+AT84+AR84+AP84+AN84+AL84+AJ84+AH84+AF84+AD84+AB84</f>
        <v>60000</v>
      </c>
      <c r="BO84" s="245"/>
      <c r="BP84" s="178"/>
      <c r="BQ84" s="178">
        <f t="shared" si="109"/>
        <v>60000</v>
      </c>
      <c r="BR84" s="178"/>
      <c r="BS84" s="178">
        <f t="shared" si="61"/>
        <v>60000</v>
      </c>
      <c r="BT84" s="178"/>
      <c r="BU84" s="178"/>
      <c r="BV84" s="178"/>
      <c r="BW84" s="179">
        <f t="shared" si="105"/>
        <v>60000</v>
      </c>
    </row>
    <row r="85" spans="1:83" s="165" customFormat="1" ht="33.6" customHeight="1" x14ac:dyDescent="0.25">
      <c r="A85" s="874"/>
      <c r="B85" s="243"/>
      <c r="C85" s="171"/>
      <c r="D85" s="171" t="s">
        <v>804</v>
      </c>
      <c r="E85" s="171" t="s">
        <v>153</v>
      </c>
      <c r="F85" s="237">
        <v>9000</v>
      </c>
      <c r="G85" s="560">
        <f t="shared" si="84"/>
        <v>50</v>
      </c>
      <c r="H85" s="245">
        <f t="shared" si="88"/>
        <v>450000</v>
      </c>
      <c r="I85" s="245"/>
      <c r="J85" s="245"/>
      <c r="K85" s="245"/>
      <c r="L85" s="245"/>
      <c r="M85" s="245"/>
      <c r="N85" s="245"/>
      <c r="O85" s="245"/>
      <c r="P85" s="245"/>
      <c r="Q85" s="245"/>
      <c r="R85" s="245">
        <f>H85*1</f>
        <v>450000</v>
      </c>
      <c r="S85" s="561">
        <f t="shared" si="106"/>
        <v>7.5</v>
      </c>
      <c r="T85" s="561">
        <f t="shared" si="107"/>
        <v>35</v>
      </c>
      <c r="U85" s="561">
        <f t="shared" si="108"/>
        <v>7.5</v>
      </c>
      <c r="V85" s="561"/>
      <c r="W85" s="562">
        <f t="shared" si="110"/>
        <v>67500</v>
      </c>
      <c r="X85" s="562">
        <f t="shared" si="111"/>
        <v>315000</v>
      </c>
      <c r="Y85" s="562">
        <f t="shared" si="112"/>
        <v>67500</v>
      </c>
      <c r="Z85" s="562">
        <f t="shared" si="113"/>
        <v>0</v>
      </c>
      <c r="AA85" s="272">
        <v>3</v>
      </c>
      <c r="AB85" s="562">
        <f t="shared" si="41"/>
        <v>27000</v>
      </c>
      <c r="AC85" s="272">
        <v>2</v>
      </c>
      <c r="AD85" s="561">
        <f t="shared" si="45"/>
        <v>18000</v>
      </c>
      <c r="AE85" s="272">
        <v>3</v>
      </c>
      <c r="AF85" s="563">
        <f t="shared" si="89"/>
        <v>27000</v>
      </c>
      <c r="AG85" s="272">
        <v>2</v>
      </c>
      <c r="AH85" s="563">
        <f t="shared" si="90"/>
        <v>18000</v>
      </c>
      <c r="AI85" s="272">
        <v>2</v>
      </c>
      <c r="AJ85" s="563">
        <f t="shared" si="91"/>
        <v>18000</v>
      </c>
      <c r="AK85" s="272">
        <v>3</v>
      </c>
      <c r="AL85" s="563">
        <f t="shared" si="92"/>
        <v>27000</v>
      </c>
      <c r="AM85" s="272">
        <v>2</v>
      </c>
      <c r="AN85" s="563">
        <f t="shared" si="93"/>
        <v>18000</v>
      </c>
      <c r="AO85" s="272">
        <v>3</v>
      </c>
      <c r="AP85" s="563">
        <f t="shared" si="94"/>
        <v>27000</v>
      </c>
      <c r="AQ85" s="272">
        <v>2</v>
      </c>
      <c r="AR85" s="563">
        <f>AQ85*F85</f>
        <v>18000</v>
      </c>
      <c r="AS85" s="272">
        <v>4</v>
      </c>
      <c r="AT85" s="563">
        <f t="shared" si="96"/>
        <v>36000</v>
      </c>
      <c r="AU85" s="272">
        <v>4</v>
      </c>
      <c r="AV85" s="563">
        <f t="shared" si="97"/>
        <v>36000</v>
      </c>
      <c r="AW85" s="272">
        <v>4</v>
      </c>
      <c r="AX85" s="563">
        <f t="shared" si="98"/>
        <v>36000</v>
      </c>
      <c r="AY85" s="563">
        <v>2</v>
      </c>
      <c r="AZ85" s="563">
        <f t="shared" si="99"/>
        <v>18000</v>
      </c>
      <c r="BA85" s="272">
        <v>4</v>
      </c>
      <c r="BB85" s="563">
        <f t="shared" si="100"/>
        <v>36000</v>
      </c>
      <c r="BC85" s="272">
        <v>4</v>
      </c>
      <c r="BD85" s="563">
        <f t="shared" si="101"/>
        <v>36000</v>
      </c>
      <c r="BE85" s="272">
        <v>2</v>
      </c>
      <c r="BF85" s="563">
        <f>BE85*F85</f>
        <v>18000</v>
      </c>
      <c r="BG85" s="272">
        <v>4</v>
      </c>
      <c r="BH85" s="563">
        <f>BG85*F85</f>
        <v>36000</v>
      </c>
      <c r="BI85" s="272"/>
      <c r="BJ85" s="563">
        <f t="shared" si="104"/>
        <v>0</v>
      </c>
      <c r="BK85" s="272">
        <f>AA85+AC85+AE85+AG85+AI85+AK85+AM85+AO85+AQ85+AS85+AU85+AW85+AY85+BA85+BC85+BE85+BG85+BI85</f>
        <v>50</v>
      </c>
      <c r="BL85" s="563">
        <f>AB85+AD85+AF85+AH85+AJ85+AL85+AN85+AP85+AR85+AT85+AV85+AX85+AZ85+BB85+BD85+BF85+BH85+BJ85</f>
        <v>450000</v>
      </c>
      <c r="BM85" s="566" t="s">
        <v>731</v>
      </c>
      <c r="BN85" s="709">
        <f t="shared" si="114"/>
        <v>450000</v>
      </c>
      <c r="BO85" s="245"/>
      <c r="BP85" s="178"/>
      <c r="BQ85" s="178">
        <f t="shared" si="109"/>
        <v>450000</v>
      </c>
      <c r="BR85" s="178"/>
      <c r="BS85" s="178">
        <f t="shared" si="61"/>
        <v>450000</v>
      </c>
      <c r="BT85" s="178"/>
      <c r="BU85" s="178"/>
      <c r="BV85" s="178"/>
      <c r="BW85" s="179">
        <f t="shared" si="105"/>
        <v>450000</v>
      </c>
    </row>
    <row r="86" spans="1:83" s="165" customFormat="1" ht="18" customHeight="1" x14ac:dyDescent="0.25">
      <c r="A86" s="874"/>
      <c r="B86" s="243"/>
      <c r="C86" s="171"/>
      <c r="D86" s="136" t="s">
        <v>635</v>
      </c>
      <c r="E86" s="171" t="s">
        <v>153</v>
      </c>
      <c r="F86" s="237">
        <v>6000</v>
      </c>
      <c r="G86" s="228">
        <f t="shared" si="84"/>
        <v>98</v>
      </c>
      <c r="H86" s="236">
        <f t="shared" si="88"/>
        <v>588000</v>
      </c>
      <c r="I86" s="245">
        <f>H86*0.1</f>
        <v>58800</v>
      </c>
      <c r="J86" s="245">
        <f>H86*0.8</f>
        <v>470400</v>
      </c>
      <c r="K86" s="245"/>
      <c r="L86" s="245"/>
      <c r="M86" s="245"/>
      <c r="N86" s="245"/>
      <c r="O86" s="245"/>
      <c r="P86" s="245"/>
      <c r="Q86" s="245">
        <f>0.1*H86</f>
        <v>58800</v>
      </c>
      <c r="R86" s="245"/>
      <c r="S86" s="231">
        <f t="shared" si="106"/>
        <v>14.7</v>
      </c>
      <c r="T86" s="231">
        <f t="shared" si="107"/>
        <v>68.599999999999994</v>
      </c>
      <c r="U86" s="231">
        <f t="shared" si="108"/>
        <v>14.7</v>
      </c>
      <c r="V86" s="231"/>
      <c r="W86" s="227">
        <f t="shared" si="110"/>
        <v>88200</v>
      </c>
      <c r="X86" s="227">
        <f t="shared" si="111"/>
        <v>411599.99999999994</v>
      </c>
      <c r="Y86" s="227">
        <f t="shared" si="112"/>
        <v>88200</v>
      </c>
      <c r="Z86" s="227">
        <f t="shared" si="113"/>
        <v>0</v>
      </c>
      <c r="AA86" s="272">
        <v>22</v>
      </c>
      <c r="AB86" s="227">
        <f t="shared" si="41"/>
        <v>132000</v>
      </c>
      <c r="AC86" s="272"/>
      <c r="AD86" s="231">
        <f t="shared" si="45"/>
        <v>0</v>
      </c>
      <c r="AE86" s="272">
        <v>10</v>
      </c>
      <c r="AF86" s="53">
        <f t="shared" si="89"/>
        <v>60000</v>
      </c>
      <c r="AG86" s="272">
        <v>20</v>
      </c>
      <c r="AH86" s="53">
        <f t="shared" si="90"/>
        <v>120000</v>
      </c>
      <c r="AI86" s="272">
        <v>20</v>
      </c>
      <c r="AJ86" s="53">
        <f t="shared" si="91"/>
        <v>120000</v>
      </c>
      <c r="AK86" s="272"/>
      <c r="AL86" s="53">
        <f t="shared" si="92"/>
        <v>0</v>
      </c>
      <c r="AM86" s="272">
        <v>0</v>
      </c>
      <c r="AN86" s="53">
        <f t="shared" si="93"/>
        <v>0</v>
      </c>
      <c r="AO86" s="272"/>
      <c r="AP86" s="53">
        <f t="shared" si="94"/>
        <v>0</v>
      </c>
      <c r="AQ86" s="272"/>
      <c r="AR86" s="53">
        <f t="shared" si="95"/>
        <v>0</v>
      </c>
      <c r="AS86" s="272">
        <v>14</v>
      </c>
      <c r="AT86" s="53">
        <f t="shared" si="96"/>
        <v>84000</v>
      </c>
      <c r="AU86" s="272"/>
      <c r="AV86" s="53">
        <f t="shared" si="97"/>
        <v>0</v>
      </c>
      <c r="AW86" s="272">
        <v>2</v>
      </c>
      <c r="AX86" s="53">
        <f t="shared" si="98"/>
        <v>12000</v>
      </c>
      <c r="AY86" s="53"/>
      <c r="AZ86" s="53">
        <f t="shared" si="99"/>
        <v>0</v>
      </c>
      <c r="BA86" s="272">
        <v>5</v>
      </c>
      <c r="BB86" s="53">
        <f t="shared" si="100"/>
        <v>30000</v>
      </c>
      <c r="BC86" s="272">
        <v>5</v>
      </c>
      <c r="BD86" s="53">
        <f t="shared" si="101"/>
        <v>30000</v>
      </c>
      <c r="BE86" s="230">
        <v>0</v>
      </c>
      <c r="BF86" s="53">
        <f t="shared" si="102"/>
        <v>0</v>
      </c>
      <c r="BG86" s="272">
        <v>0</v>
      </c>
      <c r="BH86" s="53">
        <f t="shared" si="103"/>
        <v>0</v>
      </c>
      <c r="BI86" s="272"/>
      <c r="BJ86" s="53">
        <f t="shared" si="104"/>
        <v>0</v>
      </c>
      <c r="BK86" s="230">
        <f t="shared" si="46"/>
        <v>98</v>
      </c>
      <c r="BL86" s="53">
        <f t="shared" si="46"/>
        <v>588000</v>
      </c>
      <c r="BM86" s="315" t="s">
        <v>482</v>
      </c>
      <c r="BN86" s="709">
        <f t="shared" si="114"/>
        <v>588000</v>
      </c>
      <c r="BO86" s="236"/>
      <c r="BP86" s="113"/>
      <c r="BQ86" s="113">
        <f t="shared" si="109"/>
        <v>588000</v>
      </c>
      <c r="BR86" s="113"/>
      <c r="BS86" s="113">
        <f t="shared" si="61"/>
        <v>588000</v>
      </c>
      <c r="BT86" s="113"/>
      <c r="BU86" s="113"/>
      <c r="BV86" s="113"/>
      <c r="BW86" s="223">
        <f t="shared" si="105"/>
        <v>588000</v>
      </c>
      <c r="BX86" s="39"/>
      <c r="BY86" s="39"/>
      <c r="BZ86" s="39"/>
      <c r="CA86" s="39"/>
      <c r="CB86" s="39"/>
      <c r="CC86" s="39"/>
      <c r="CD86" s="39"/>
      <c r="CE86" s="39"/>
    </row>
    <row r="87" spans="1:83" s="39" customFormat="1" ht="18" customHeight="1" x14ac:dyDescent="0.25">
      <c r="A87" s="874"/>
      <c r="B87" s="246"/>
      <c r="C87" s="247"/>
      <c r="D87" s="239" t="s">
        <v>3</v>
      </c>
      <c r="E87" s="247"/>
      <c r="F87" s="249"/>
      <c r="G87" s="241">
        <f t="shared" si="84"/>
        <v>1395</v>
      </c>
      <c r="H87" s="211">
        <f t="shared" ref="H87:BM87" si="115">SUM(H79:H86)</f>
        <v>10296000</v>
      </c>
      <c r="I87" s="249">
        <f>SUM(I79:I86)</f>
        <v>733800</v>
      </c>
      <c r="J87" s="249">
        <f t="shared" ref="J87:R87" si="116">SUM(J79:J86)</f>
        <v>5870400</v>
      </c>
      <c r="K87" s="249">
        <f t="shared" si="116"/>
        <v>0</v>
      </c>
      <c r="L87" s="249">
        <f t="shared" si="116"/>
        <v>0</v>
      </c>
      <c r="M87" s="249">
        <f t="shared" si="116"/>
        <v>0</v>
      </c>
      <c r="N87" s="249">
        <f t="shared" si="116"/>
        <v>0</v>
      </c>
      <c r="O87" s="249">
        <f t="shared" si="116"/>
        <v>0</v>
      </c>
      <c r="P87" s="249">
        <f t="shared" si="116"/>
        <v>0</v>
      </c>
      <c r="Q87" s="249">
        <f t="shared" si="116"/>
        <v>733800</v>
      </c>
      <c r="R87" s="249">
        <f t="shared" si="116"/>
        <v>2958000</v>
      </c>
      <c r="S87" s="250">
        <f t="shared" si="115"/>
        <v>209.24999999999997</v>
      </c>
      <c r="T87" s="250">
        <f t="shared" si="115"/>
        <v>976.5</v>
      </c>
      <c r="U87" s="250">
        <f t="shared" si="115"/>
        <v>209.24999999999997</v>
      </c>
      <c r="V87" s="250">
        <f t="shared" si="115"/>
        <v>0</v>
      </c>
      <c r="W87" s="250">
        <f t="shared" si="115"/>
        <v>1544400</v>
      </c>
      <c r="X87" s="250">
        <f t="shared" si="115"/>
        <v>7207200</v>
      </c>
      <c r="Y87" s="250">
        <f t="shared" si="115"/>
        <v>1544400</v>
      </c>
      <c r="Z87" s="250">
        <f t="shared" si="115"/>
        <v>0</v>
      </c>
      <c r="AA87" s="250">
        <f t="shared" si="115"/>
        <v>120</v>
      </c>
      <c r="AB87" s="250">
        <f t="shared" si="115"/>
        <v>816000</v>
      </c>
      <c r="AC87" s="250">
        <f t="shared" si="115"/>
        <v>82</v>
      </c>
      <c r="AD87" s="250">
        <f t="shared" si="115"/>
        <v>627000</v>
      </c>
      <c r="AE87" s="250">
        <f t="shared" si="115"/>
        <v>93</v>
      </c>
      <c r="AF87" s="250">
        <f t="shared" si="115"/>
        <v>666000</v>
      </c>
      <c r="AG87" s="250">
        <f t="shared" si="115"/>
        <v>136</v>
      </c>
      <c r="AH87" s="250">
        <f t="shared" si="115"/>
        <v>912000</v>
      </c>
      <c r="AI87" s="250">
        <f t="shared" si="115"/>
        <v>151</v>
      </c>
      <c r="AJ87" s="250">
        <f t="shared" si="115"/>
        <v>1221000</v>
      </c>
      <c r="AK87" s="250">
        <f t="shared" si="115"/>
        <v>34</v>
      </c>
      <c r="AL87" s="250">
        <f t="shared" si="115"/>
        <v>240000</v>
      </c>
      <c r="AM87" s="250">
        <f t="shared" si="115"/>
        <v>107</v>
      </c>
      <c r="AN87" s="250">
        <f t="shared" si="115"/>
        <v>795000</v>
      </c>
      <c r="AO87" s="250">
        <f t="shared" si="115"/>
        <v>67</v>
      </c>
      <c r="AP87" s="250">
        <f t="shared" si="115"/>
        <v>510000</v>
      </c>
      <c r="AQ87" s="250">
        <f t="shared" si="115"/>
        <v>72</v>
      </c>
      <c r="AR87" s="250">
        <f t="shared" si="115"/>
        <v>594000</v>
      </c>
      <c r="AS87" s="250">
        <f t="shared" si="115"/>
        <v>59</v>
      </c>
      <c r="AT87" s="250">
        <f t="shared" si="115"/>
        <v>423000</v>
      </c>
      <c r="AU87" s="250">
        <f t="shared" si="115"/>
        <v>56</v>
      </c>
      <c r="AV87" s="250">
        <f t="shared" si="115"/>
        <v>426000</v>
      </c>
      <c r="AW87" s="250">
        <f t="shared" si="115"/>
        <v>84</v>
      </c>
      <c r="AX87" s="250">
        <f t="shared" si="115"/>
        <v>642000</v>
      </c>
      <c r="AY87" s="250">
        <f t="shared" si="115"/>
        <v>59</v>
      </c>
      <c r="AZ87" s="250">
        <f t="shared" si="115"/>
        <v>453000</v>
      </c>
      <c r="BA87" s="250">
        <f t="shared" si="115"/>
        <v>46</v>
      </c>
      <c r="BB87" s="250">
        <f t="shared" si="115"/>
        <v>327000</v>
      </c>
      <c r="BC87" s="250">
        <f t="shared" si="115"/>
        <v>63</v>
      </c>
      <c r="BD87" s="250">
        <f t="shared" si="115"/>
        <v>429000</v>
      </c>
      <c r="BE87" s="250">
        <f t="shared" si="115"/>
        <v>118</v>
      </c>
      <c r="BF87" s="250">
        <f t="shared" si="115"/>
        <v>879000</v>
      </c>
      <c r="BG87" s="250">
        <f t="shared" si="115"/>
        <v>48</v>
      </c>
      <c r="BH87" s="250">
        <f t="shared" si="115"/>
        <v>336000</v>
      </c>
      <c r="BI87" s="250">
        <f t="shared" si="115"/>
        <v>0</v>
      </c>
      <c r="BJ87" s="250">
        <f t="shared" si="115"/>
        <v>0</v>
      </c>
      <c r="BK87" s="250">
        <f t="shared" si="115"/>
        <v>1395</v>
      </c>
      <c r="BL87" s="211">
        <f t="shared" si="115"/>
        <v>10296000</v>
      </c>
      <c r="BM87" s="309">
        <f t="shared" si="115"/>
        <v>0</v>
      </c>
      <c r="BN87" s="709">
        <f t="shared" si="114"/>
        <v>10296000</v>
      </c>
      <c r="BO87" s="211">
        <f t="shared" ref="BO87:BW87" si="117">SUM(BO79:BO86)</f>
        <v>0</v>
      </c>
      <c r="BP87" s="211">
        <f t="shared" si="117"/>
        <v>0</v>
      </c>
      <c r="BQ87" s="211">
        <f t="shared" si="117"/>
        <v>10296000</v>
      </c>
      <c r="BR87" s="211">
        <f t="shared" si="117"/>
        <v>0</v>
      </c>
      <c r="BS87" s="211">
        <f t="shared" si="117"/>
        <v>10296000</v>
      </c>
      <c r="BT87" s="211">
        <f t="shared" si="117"/>
        <v>0</v>
      </c>
      <c r="BU87" s="211">
        <f t="shared" si="117"/>
        <v>0</v>
      </c>
      <c r="BV87" s="211">
        <f t="shared" si="117"/>
        <v>0</v>
      </c>
      <c r="BW87" s="211">
        <f t="shared" si="117"/>
        <v>10296000</v>
      </c>
    </row>
    <row r="88" spans="1:83" s="275" customFormat="1" ht="18" customHeight="1" x14ac:dyDescent="0.25">
      <c r="A88" s="874"/>
      <c r="B88" s="225"/>
      <c r="C88" s="38">
        <v>21350</v>
      </c>
      <c r="D88" s="216" t="s">
        <v>155</v>
      </c>
      <c r="E88" s="38"/>
      <c r="F88" s="235"/>
      <c r="G88" s="228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73"/>
      <c r="T88" s="273"/>
      <c r="U88" s="273"/>
      <c r="V88" s="273"/>
      <c r="W88" s="76"/>
      <c r="X88" s="76"/>
      <c r="Y88" s="76"/>
      <c r="Z88" s="76"/>
      <c r="AA88" s="273"/>
      <c r="AB88" s="227">
        <f t="shared" si="41"/>
        <v>0</v>
      </c>
      <c r="AC88" s="273"/>
      <c r="AD88" s="231">
        <f t="shared" si="45"/>
        <v>0</v>
      </c>
      <c r="AE88" s="273"/>
      <c r="AF88" s="53">
        <f t="shared" si="89"/>
        <v>0</v>
      </c>
      <c r="AG88" s="273"/>
      <c r="AH88" s="53">
        <f t="shared" si="90"/>
        <v>0</v>
      </c>
      <c r="AI88" s="273"/>
      <c r="AJ88" s="53">
        <f t="shared" si="91"/>
        <v>0</v>
      </c>
      <c r="AK88" s="273"/>
      <c r="AL88" s="53">
        <f t="shared" si="92"/>
        <v>0</v>
      </c>
      <c r="AM88" s="273"/>
      <c r="AN88" s="53">
        <f t="shared" si="93"/>
        <v>0</v>
      </c>
      <c r="AO88" s="273"/>
      <c r="AP88" s="53">
        <f t="shared" si="94"/>
        <v>0</v>
      </c>
      <c r="AQ88" s="273"/>
      <c r="AR88" s="53">
        <f t="shared" si="95"/>
        <v>0</v>
      </c>
      <c r="AS88" s="273"/>
      <c r="AT88" s="53">
        <f t="shared" si="96"/>
        <v>0</v>
      </c>
      <c r="AU88" s="273"/>
      <c r="AV88" s="53">
        <f t="shared" si="97"/>
        <v>0</v>
      </c>
      <c r="AW88" s="273"/>
      <c r="AX88" s="53">
        <f t="shared" si="98"/>
        <v>0</v>
      </c>
      <c r="AY88" s="76"/>
      <c r="AZ88" s="53">
        <f t="shared" si="99"/>
        <v>0</v>
      </c>
      <c r="BA88" s="273"/>
      <c r="BB88" s="53">
        <f t="shared" si="100"/>
        <v>0</v>
      </c>
      <c r="BC88" s="273"/>
      <c r="BD88" s="53">
        <f t="shared" si="101"/>
        <v>0</v>
      </c>
      <c r="BE88" s="273"/>
      <c r="BF88" s="53">
        <f t="shared" si="102"/>
        <v>0</v>
      </c>
      <c r="BG88" s="273"/>
      <c r="BH88" s="53">
        <f t="shared" si="103"/>
        <v>0</v>
      </c>
      <c r="BI88" s="273"/>
      <c r="BJ88" s="53">
        <f t="shared" si="104"/>
        <v>0</v>
      </c>
      <c r="BK88" s="230"/>
      <c r="BL88" s="53"/>
      <c r="BM88" s="321"/>
      <c r="BN88" s="709">
        <f t="shared" si="114"/>
        <v>0</v>
      </c>
      <c r="BO88" s="236">
        <f>H88</f>
        <v>0</v>
      </c>
      <c r="BP88" s="276"/>
      <c r="BQ88" s="276"/>
      <c r="BR88" s="276"/>
      <c r="BS88" s="113">
        <f t="shared" si="61"/>
        <v>0</v>
      </c>
      <c r="BT88" s="276"/>
      <c r="BU88" s="276"/>
      <c r="BV88" s="113">
        <f>BT88+BU88</f>
        <v>0</v>
      </c>
      <c r="BW88" s="223">
        <f>BS88+BV88</f>
        <v>0</v>
      </c>
    </row>
    <row r="89" spans="1:83" s="279" customFormat="1" ht="18" customHeight="1" x14ac:dyDescent="0.25">
      <c r="A89" s="874"/>
      <c r="B89" s="243"/>
      <c r="C89" s="171"/>
      <c r="D89" s="171" t="s">
        <v>658</v>
      </c>
      <c r="E89" s="171" t="s">
        <v>153</v>
      </c>
      <c r="F89" s="237">
        <v>3000</v>
      </c>
      <c r="G89" s="560">
        <f t="shared" si="84"/>
        <v>50</v>
      </c>
      <c r="H89" s="245">
        <f t="shared" ref="H89:H108" si="118">G89*F89</f>
        <v>150000</v>
      </c>
      <c r="I89" s="245">
        <v>0</v>
      </c>
      <c r="J89" s="245">
        <v>0</v>
      </c>
      <c r="K89" s="245"/>
      <c r="L89" s="245"/>
      <c r="M89" s="245"/>
      <c r="N89" s="245"/>
      <c r="O89" s="245"/>
      <c r="P89" s="245"/>
      <c r="Q89" s="245">
        <v>0</v>
      </c>
      <c r="R89" s="245">
        <f>H89*1</f>
        <v>150000</v>
      </c>
      <c r="S89" s="561">
        <f>G89*0.15</f>
        <v>7.5</v>
      </c>
      <c r="T89" s="561">
        <f>G89*0.7</f>
        <v>35</v>
      </c>
      <c r="U89" s="561">
        <f>G89:G89*0.15</f>
        <v>7.5</v>
      </c>
      <c r="V89" s="278"/>
      <c r="W89" s="562">
        <f>S89*F89</f>
        <v>22500</v>
      </c>
      <c r="X89" s="562">
        <f>T89*F89</f>
        <v>105000</v>
      </c>
      <c r="Y89" s="562">
        <f>U89*F89</f>
        <v>22500</v>
      </c>
      <c r="Z89" s="562">
        <f>V89*F89</f>
        <v>0</v>
      </c>
      <c r="AA89" s="278">
        <v>14</v>
      </c>
      <c r="AB89" s="562">
        <f t="shared" si="41"/>
        <v>42000</v>
      </c>
      <c r="AC89" s="278"/>
      <c r="AD89" s="561">
        <f t="shared" si="45"/>
        <v>0</v>
      </c>
      <c r="AE89" s="278">
        <v>0</v>
      </c>
      <c r="AF89" s="563">
        <f t="shared" si="89"/>
        <v>0</v>
      </c>
      <c r="AG89" s="278">
        <v>0</v>
      </c>
      <c r="AH89" s="563">
        <f t="shared" si="90"/>
        <v>0</v>
      </c>
      <c r="AI89" s="278">
        <v>2</v>
      </c>
      <c r="AJ89" s="563">
        <f t="shared" si="91"/>
        <v>6000</v>
      </c>
      <c r="AK89" s="278">
        <v>0</v>
      </c>
      <c r="AL89" s="563">
        <f t="shared" si="92"/>
        <v>0</v>
      </c>
      <c r="AM89" s="278">
        <v>0</v>
      </c>
      <c r="AN89" s="563">
        <f t="shared" si="93"/>
        <v>0</v>
      </c>
      <c r="AO89" s="278">
        <v>0</v>
      </c>
      <c r="AP89" s="563">
        <f t="shared" si="94"/>
        <v>0</v>
      </c>
      <c r="AQ89" s="278">
        <v>0</v>
      </c>
      <c r="AR89" s="563">
        <f t="shared" si="95"/>
        <v>0</v>
      </c>
      <c r="AS89" s="278">
        <v>0</v>
      </c>
      <c r="AT89" s="563">
        <f t="shared" si="96"/>
        <v>0</v>
      </c>
      <c r="AU89" s="278">
        <v>0</v>
      </c>
      <c r="AV89" s="563">
        <f t="shared" si="97"/>
        <v>0</v>
      </c>
      <c r="AW89" s="278">
        <v>4</v>
      </c>
      <c r="AX89" s="563">
        <f t="shared" si="98"/>
        <v>12000</v>
      </c>
      <c r="AY89" s="280">
        <v>0</v>
      </c>
      <c r="AZ89" s="563">
        <f t="shared" si="99"/>
        <v>0</v>
      </c>
      <c r="BA89" s="278">
        <v>4</v>
      </c>
      <c r="BB89" s="563">
        <f t="shared" si="100"/>
        <v>12000</v>
      </c>
      <c r="BC89" s="278">
        <v>0</v>
      </c>
      <c r="BD89" s="563">
        <f t="shared" si="101"/>
        <v>0</v>
      </c>
      <c r="BE89" s="278">
        <v>0</v>
      </c>
      <c r="BF89" s="563">
        <f t="shared" si="102"/>
        <v>0</v>
      </c>
      <c r="BG89" s="278">
        <v>26</v>
      </c>
      <c r="BH89" s="563">
        <f t="shared" si="103"/>
        <v>78000</v>
      </c>
      <c r="BI89" s="278"/>
      <c r="BJ89" s="563">
        <f t="shared" si="104"/>
        <v>0</v>
      </c>
      <c r="BK89" s="272">
        <f t="shared" si="46"/>
        <v>50</v>
      </c>
      <c r="BL89" s="563">
        <f t="shared" si="46"/>
        <v>150000</v>
      </c>
      <c r="BM89" s="566" t="s">
        <v>731</v>
      </c>
      <c r="BN89" s="709">
        <f t="shared" si="114"/>
        <v>150000</v>
      </c>
      <c r="BO89" s="245"/>
      <c r="BP89" s="567"/>
      <c r="BQ89" s="567">
        <f>H89</f>
        <v>150000</v>
      </c>
      <c r="BR89" s="567"/>
      <c r="BS89" s="178">
        <f>BO89+BP89+BQ89+BR89</f>
        <v>150000</v>
      </c>
      <c r="BT89" s="567"/>
      <c r="BU89" s="567"/>
      <c r="BV89" s="178"/>
      <c r="BW89" s="179">
        <f>BS89+BT89+BU89+BV89</f>
        <v>150000</v>
      </c>
    </row>
    <row r="90" spans="1:83" s="279" customFormat="1" ht="18" customHeight="1" x14ac:dyDescent="0.25">
      <c r="A90" s="874"/>
      <c r="B90" s="243"/>
      <c r="C90" s="171"/>
      <c r="D90" s="171" t="s">
        <v>625</v>
      </c>
      <c r="E90" s="171" t="s">
        <v>153</v>
      </c>
      <c r="F90" s="237">
        <v>3000</v>
      </c>
      <c r="G90" s="560">
        <f t="shared" si="84"/>
        <v>355</v>
      </c>
      <c r="H90" s="245">
        <f t="shared" si="118"/>
        <v>1065000</v>
      </c>
      <c r="I90" s="245">
        <v>0</v>
      </c>
      <c r="J90" s="245">
        <v>0</v>
      </c>
      <c r="K90" s="245"/>
      <c r="L90" s="245"/>
      <c r="M90" s="245"/>
      <c r="N90" s="245"/>
      <c r="O90" s="245"/>
      <c r="P90" s="245"/>
      <c r="Q90" s="245">
        <v>0</v>
      </c>
      <c r="R90" s="245">
        <f>H90*1</f>
        <v>1065000</v>
      </c>
      <c r="S90" s="278"/>
      <c r="T90" s="278">
        <f>G90*0.2</f>
        <v>71</v>
      </c>
      <c r="U90" s="278">
        <f>G90*0.8</f>
        <v>284</v>
      </c>
      <c r="V90" s="278"/>
      <c r="W90" s="562">
        <f t="shared" ref="W90:W108" si="119">S90*F90</f>
        <v>0</v>
      </c>
      <c r="X90" s="562">
        <f t="shared" ref="X90:X108" si="120">T90*F90</f>
        <v>213000</v>
      </c>
      <c r="Y90" s="562">
        <f t="shared" ref="Y90:Y108" si="121">U90*F90</f>
        <v>852000</v>
      </c>
      <c r="Z90" s="562">
        <f t="shared" ref="Z90:Z108" si="122">V90*F90</f>
        <v>0</v>
      </c>
      <c r="AA90" s="278">
        <v>15</v>
      </c>
      <c r="AB90" s="562">
        <f t="shared" si="41"/>
        <v>45000</v>
      </c>
      <c r="AC90" s="278">
        <v>15</v>
      </c>
      <c r="AD90" s="561">
        <f t="shared" si="45"/>
        <v>45000</v>
      </c>
      <c r="AE90" s="278">
        <v>15</v>
      </c>
      <c r="AF90" s="563">
        <f t="shared" si="89"/>
        <v>45000</v>
      </c>
      <c r="AG90" s="278">
        <v>15</v>
      </c>
      <c r="AH90" s="563">
        <f t="shared" si="90"/>
        <v>45000</v>
      </c>
      <c r="AI90" s="278">
        <v>15</v>
      </c>
      <c r="AJ90" s="563">
        <f t="shared" si="91"/>
        <v>45000</v>
      </c>
      <c r="AK90" s="278">
        <v>25</v>
      </c>
      <c r="AL90" s="563">
        <f t="shared" si="92"/>
        <v>75000</v>
      </c>
      <c r="AM90" s="278">
        <v>15</v>
      </c>
      <c r="AN90" s="563">
        <f t="shared" si="93"/>
        <v>45000</v>
      </c>
      <c r="AO90" s="278">
        <v>10</v>
      </c>
      <c r="AP90" s="563">
        <f t="shared" si="94"/>
        <v>30000</v>
      </c>
      <c r="AQ90" s="278">
        <v>15</v>
      </c>
      <c r="AR90" s="563">
        <f t="shared" si="95"/>
        <v>45000</v>
      </c>
      <c r="AS90" s="278">
        <v>15</v>
      </c>
      <c r="AT90" s="563">
        <f t="shared" si="96"/>
        <v>45000</v>
      </c>
      <c r="AU90" s="278">
        <v>15</v>
      </c>
      <c r="AV90" s="563">
        <f t="shared" si="97"/>
        <v>45000</v>
      </c>
      <c r="AW90" s="278">
        <v>20</v>
      </c>
      <c r="AX90" s="563">
        <f t="shared" si="98"/>
        <v>60000</v>
      </c>
      <c r="AY90" s="280">
        <v>15</v>
      </c>
      <c r="AZ90" s="563">
        <f t="shared" si="99"/>
        <v>45000</v>
      </c>
      <c r="BA90" s="278">
        <v>20</v>
      </c>
      <c r="BB90" s="563">
        <f t="shared" si="100"/>
        <v>60000</v>
      </c>
      <c r="BC90" s="278">
        <v>20</v>
      </c>
      <c r="BD90" s="563">
        <f t="shared" si="101"/>
        <v>60000</v>
      </c>
      <c r="BE90" s="278">
        <v>30</v>
      </c>
      <c r="BF90" s="563">
        <f t="shared" si="102"/>
        <v>90000</v>
      </c>
      <c r="BG90" s="278">
        <v>80</v>
      </c>
      <c r="BH90" s="563">
        <f t="shared" si="103"/>
        <v>240000</v>
      </c>
      <c r="BI90" s="278"/>
      <c r="BJ90" s="563">
        <f t="shared" si="104"/>
        <v>0</v>
      </c>
      <c r="BK90" s="272">
        <f t="shared" si="46"/>
        <v>355</v>
      </c>
      <c r="BL90" s="563">
        <f t="shared" si="46"/>
        <v>1065000</v>
      </c>
      <c r="BM90" s="566" t="s">
        <v>731</v>
      </c>
      <c r="BN90" s="709">
        <f t="shared" si="114"/>
        <v>1065000</v>
      </c>
      <c r="BO90" s="245"/>
      <c r="BP90" s="567"/>
      <c r="BQ90" s="567">
        <f t="shared" ref="BQ90:BQ104" si="123">H90</f>
        <v>1065000</v>
      </c>
      <c r="BR90" s="567"/>
      <c r="BS90" s="178">
        <f t="shared" ref="BS90:BS104" si="124">BO90+BP90+BQ90+BR90</f>
        <v>1065000</v>
      </c>
      <c r="BT90" s="567"/>
      <c r="BU90" s="567"/>
      <c r="BV90" s="178"/>
      <c r="BW90" s="179">
        <f t="shared" ref="BW90:BW108" si="125">BS90+BT90+BU90+BV90</f>
        <v>1065000</v>
      </c>
    </row>
    <row r="91" spans="1:83" s="279" customFormat="1" ht="18" customHeight="1" x14ac:dyDescent="0.25">
      <c r="A91" s="874"/>
      <c r="B91" s="243"/>
      <c r="C91" s="171"/>
      <c r="D91" s="171" t="s">
        <v>621</v>
      </c>
      <c r="E91" s="171" t="s">
        <v>153</v>
      </c>
      <c r="F91" s="237">
        <v>10000</v>
      </c>
      <c r="G91" s="560">
        <f t="shared" si="84"/>
        <v>202</v>
      </c>
      <c r="H91" s="245">
        <f t="shared" si="118"/>
        <v>2020000</v>
      </c>
      <c r="I91" s="245">
        <f t="shared" ref="I91:I99" si="126">H91*0.1</f>
        <v>202000</v>
      </c>
      <c r="J91" s="245">
        <f t="shared" ref="J91:J99" si="127">H91*0.8</f>
        <v>1616000</v>
      </c>
      <c r="K91" s="245"/>
      <c r="L91" s="245"/>
      <c r="M91" s="245"/>
      <c r="N91" s="245"/>
      <c r="O91" s="245"/>
      <c r="P91" s="245"/>
      <c r="Q91" s="245">
        <f t="shared" ref="Q91:Q99" si="128">H91*0.1</f>
        <v>202000</v>
      </c>
      <c r="R91" s="245"/>
      <c r="S91" s="561">
        <f>G91*0.15</f>
        <v>30.299999999999997</v>
      </c>
      <c r="T91" s="561">
        <f>G91*0.7</f>
        <v>141.39999999999998</v>
      </c>
      <c r="U91" s="561">
        <f>G91:G91*0.15</f>
        <v>30.299999999999997</v>
      </c>
      <c r="V91" s="278"/>
      <c r="W91" s="562">
        <f t="shared" si="119"/>
        <v>303000</v>
      </c>
      <c r="X91" s="562">
        <f t="shared" si="120"/>
        <v>1413999.9999999998</v>
      </c>
      <c r="Y91" s="562">
        <f t="shared" si="121"/>
        <v>303000</v>
      </c>
      <c r="Z91" s="562">
        <f t="shared" si="122"/>
        <v>0</v>
      </c>
      <c r="AA91" s="278">
        <v>5</v>
      </c>
      <c r="AB91" s="562">
        <f t="shared" si="41"/>
        <v>50000</v>
      </c>
      <c r="AC91" s="644">
        <v>10</v>
      </c>
      <c r="AD91" s="561">
        <f t="shared" si="45"/>
        <v>100000</v>
      </c>
      <c r="AE91" s="278">
        <v>60</v>
      </c>
      <c r="AF91" s="563">
        <f t="shared" si="89"/>
        <v>600000</v>
      </c>
      <c r="AG91" s="278">
        <v>0</v>
      </c>
      <c r="AH91" s="563">
        <f t="shared" si="90"/>
        <v>0</v>
      </c>
      <c r="AI91" s="278">
        <v>12</v>
      </c>
      <c r="AJ91" s="563">
        <f t="shared" si="91"/>
        <v>120000</v>
      </c>
      <c r="AK91" s="278">
        <v>3</v>
      </c>
      <c r="AL91" s="563">
        <f t="shared" si="92"/>
        <v>30000</v>
      </c>
      <c r="AM91" s="278">
        <v>0</v>
      </c>
      <c r="AN91" s="563">
        <f t="shared" si="93"/>
        <v>0</v>
      </c>
      <c r="AO91" s="278">
        <v>5</v>
      </c>
      <c r="AP91" s="563">
        <f t="shared" si="94"/>
        <v>50000</v>
      </c>
      <c r="AQ91" s="278"/>
      <c r="AR91" s="563">
        <f t="shared" si="95"/>
        <v>0</v>
      </c>
      <c r="AS91" s="278">
        <v>10</v>
      </c>
      <c r="AT91" s="563">
        <f t="shared" si="96"/>
        <v>100000</v>
      </c>
      <c r="AU91" s="278">
        <v>5</v>
      </c>
      <c r="AV91" s="563">
        <f t="shared" si="97"/>
        <v>50000</v>
      </c>
      <c r="AW91" s="278">
        <v>5</v>
      </c>
      <c r="AX91" s="563">
        <f t="shared" si="98"/>
        <v>50000</v>
      </c>
      <c r="AY91" s="280">
        <v>50</v>
      </c>
      <c r="AZ91" s="563">
        <f t="shared" si="99"/>
        <v>500000</v>
      </c>
      <c r="BA91" s="278">
        <v>5</v>
      </c>
      <c r="BB91" s="563">
        <f t="shared" si="100"/>
        <v>50000</v>
      </c>
      <c r="BC91" s="278">
        <v>10</v>
      </c>
      <c r="BD91" s="563">
        <f t="shared" si="101"/>
        <v>100000</v>
      </c>
      <c r="BE91" s="278">
        <v>10</v>
      </c>
      <c r="BF91" s="563">
        <f t="shared" si="102"/>
        <v>100000</v>
      </c>
      <c r="BG91" s="644">
        <v>12</v>
      </c>
      <c r="BH91" s="563">
        <f t="shared" si="103"/>
        <v>120000</v>
      </c>
      <c r="BI91" s="278"/>
      <c r="BJ91" s="563">
        <f t="shared" si="104"/>
        <v>0</v>
      </c>
      <c r="BK91" s="272">
        <f t="shared" si="46"/>
        <v>202</v>
      </c>
      <c r="BL91" s="563">
        <f t="shared" si="46"/>
        <v>2020000</v>
      </c>
      <c r="BM91" s="566" t="s">
        <v>482</v>
      </c>
      <c r="BN91" s="709">
        <f t="shared" si="114"/>
        <v>2020000</v>
      </c>
      <c r="BO91" s="245"/>
      <c r="BP91" s="567"/>
      <c r="BQ91" s="567">
        <f t="shared" si="123"/>
        <v>2020000</v>
      </c>
      <c r="BR91" s="567"/>
      <c r="BS91" s="178">
        <f t="shared" si="124"/>
        <v>2020000</v>
      </c>
      <c r="BT91" s="567"/>
      <c r="BU91" s="567"/>
      <c r="BV91" s="178"/>
      <c r="BW91" s="179">
        <f t="shared" si="125"/>
        <v>2020000</v>
      </c>
    </row>
    <row r="92" spans="1:83" s="279" customFormat="1" ht="19.149999999999999" customHeight="1" x14ac:dyDescent="0.25">
      <c r="A92" s="874"/>
      <c r="B92" s="243"/>
      <c r="C92" s="171"/>
      <c r="D92" s="171" t="s">
        <v>626</v>
      </c>
      <c r="E92" s="171" t="s">
        <v>153</v>
      </c>
      <c r="F92" s="643">
        <v>4000</v>
      </c>
      <c r="G92" s="560">
        <f t="shared" si="84"/>
        <v>348</v>
      </c>
      <c r="H92" s="245">
        <f t="shared" si="118"/>
        <v>1392000</v>
      </c>
      <c r="I92" s="245">
        <f t="shared" si="126"/>
        <v>139200</v>
      </c>
      <c r="J92" s="245">
        <f t="shared" si="127"/>
        <v>1113600</v>
      </c>
      <c r="K92" s="245"/>
      <c r="L92" s="245"/>
      <c r="M92" s="245"/>
      <c r="N92" s="245"/>
      <c r="O92" s="245"/>
      <c r="P92" s="245"/>
      <c r="Q92" s="245">
        <f t="shared" si="128"/>
        <v>139200</v>
      </c>
      <c r="R92" s="245"/>
      <c r="S92" s="278"/>
      <c r="T92" s="278">
        <f>G92*0.2</f>
        <v>69.600000000000009</v>
      </c>
      <c r="U92" s="278">
        <f>G92*0.8</f>
        <v>278.40000000000003</v>
      </c>
      <c r="V92" s="278"/>
      <c r="W92" s="562">
        <f t="shared" si="119"/>
        <v>0</v>
      </c>
      <c r="X92" s="562">
        <f t="shared" si="120"/>
        <v>278400.00000000006</v>
      </c>
      <c r="Y92" s="562">
        <f t="shared" si="121"/>
        <v>1113600.0000000002</v>
      </c>
      <c r="Z92" s="562">
        <f t="shared" si="122"/>
        <v>0</v>
      </c>
      <c r="AA92" s="278">
        <v>1</v>
      </c>
      <c r="AB92" s="562">
        <f t="shared" si="41"/>
        <v>4000</v>
      </c>
      <c r="AC92" s="644">
        <v>20</v>
      </c>
      <c r="AD92" s="561">
        <f t="shared" si="45"/>
        <v>80000</v>
      </c>
      <c r="AE92" s="278">
        <v>8</v>
      </c>
      <c r="AF92" s="563">
        <f t="shared" si="89"/>
        <v>32000</v>
      </c>
      <c r="AG92" s="278">
        <v>50</v>
      </c>
      <c r="AH92" s="563">
        <f t="shared" si="90"/>
        <v>200000</v>
      </c>
      <c r="AI92" s="278">
        <v>60</v>
      </c>
      <c r="AJ92" s="563">
        <f t="shared" si="91"/>
        <v>240000</v>
      </c>
      <c r="AK92" s="278">
        <v>10</v>
      </c>
      <c r="AL92" s="563">
        <f t="shared" si="92"/>
        <v>40000</v>
      </c>
      <c r="AM92" s="278">
        <v>100</v>
      </c>
      <c r="AN92" s="563">
        <f t="shared" si="93"/>
        <v>400000</v>
      </c>
      <c r="AO92" s="278"/>
      <c r="AP92" s="563">
        <f t="shared" si="94"/>
        <v>0</v>
      </c>
      <c r="AQ92" s="278">
        <v>20</v>
      </c>
      <c r="AR92" s="563">
        <f t="shared" si="95"/>
        <v>80000</v>
      </c>
      <c r="AS92" s="278">
        <v>3</v>
      </c>
      <c r="AT92" s="563">
        <f t="shared" si="96"/>
        <v>12000</v>
      </c>
      <c r="AU92" s="278">
        <v>10</v>
      </c>
      <c r="AV92" s="563">
        <f t="shared" si="97"/>
        <v>40000</v>
      </c>
      <c r="AW92" s="278">
        <v>4</v>
      </c>
      <c r="AX92" s="563">
        <f t="shared" si="98"/>
        <v>16000</v>
      </c>
      <c r="AY92" s="280">
        <v>30</v>
      </c>
      <c r="AZ92" s="563">
        <f t="shared" si="99"/>
        <v>120000</v>
      </c>
      <c r="BA92" s="278">
        <v>5</v>
      </c>
      <c r="BB92" s="563">
        <f t="shared" si="100"/>
        <v>20000</v>
      </c>
      <c r="BC92" s="278">
        <v>5</v>
      </c>
      <c r="BD92" s="563">
        <f t="shared" si="101"/>
        <v>20000</v>
      </c>
      <c r="BE92" s="278">
        <v>10</v>
      </c>
      <c r="BF92" s="563">
        <f t="shared" si="102"/>
        <v>40000</v>
      </c>
      <c r="BG92" s="644">
        <v>12</v>
      </c>
      <c r="BH92" s="563">
        <f t="shared" si="103"/>
        <v>48000</v>
      </c>
      <c r="BI92" s="278"/>
      <c r="BJ92" s="563">
        <f t="shared" si="104"/>
        <v>0</v>
      </c>
      <c r="BK92" s="272">
        <f t="shared" si="46"/>
        <v>348</v>
      </c>
      <c r="BL92" s="563">
        <f t="shared" si="46"/>
        <v>1392000</v>
      </c>
      <c r="BM92" s="566" t="s">
        <v>482</v>
      </c>
      <c r="BN92" s="709">
        <f t="shared" si="114"/>
        <v>1392000</v>
      </c>
      <c r="BO92" s="245"/>
      <c r="BP92" s="567"/>
      <c r="BQ92" s="567">
        <f t="shared" si="123"/>
        <v>1392000</v>
      </c>
      <c r="BR92" s="567"/>
      <c r="BS92" s="178">
        <f t="shared" si="124"/>
        <v>1392000</v>
      </c>
      <c r="BT92" s="567"/>
      <c r="BU92" s="567"/>
      <c r="BV92" s="178"/>
      <c r="BW92" s="179">
        <f t="shared" si="125"/>
        <v>1392000</v>
      </c>
    </row>
    <row r="93" spans="1:83" s="279" customFormat="1" ht="18" customHeight="1" x14ac:dyDescent="0.25">
      <c r="A93" s="874"/>
      <c r="C93" s="171"/>
      <c r="D93" s="171" t="s">
        <v>627</v>
      </c>
      <c r="E93" s="171" t="s">
        <v>153</v>
      </c>
      <c r="F93" s="237">
        <v>9000</v>
      </c>
      <c r="G93" s="560">
        <f t="shared" si="84"/>
        <v>406</v>
      </c>
      <c r="H93" s="245">
        <f t="shared" si="118"/>
        <v>3654000</v>
      </c>
      <c r="I93" s="245">
        <f t="shared" si="126"/>
        <v>365400</v>
      </c>
      <c r="J93" s="245">
        <f t="shared" si="127"/>
        <v>2923200</v>
      </c>
      <c r="K93" s="245"/>
      <c r="L93" s="245"/>
      <c r="M93" s="245"/>
      <c r="N93" s="245"/>
      <c r="O93" s="245"/>
      <c r="P93" s="245"/>
      <c r="Q93" s="245">
        <f t="shared" si="128"/>
        <v>365400</v>
      </c>
      <c r="R93" s="245"/>
      <c r="S93" s="561">
        <f>G93*0.15</f>
        <v>60.9</v>
      </c>
      <c r="T93" s="561">
        <f>G93*0.85</f>
        <v>345.09999999999997</v>
      </c>
      <c r="U93" s="278"/>
      <c r="V93" s="278"/>
      <c r="W93" s="562">
        <f t="shared" si="119"/>
        <v>548100</v>
      </c>
      <c r="X93" s="562">
        <f t="shared" si="120"/>
        <v>3105899.9999999995</v>
      </c>
      <c r="Y93" s="562">
        <f t="shared" si="121"/>
        <v>0</v>
      </c>
      <c r="Z93" s="562">
        <f t="shared" si="122"/>
        <v>0</v>
      </c>
      <c r="AA93" s="644">
        <v>20</v>
      </c>
      <c r="AB93" s="562">
        <f t="shared" ref="AB93:AB129" si="129">AA93*F93</f>
        <v>180000</v>
      </c>
      <c r="AC93" s="644">
        <v>20</v>
      </c>
      <c r="AD93" s="561">
        <f t="shared" ref="AD93:AD129" si="130">AC93*F93</f>
        <v>180000</v>
      </c>
      <c r="AE93" s="278">
        <v>5</v>
      </c>
      <c r="AF93" s="563">
        <f t="shared" si="89"/>
        <v>45000</v>
      </c>
      <c r="AG93" s="278">
        <v>50</v>
      </c>
      <c r="AH93" s="563">
        <f t="shared" si="90"/>
        <v>450000</v>
      </c>
      <c r="AI93" s="278">
        <v>80</v>
      </c>
      <c r="AJ93" s="563">
        <f t="shared" si="91"/>
        <v>720000</v>
      </c>
      <c r="AK93" s="278">
        <v>5</v>
      </c>
      <c r="AL93" s="563">
        <f t="shared" si="92"/>
        <v>45000</v>
      </c>
      <c r="AM93" s="278">
        <v>75</v>
      </c>
      <c r="AN93" s="563">
        <f t="shared" si="93"/>
        <v>675000</v>
      </c>
      <c r="AO93" s="278">
        <v>0</v>
      </c>
      <c r="AP93" s="563">
        <f t="shared" si="94"/>
        <v>0</v>
      </c>
      <c r="AQ93" s="278">
        <v>9</v>
      </c>
      <c r="AR93" s="563">
        <f t="shared" si="95"/>
        <v>81000</v>
      </c>
      <c r="AS93" s="278">
        <v>21</v>
      </c>
      <c r="AT93" s="563">
        <f t="shared" si="96"/>
        <v>189000</v>
      </c>
      <c r="AU93" s="278">
        <v>0</v>
      </c>
      <c r="AV93" s="563">
        <f t="shared" si="97"/>
        <v>0</v>
      </c>
      <c r="AW93" s="278">
        <v>5</v>
      </c>
      <c r="AX93" s="563">
        <f t="shared" si="98"/>
        <v>45000</v>
      </c>
      <c r="AY93" s="280">
        <v>26</v>
      </c>
      <c r="AZ93" s="563">
        <f t="shared" si="99"/>
        <v>234000</v>
      </c>
      <c r="BA93" s="278">
        <v>10</v>
      </c>
      <c r="BB93" s="563">
        <f t="shared" si="100"/>
        <v>90000</v>
      </c>
      <c r="BC93" s="278">
        <v>10</v>
      </c>
      <c r="BD93" s="563">
        <f t="shared" si="101"/>
        <v>90000</v>
      </c>
      <c r="BE93" s="278">
        <v>50</v>
      </c>
      <c r="BF93" s="563">
        <f t="shared" si="102"/>
        <v>450000</v>
      </c>
      <c r="BG93" s="644">
        <v>20</v>
      </c>
      <c r="BH93" s="563">
        <f t="shared" si="103"/>
        <v>180000</v>
      </c>
      <c r="BI93" s="278"/>
      <c r="BJ93" s="563">
        <f t="shared" si="104"/>
        <v>0</v>
      </c>
      <c r="BK93" s="272">
        <f t="shared" si="46"/>
        <v>406</v>
      </c>
      <c r="BL93" s="563">
        <f t="shared" si="46"/>
        <v>3654000</v>
      </c>
      <c r="BM93" s="566" t="s">
        <v>482</v>
      </c>
      <c r="BN93" s="709">
        <f t="shared" si="114"/>
        <v>3654000</v>
      </c>
      <c r="BO93" s="245"/>
      <c r="BP93" s="567"/>
      <c r="BQ93" s="567">
        <f t="shared" si="123"/>
        <v>3654000</v>
      </c>
      <c r="BR93" s="567"/>
      <c r="BS93" s="178">
        <f t="shared" si="124"/>
        <v>3654000</v>
      </c>
      <c r="BT93" s="567"/>
      <c r="BU93" s="567"/>
      <c r="BV93" s="178"/>
      <c r="BW93" s="179">
        <f t="shared" si="125"/>
        <v>3654000</v>
      </c>
    </row>
    <row r="94" spans="1:83" s="279" customFormat="1" ht="18" customHeight="1" x14ac:dyDescent="0.25">
      <c r="A94" s="874"/>
      <c r="B94" s="243"/>
      <c r="C94" s="171"/>
      <c r="D94" s="171" t="s">
        <v>628</v>
      </c>
      <c r="E94" s="171" t="s">
        <v>153</v>
      </c>
      <c r="F94" s="237">
        <v>9000</v>
      </c>
      <c r="G94" s="560">
        <f t="shared" si="84"/>
        <v>294</v>
      </c>
      <c r="H94" s="245">
        <f t="shared" si="118"/>
        <v>2646000</v>
      </c>
      <c r="I94" s="245">
        <f t="shared" si="126"/>
        <v>264600</v>
      </c>
      <c r="J94" s="245">
        <f t="shared" si="127"/>
        <v>2116800</v>
      </c>
      <c r="K94" s="245"/>
      <c r="L94" s="245"/>
      <c r="M94" s="245"/>
      <c r="N94" s="245"/>
      <c r="O94" s="245"/>
      <c r="P94" s="245"/>
      <c r="Q94" s="245">
        <f t="shared" si="128"/>
        <v>264600</v>
      </c>
      <c r="R94" s="245"/>
      <c r="S94" s="278"/>
      <c r="T94" s="278">
        <f>G94*0.6</f>
        <v>176.4</v>
      </c>
      <c r="U94" s="278">
        <f>G94*0.4</f>
        <v>117.60000000000001</v>
      </c>
      <c r="V94" s="278"/>
      <c r="W94" s="562">
        <f t="shared" si="119"/>
        <v>0</v>
      </c>
      <c r="X94" s="562">
        <f t="shared" si="120"/>
        <v>1587600</v>
      </c>
      <c r="Y94" s="562">
        <f t="shared" si="121"/>
        <v>1058400</v>
      </c>
      <c r="Z94" s="562">
        <f t="shared" si="122"/>
        <v>0</v>
      </c>
      <c r="AA94" s="278">
        <v>10</v>
      </c>
      <c r="AB94" s="562">
        <f t="shared" si="129"/>
        <v>90000</v>
      </c>
      <c r="AC94" s="644">
        <v>6</v>
      </c>
      <c r="AD94" s="561">
        <f t="shared" si="130"/>
        <v>54000</v>
      </c>
      <c r="AE94" s="278">
        <v>40</v>
      </c>
      <c r="AF94" s="563">
        <f t="shared" si="89"/>
        <v>360000</v>
      </c>
      <c r="AG94" s="278">
        <v>10</v>
      </c>
      <c r="AH94" s="563">
        <f t="shared" si="90"/>
        <v>90000</v>
      </c>
      <c r="AI94" s="278">
        <v>50</v>
      </c>
      <c r="AJ94" s="563">
        <f t="shared" si="91"/>
        <v>450000</v>
      </c>
      <c r="AK94" s="278">
        <v>4</v>
      </c>
      <c r="AL94" s="563">
        <f t="shared" si="92"/>
        <v>36000</v>
      </c>
      <c r="AM94" s="278">
        <v>0</v>
      </c>
      <c r="AN94" s="563">
        <f t="shared" si="93"/>
        <v>0</v>
      </c>
      <c r="AO94" s="278">
        <v>5</v>
      </c>
      <c r="AP94" s="563">
        <f t="shared" si="94"/>
        <v>45000</v>
      </c>
      <c r="AQ94" s="278"/>
      <c r="AR94" s="563">
        <f t="shared" si="95"/>
        <v>0</v>
      </c>
      <c r="AS94" s="278">
        <v>20</v>
      </c>
      <c r="AT94" s="563">
        <f t="shared" si="96"/>
        <v>180000</v>
      </c>
      <c r="AU94" s="278">
        <v>48</v>
      </c>
      <c r="AV94" s="563">
        <f t="shared" si="97"/>
        <v>432000</v>
      </c>
      <c r="AW94" s="278">
        <v>50</v>
      </c>
      <c r="AX94" s="563">
        <f t="shared" si="98"/>
        <v>450000</v>
      </c>
      <c r="AY94" s="280">
        <v>20</v>
      </c>
      <c r="AZ94" s="563">
        <f t="shared" si="99"/>
        <v>180000</v>
      </c>
      <c r="BA94" s="278">
        <v>10</v>
      </c>
      <c r="BB94" s="563">
        <f t="shared" si="100"/>
        <v>90000</v>
      </c>
      <c r="BC94" s="278">
        <v>10</v>
      </c>
      <c r="BD94" s="563">
        <f t="shared" si="101"/>
        <v>90000</v>
      </c>
      <c r="BE94" s="278">
        <v>10</v>
      </c>
      <c r="BF94" s="563">
        <f t="shared" si="102"/>
        <v>90000</v>
      </c>
      <c r="BG94" s="278">
        <v>1</v>
      </c>
      <c r="BH94" s="563">
        <f t="shared" si="103"/>
        <v>9000</v>
      </c>
      <c r="BI94" s="278"/>
      <c r="BJ94" s="563">
        <f t="shared" si="104"/>
        <v>0</v>
      </c>
      <c r="BK94" s="272">
        <f t="shared" si="46"/>
        <v>294</v>
      </c>
      <c r="BL94" s="563">
        <f t="shared" si="46"/>
        <v>2646000</v>
      </c>
      <c r="BM94" s="566" t="s">
        <v>482</v>
      </c>
      <c r="BN94" s="709">
        <f t="shared" si="114"/>
        <v>2646000</v>
      </c>
      <c r="BO94" s="245"/>
      <c r="BP94" s="567"/>
      <c r="BQ94" s="567">
        <f t="shared" si="123"/>
        <v>2646000</v>
      </c>
      <c r="BR94" s="567"/>
      <c r="BS94" s="178">
        <f t="shared" si="124"/>
        <v>2646000</v>
      </c>
      <c r="BT94" s="567"/>
      <c r="BU94" s="567"/>
      <c r="BV94" s="178"/>
      <c r="BW94" s="179">
        <f t="shared" si="125"/>
        <v>2646000</v>
      </c>
    </row>
    <row r="95" spans="1:83" s="279" customFormat="1" ht="18" customHeight="1" x14ac:dyDescent="0.25">
      <c r="A95" s="874"/>
      <c r="B95" s="243"/>
      <c r="C95" s="171"/>
      <c r="D95" s="171" t="s">
        <v>629</v>
      </c>
      <c r="E95" s="171" t="s">
        <v>153</v>
      </c>
      <c r="F95" s="237">
        <v>9000</v>
      </c>
      <c r="G95" s="560">
        <f t="shared" si="84"/>
        <v>128</v>
      </c>
      <c r="H95" s="245">
        <f t="shared" si="118"/>
        <v>1152000</v>
      </c>
      <c r="I95" s="245">
        <f t="shared" si="126"/>
        <v>115200</v>
      </c>
      <c r="J95" s="245">
        <f t="shared" si="127"/>
        <v>921600</v>
      </c>
      <c r="K95" s="245"/>
      <c r="L95" s="245"/>
      <c r="M95" s="245"/>
      <c r="N95" s="245"/>
      <c r="O95" s="245"/>
      <c r="P95" s="245"/>
      <c r="Q95" s="245">
        <f t="shared" si="128"/>
        <v>115200</v>
      </c>
      <c r="R95" s="245"/>
      <c r="S95" s="278"/>
      <c r="T95" s="278">
        <f>G95*0.6</f>
        <v>76.8</v>
      </c>
      <c r="U95" s="278">
        <f>G95*0.4</f>
        <v>51.2</v>
      </c>
      <c r="V95" s="278"/>
      <c r="W95" s="562">
        <f t="shared" si="119"/>
        <v>0</v>
      </c>
      <c r="X95" s="562">
        <f t="shared" si="120"/>
        <v>691200</v>
      </c>
      <c r="Y95" s="562">
        <f t="shared" si="121"/>
        <v>460800</v>
      </c>
      <c r="Z95" s="562">
        <f t="shared" si="122"/>
        <v>0</v>
      </c>
      <c r="AA95" s="278">
        <v>10</v>
      </c>
      <c r="AB95" s="562">
        <f t="shared" si="129"/>
        <v>90000</v>
      </c>
      <c r="AC95" s="644">
        <v>6</v>
      </c>
      <c r="AD95" s="561">
        <f t="shared" si="130"/>
        <v>54000</v>
      </c>
      <c r="AE95" s="278"/>
      <c r="AF95" s="563">
        <f t="shared" si="89"/>
        <v>0</v>
      </c>
      <c r="AG95" s="278">
        <v>10</v>
      </c>
      <c r="AH95" s="563">
        <f t="shared" si="90"/>
        <v>90000</v>
      </c>
      <c r="AI95" s="278">
        <v>24</v>
      </c>
      <c r="AJ95" s="563">
        <f t="shared" si="91"/>
        <v>216000</v>
      </c>
      <c r="AK95" s="278">
        <v>5</v>
      </c>
      <c r="AL95" s="563">
        <f t="shared" si="92"/>
        <v>45000</v>
      </c>
      <c r="AM95" s="278">
        <v>0</v>
      </c>
      <c r="AN95" s="563">
        <f t="shared" si="93"/>
        <v>0</v>
      </c>
      <c r="AO95" s="278">
        <v>5</v>
      </c>
      <c r="AP95" s="563">
        <f t="shared" si="94"/>
        <v>45000</v>
      </c>
      <c r="AQ95" s="278"/>
      <c r="AR95" s="563">
        <f t="shared" si="95"/>
        <v>0</v>
      </c>
      <c r="AS95" s="278">
        <v>10</v>
      </c>
      <c r="AT95" s="563">
        <f t="shared" si="96"/>
        <v>90000</v>
      </c>
      <c r="AU95" s="278">
        <v>16</v>
      </c>
      <c r="AV95" s="563">
        <f t="shared" si="97"/>
        <v>144000</v>
      </c>
      <c r="AW95" s="278">
        <v>2</v>
      </c>
      <c r="AX95" s="563">
        <f t="shared" si="98"/>
        <v>18000</v>
      </c>
      <c r="AY95" s="280">
        <v>20</v>
      </c>
      <c r="AZ95" s="563">
        <f t="shared" si="99"/>
        <v>180000</v>
      </c>
      <c r="BA95" s="278"/>
      <c r="BB95" s="563">
        <f t="shared" si="100"/>
        <v>0</v>
      </c>
      <c r="BC95" s="278">
        <v>10</v>
      </c>
      <c r="BD95" s="563">
        <f t="shared" si="101"/>
        <v>90000</v>
      </c>
      <c r="BE95" s="278">
        <v>10</v>
      </c>
      <c r="BF95" s="563">
        <f t="shared" si="102"/>
        <v>90000</v>
      </c>
      <c r="BG95" s="278">
        <v>0</v>
      </c>
      <c r="BH95" s="563">
        <f t="shared" si="103"/>
        <v>0</v>
      </c>
      <c r="BI95" s="278"/>
      <c r="BJ95" s="563">
        <f t="shared" si="104"/>
        <v>0</v>
      </c>
      <c r="BK95" s="272">
        <f t="shared" si="46"/>
        <v>128</v>
      </c>
      <c r="BL95" s="563">
        <f t="shared" si="46"/>
        <v>1152000</v>
      </c>
      <c r="BM95" s="566" t="s">
        <v>482</v>
      </c>
      <c r="BN95" s="709">
        <f t="shared" si="114"/>
        <v>1152000</v>
      </c>
      <c r="BO95" s="245"/>
      <c r="BP95" s="567"/>
      <c r="BQ95" s="567">
        <f t="shared" si="123"/>
        <v>1152000</v>
      </c>
      <c r="BR95" s="567"/>
      <c r="BS95" s="178">
        <f t="shared" si="124"/>
        <v>1152000</v>
      </c>
      <c r="BT95" s="567"/>
      <c r="BU95" s="567"/>
      <c r="BV95" s="178"/>
      <c r="BW95" s="179">
        <f t="shared" si="125"/>
        <v>1152000</v>
      </c>
    </row>
    <row r="96" spans="1:83" s="279" customFormat="1" ht="17.25" customHeight="1" x14ac:dyDescent="0.25">
      <c r="A96" s="874"/>
      <c r="B96" s="243"/>
      <c r="C96" s="171"/>
      <c r="D96" s="133" t="s">
        <v>637</v>
      </c>
      <c r="E96" s="171" t="s">
        <v>153</v>
      </c>
      <c r="F96" s="237">
        <v>9000</v>
      </c>
      <c r="G96" s="560">
        <f t="shared" si="84"/>
        <v>96</v>
      </c>
      <c r="H96" s="245">
        <f t="shared" si="118"/>
        <v>864000</v>
      </c>
      <c r="I96" s="245">
        <f t="shared" si="126"/>
        <v>86400</v>
      </c>
      <c r="J96" s="245">
        <f t="shared" si="127"/>
        <v>691200</v>
      </c>
      <c r="K96" s="245"/>
      <c r="L96" s="245"/>
      <c r="M96" s="245"/>
      <c r="N96" s="245"/>
      <c r="O96" s="245"/>
      <c r="P96" s="245"/>
      <c r="Q96" s="245">
        <f t="shared" si="128"/>
        <v>86400</v>
      </c>
      <c r="R96" s="245"/>
      <c r="S96" s="278"/>
      <c r="T96" s="278"/>
      <c r="U96" s="278">
        <f>G96</f>
        <v>96</v>
      </c>
      <c r="V96" s="278"/>
      <c r="W96" s="562">
        <f t="shared" si="119"/>
        <v>0</v>
      </c>
      <c r="X96" s="562">
        <f t="shared" si="120"/>
        <v>0</v>
      </c>
      <c r="Y96" s="562">
        <f t="shared" si="121"/>
        <v>864000</v>
      </c>
      <c r="Z96" s="562">
        <f t="shared" si="122"/>
        <v>0</v>
      </c>
      <c r="AA96" s="278">
        <v>20</v>
      </c>
      <c r="AB96" s="562">
        <f t="shared" si="129"/>
        <v>180000</v>
      </c>
      <c r="AC96" s="278"/>
      <c r="AD96" s="561">
        <f t="shared" si="130"/>
        <v>0</v>
      </c>
      <c r="AE96" s="278">
        <v>5</v>
      </c>
      <c r="AF96" s="563">
        <f t="shared" si="89"/>
        <v>45000</v>
      </c>
      <c r="AG96" s="278">
        <v>20</v>
      </c>
      <c r="AH96" s="563">
        <f t="shared" si="90"/>
        <v>180000</v>
      </c>
      <c r="AI96" s="278">
        <v>10</v>
      </c>
      <c r="AJ96" s="563">
        <f t="shared" si="91"/>
        <v>90000</v>
      </c>
      <c r="AK96" s="278">
        <v>0</v>
      </c>
      <c r="AL96" s="563">
        <f t="shared" si="92"/>
        <v>0</v>
      </c>
      <c r="AM96" s="278">
        <v>0</v>
      </c>
      <c r="AN96" s="563">
        <f t="shared" si="93"/>
        <v>0</v>
      </c>
      <c r="AO96" s="278">
        <v>5</v>
      </c>
      <c r="AP96" s="563">
        <f t="shared" si="94"/>
        <v>45000</v>
      </c>
      <c r="AQ96" s="278"/>
      <c r="AR96" s="563">
        <f t="shared" si="95"/>
        <v>0</v>
      </c>
      <c r="AS96" s="278">
        <v>0</v>
      </c>
      <c r="AT96" s="563">
        <f t="shared" si="96"/>
        <v>0</v>
      </c>
      <c r="AU96" s="278"/>
      <c r="AV96" s="563">
        <f t="shared" si="97"/>
        <v>0</v>
      </c>
      <c r="AW96" s="278">
        <v>5</v>
      </c>
      <c r="AX96" s="563">
        <f t="shared" si="98"/>
        <v>45000</v>
      </c>
      <c r="AY96" s="280">
        <v>0</v>
      </c>
      <c r="AZ96" s="563">
        <f t="shared" si="99"/>
        <v>0</v>
      </c>
      <c r="BA96" s="278">
        <v>0</v>
      </c>
      <c r="BB96" s="563">
        <f t="shared" si="100"/>
        <v>0</v>
      </c>
      <c r="BC96" s="278">
        <v>20</v>
      </c>
      <c r="BD96" s="563">
        <f t="shared" si="101"/>
        <v>180000</v>
      </c>
      <c r="BE96" s="278">
        <v>10</v>
      </c>
      <c r="BF96" s="563">
        <f t="shared" si="102"/>
        <v>90000</v>
      </c>
      <c r="BG96" s="278">
        <v>1</v>
      </c>
      <c r="BH96" s="563">
        <f t="shared" si="103"/>
        <v>9000</v>
      </c>
      <c r="BI96" s="278"/>
      <c r="BJ96" s="563">
        <f t="shared" si="104"/>
        <v>0</v>
      </c>
      <c r="BK96" s="272">
        <f t="shared" ref="BK96:BL129" si="131">AA96+AC96+AE96+AG96+AI96+AK96+AM96+AO96+AQ96+AS96+AU96+AW96+AY96+BA96+BC96+BE96+BG96+BI96</f>
        <v>96</v>
      </c>
      <c r="BL96" s="563">
        <f t="shared" si="131"/>
        <v>864000</v>
      </c>
      <c r="BM96" s="566" t="s">
        <v>482</v>
      </c>
      <c r="BN96" s="709">
        <f t="shared" si="114"/>
        <v>864000</v>
      </c>
      <c r="BO96" s="245"/>
      <c r="BP96" s="567"/>
      <c r="BQ96" s="567">
        <f t="shared" si="123"/>
        <v>864000</v>
      </c>
      <c r="BR96" s="567"/>
      <c r="BS96" s="178">
        <f t="shared" si="124"/>
        <v>864000</v>
      </c>
      <c r="BT96" s="567"/>
      <c r="BU96" s="567"/>
      <c r="BV96" s="178"/>
      <c r="BW96" s="179">
        <f t="shared" si="125"/>
        <v>864000</v>
      </c>
    </row>
    <row r="97" spans="1:83" s="279" customFormat="1" ht="18" customHeight="1" x14ac:dyDescent="0.25">
      <c r="A97" s="874"/>
      <c r="B97" s="243"/>
      <c r="C97" s="171"/>
      <c r="D97" s="171" t="s">
        <v>631</v>
      </c>
      <c r="E97" s="171" t="s">
        <v>153</v>
      </c>
      <c r="F97" s="237">
        <v>80000</v>
      </c>
      <c r="G97" s="560">
        <f>BK97</f>
        <v>244</v>
      </c>
      <c r="H97" s="245">
        <f t="shared" si="118"/>
        <v>19520000</v>
      </c>
      <c r="I97" s="245">
        <f>H97*0.1</f>
        <v>1952000</v>
      </c>
      <c r="J97" s="245">
        <f>H97*0.8</f>
        <v>15616000</v>
      </c>
      <c r="K97" s="245"/>
      <c r="L97" s="245"/>
      <c r="M97" s="245"/>
      <c r="N97" s="245"/>
      <c r="O97" s="245"/>
      <c r="P97" s="245"/>
      <c r="Q97" s="245">
        <f>H97*0.1</f>
        <v>1952000</v>
      </c>
      <c r="R97" s="245"/>
      <c r="S97" s="278"/>
      <c r="T97" s="278"/>
      <c r="U97" s="278">
        <f>G97</f>
        <v>244</v>
      </c>
      <c r="V97" s="278"/>
      <c r="W97" s="562">
        <f t="shared" si="119"/>
        <v>0</v>
      </c>
      <c r="X97" s="562">
        <f t="shared" si="120"/>
        <v>0</v>
      </c>
      <c r="Y97" s="562">
        <f t="shared" si="121"/>
        <v>19520000</v>
      </c>
      <c r="Z97" s="562">
        <f t="shared" si="122"/>
        <v>0</v>
      </c>
      <c r="AA97" s="278"/>
      <c r="AB97" s="562">
        <f>AA97*F97</f>
        <v>0</v>
      </c>
      <c r="AC97" s="644">
        <v>30</v>
      </c>
      <c r="AD97" s="561">
        <f>AC97*F97</f>
        <v>2400000</v>
      </c>
      <c r="AE97" s="278"/>
      <c r="AF97" s="563">
        <f>AE97*F97</f>
        <v>0</v>
      </c>
      <c r="AG97" s="278">
        <v>20</v>
      </c>
      <c r="AH97" s="723">
        <f>AG97*F97</f>
        <v>1600000</v>
      </c>
      <c r="AI97" s="278">
        <v>10</v>
      </c>
      <c r="AJ97" s="563">
        <f>AI97*F97</f>
        <v>800000</v>
      </c>
      <c r="AK97" s="278">
        <v>10</v>
      </c>
      <c r="AL97" s="563">
        <f>AK97*F97</f>
        <v>800000</v>
      </c>
      <c r="AM97" s="278">
        <v>5</v>
      </c>
      <c r="AN97" s="563">
        <f>AM97*F97</f>
        <v>400000</v>
      </c>
      <c r="AO97" s="278">
        <v>20</v>
      </c>
      <c r="AP97" s="563">
        <f>AO97*F97</f>
        <v>1600000</v>
      </c>
      <c r="AQ97" s="278">
        <v>5</v>
      </c>
      <c r="AR97" s="563">
        <f>AQ97*F97</f>
        <v>400000</v>
      </c>
      <c r="AS97" s="278"/>
      <c r="AT97" s="563">
        <f>AS97*F97</f>
        <v>0</v>
      </c>
      <c r="AU97" s="278">
        <v>52</v>
      </c>
      <c r="AV97" s="563">
        <f>AU97*F97</f>
        <v>4160000</v>
      </c>
      <c r="AW97" s="278">
        <v>30</v>
      </c>
      <c r="AX97" s="563">
        <f>AW97*F97</f>
        <v>2400000</v>
      </c>
      <c r="AY97" s="280">
        <v>30</v>
      </c>
      <c r="AZ97" s="563">
        <f>AY97*F97</f>
        <v>2400000</v>
      </c>
      <c r="BA97" s="278"/>
      <c r="BB97" s="563">
        <f>BA97*F97</f>
        <v>0</v>
      </c>
      <c r="BC97" s="278">
        <v>2</v>
      </c>
      <c r="BD97" s="563">
        <f>BC97*F97</f>
        <v>160000</v>
      </c>
      <c r="BE97" s="278">
        <v>10</v>
      </c>
      <c r="BF97" s="563">
        <f>BE97*F97</f>
        <v>800000</v>
      </c>
      <c r="BG97" s="644">
        <v>20</v>
      </c>
      <c r="BH97" s="563">
        <f>BG97*F97</f>
        <v>1600000</v>
      </c>
      <c r="BI97" s="278"/>
      <c r="BJ97" s="563">
        <f>BI97*F97</f>
        <v>0</v>
      </c>
      <c r="BK97" s="272">
        <f>AA97+AC97+AE97+AG97+AI97+AK97+AM97+AO97+AQ97+AS97+AU97+AW97+AY97+BA97+BC97+BE97+BG97+BI97</f>
        <v>244</v>
      </c>
      <c r="BL97" s="563">
        <f>AB97+AD97+AF97+AH97+AJ97+AL97+AN97+AP97+AR97+AT97+AV97+AX97+AZ97+BB97+BD97+BF97+BH97+BJ97</f>
        <v>19520000</v>
      </c>
      <c r="BM97" s="566" t="s">
        <v>482</v>
      </c>
      <c r="BN97" s="709">
        <f t="shared" si="114"/>
        <v>19520000</v>
      </c>
      <c r="BO97" s="245"/>
      <c r="BP97" s="567"/>
      <c r="BQ97" s="567">
        <f>H97</f>
        <v>19520000</v>
      </c>
      <c r="BR97" s="567"/>
      <c r="BS97" s="178">
        <f>BO97+BP97+BQ97+BR97</f>
        <v>19520000</v>
      </c>
      <c r="BT97" s="567"/>
      <c r="BU97" s="567"/>
      <c r="BV97" s="178"/>
      <c r="BW97" s="179">
        <f>BS97+BT97+BU97+BV97</f>
        <v>19520000</v>
      </c>
    </row>
    <row r="98" spans="1:83" s="279" customFormat="1" ht="20.25" customHeight="1" x14ac:dyDescent="0.25">
      <c r="A98" s="874"/>
      <c r="B98" s="243"/>
      <c r="C98" s="171"/>
      <c r="D98" s="171" t="s">
        <v>633</v>
      </c>
      <c r="E98" s="171" t="s">
        <v>153</v>
      </c>
      <c r="F98" s="237">
        <v>22000</v>
      </c>
      <c r="G98" s="560">
        <f>BK98</f>
        <v>29</v>
      </c>
      <c r="H98" s="245">
        <f t="shared" si="118"/>
        <v>638000</v>
      </c>
      <c r="I98" s="245">
        <f>H98*0.1</f>
        <v>63800</v>
      </c>
      <c r="J98" s="245">
        <f>H98*0.8</f>
        <v>510400</v>
      </c>
      <c r="K98" s="245"/>
      <c r="L98" s="245"/>
      <c r="M98" s="245"/>
      <c r="N98" s="245"/>
      <c r="O98" s="245"/>
      <c r="P98" s="245"/>
      <c r="Q98" s="245">
        <f>H98*0.1</f>
        <v>63800</v>
      </c>
      <c r="R98" s="245"/>
      <c r="S98" s="278"/>
      <c r="T98" s="278"/>
      <c r="U98" s="278">
        <f>G98</f>
        <v>29</v>
      </c>
      <c r="V98" s="278"/>
      <c r="W98" s="562">
        <f t="shared" si="119"/>
        <v>0</v>
      </c>
      <c r="X98" s="562">
        <f t="shared" si="120"/>
        <v>0</v>
      </c>
      <c r="Y98" s="562">
        <f t="shared" si="121"/>
        <v>638000</v>
      </c>
      <c r="Z98" s="562">
        <f t="shared" si="122"/>
        <v>0</v>
      </c>
      <c r="AA98" s="278">
        <v>5</v>
      </c>
      <c r="AB98" s="562">
        <f>AA98*F98</f>
        <v>110000</v>
      </c>
      <c r="AC98" s="278">
        <v>4</v>
      </c>
      <c r="AD98" s="561">
        <f>AC98*F98</f>
        <v>88000</v>
      </c>
      <c r="AE98" s="278"/>
      <c r="AF98" s="563">
        <f>AE98*F98</f>
        <v>0</v>
      </c>
      <c r="AG98" s="278">
        <v>5</v>
      </c>
      <c r="AH98" s="563">
        <f>AG98*F98</f>
        <v>110000</v>
      </c>
      <c r="AI98" s="278"/>
      <c r="AJ98" s="563">
        <f>AI98*F98</f>
        <v>0</v>
      </c>
      <c r="AK98" s="278">
        <v>0</v>
      </c>
      <c r="AL98" s="563">
        <f>AK98*F98</f>
        <v>0</v>
      </c>
      <c r="AM98" s="278">
        <v>4</v>
      </c>
      <c r="AN98" s="563">
        <f>AM98*F98</f>
        <v>88000</v>
      </c>
      <c r="AO98" s="278">
        <v>2</v>
      </c>
      <c r="AP98" s="563">
        <f>AO98*F98</f>
        <v>44000</v>
      </c>
      <c r="AQ98" s="278"/>
      <c r="AR98" s="563">
        <f>AQ98*F98</f>
        <v>0</v>
      </c>
      <c r="AS98" s="278">
        <v>5</v>
      </c>
      <c r="AT98" s="563">
        <f>AS98*F98</f>
        <v>110000</v>
      </c>
      <c r="AU98" s="278"/>
      <c r="AV98" s="563">
        <f>AU98*F98</f>
        <v>0</v>
      </c>
      <c r="AW98" s="278">
        <v>2</v>
      </c>
      <c r="AX98" s="563">
        <f>AW98*F98</f>
        <v>44000</v>
      </c>
      <c r="AY98" s="280">
        <v>0</v>
      </c>
      <c r="AZ98" s="563">
        <f>AY98*F98</f>
        <v>0</v>
      </c>
      <c r="BA98" s="278"/>
      <c r="BB98" s="563">
        <f>BA98*F98</f>
        <v>0</v>
      </c>
      <c r="BC98" s="278">
        <v>2</v>
      </c>
      <c r="BD98" s="563">
        <f>BC98*F98</f>
        <v>44000</v>
      </c>
      <c r="BE98" s="278">
        <v>0</v>
      </c>
      <c r="BF98" s="563">
        <f>BE98*F98</f>
        <v>0</v>
      </c>
      <c r="BG98" s="278">
        <v>0</v>
      </c>
      <c r="BH98" s="563">
        <f>BG98*F98</f>
        <v>0</v>
      </c>
      <c r="BI98" s="278"/>
      <c r="BJ98" s="563">
        <f>BI98*F98</f>
        <v>0</v>
      </c>
      <c r="BK98" s="272">
        <f>AA98+AC98+AE98+AG98+AI98+AK98+AM98+AO98+AQ98+AS98+AU98+AW98+AY98+BA98+BC98+BE98+BG98+BI98</f>
        <v>29</v>
      </c>
      <c r="BL98" s="563">
        <f>AB98+AD98+AF98+AH98+AJ98+AL98+AN98+AP98+AR98+AT98+AV98+AX98+AZ98+BB98+BD98+BF98+BH98+BJ98</f>
        <v>638000</v>
      </c>
      <c r="BM98" s="566" t="s">
        <v>482</v>
      </c>
      <c r="BN98" s="709">
        <f t="shared" si="114"/>
        <v>638000</v>
      </c>
      <c r="BO98" s="245"/>
      <c r="BP98" s="567"/>
      <c r="BQ98" s="567">
        <f>H98</f>
        <v>638000</v>
      </c>
      <c r="BR98" s="567"/>
      <c r="BS98" s="178">
        <f>BO98+BP98+BQ98+BR98</f>
        <v>638000</v>
      </c>
      <c r="BT98" s="567"/>
      <c r="BU98" s="567"/>
      <c r="BV98" s="178"/>
      <c r="BW98" s="179">
        <f>BS98+BT98+BU98+BV98</f>
        <v>638000</v>
      </c>
    </row>
    <row r="99" spans="1:83" s="279" customFormat="1" ht="18" customHeight="1" x14ac:dyDescent="0.25">
      <c r="A99" s="874"/>
      <c r="B99" s="243"/>
      <c r="C99" s="171"/>
      <c r="D99" s="133" t="s">
        <v>882</v>
      </c>
      <c r="E99" s="171" t="s">
        <v>153</v>
      </c>
      <c r="F99" s="237">
        <v>9000</v>
      </c>
      <c r="G99" s="560">
        <f t="shared" si="84"/>
        <v>10</v>
      </c>
      <c r="H99" s="245">
        <f t="shared" si="118"/>
        <v>90000</v>
      </c>
      <c r="I99" s="245">
        <f t="shared" si="126"/>
        <v>9000</v>
      </c>
      <c r="J99" s="245">
        <f t="shared" si="127"/>
        <v>72000</v>
      </c>
      <c r="K99" s="245"/>
      <c r="L99" s="245"/>
      <c r="M99" s="245"/>
      <c r="N99" s="245"/>
      <c r="O99" s="245"/>
      <c r="P99" s="245"/>
      <c r="Q99" s="245">
        <f t="shared" si="128"/>
        <v>9000</v>
      </c>
      <c r="R99" s="245"/>
      <c r="S99" s="278"/>
      <c r="T99" s="278"/>
      <c r="U99" s="278">
        <f>G99</f>
        <v>10</v>
      </c>
      <c r="V99" s="278"/>
      <c r="W99" s="562">
        <f t="shared" si="119"/>
        <v>0</v>
      </c>
      <c r="X99" s="562">
        <f t="shared" si="120"/>
        <v>0</v>
      </c>
      <c r="Y99" s="562">
        <f t="shared" si="121"/>
        <v>90000</v>
      </c>
      <c r="Z99" s="562">
        <f t="shared" si="122"/>
        <v>0</v>
      </c>
      <c r="AA99" s="278"/>
      <c r="AB99" s="562">
        <f t="shared" si="129"/>
        <v>0</v>
      </c>
      <c r="AC99" s="278">
        <v>0</v>
      </c>
      <c r="AD99" s="561">
        <f t="shared" si="130"/>
        <v>0</v>
      </c>
      <c r="AE99" s="278"/>
      <c r="AF99" s="563">
        <f t="shared" si="89"/>
        <v>0</v>
      </c>
      <c r="AG99" s="278">
        <v>2</v>
      </c>
      <c r="AH99" s="563">
        <f t="shared" si="90"/>
        <v>18000</v>
      </c>
      <c r="AI99" s="278">
        <v>0</v>
      </c>
      <c r="AJ99" s="563">
        <f t="shared" si="91"/>
        <v>0</v>
      </c>
      <c r="AK99" s="278">
        <v>0</v>
      </c>
      <c r="AL99" s="563">
        <f t="shared" si="92"/>
        <v>0</v>
      </c>
      <c r="AM99" s="278">
        <v>8</v>
      </c>
      <c r="AN99" s="563">
        <f t="shared" si="93"/>
        <v>72000</v>
      </c>
      <c r="AO99" s="278"/>
      <c r="AP99" s="563">
        <f t="shared" si="94"/>
        <v>0</v>
      </c>
      <c r="AQ99" s="278"/>
      <c r="AR99" s="563">
        <f t="shared" si="95"/>
        <v>0</v>
      </c>
      <c r="AS99" s="278">
        <v>0</v>
      </c>
      <c r="AT99" s="563">
        <f t="shared" si="96"/>
        <v>0</v>
      </c>
      <c r="AU99" s="278"/>
      <c r="AV99" s="563">
        <f t="shared" si="97"/>
        <v>0</v>
      </c>
      <c r="AW99" s="278"/>
      <c r="AX99" s="563">
        <f t="shared" si="98"/>
        <v>0</v>
      </c>
      <c r="AY99" s="280">
        <v>0</v>
      </c>
      <c r="AZ99" s="563">
        <f t="shared" si="99"/>
        <v>0</v>
      </c>
      <c r="BA99" s="278"/>
      <c r="BB99" s="563">
        <f t="shared" si="100"/>
        <v>0</v>
      </c>
      <c r="BC99" s="278">
        <v>0</v>
      </c>
      <c r="BD99" s="563">
        <f t="shared" si="101"/>
        <v>0</v>
      </c>
      <c r="BE99" s="278">
        <v>0</v>
      </c>
      <c r="BF99" s="563">
        <f t="shared" si="102"/>
        <v>0</v>
      </c>
      <c r="BG99" s="278">
        <v>0</v>
      </c>
      <c r="BH99" s="563">
        <f t="shared" si="103"/>
        <v>0</v>
      </c>
      <c r="BI99" s="278"/>
      <c r="BJ99" s="563">
        <f t="shared" si="104"/>
        <v>0</v>
      </c>
      <c r="BK99" s="272">
        <f t="shared" si="131"/>
        <v>10</v>
      </c>
      <c r="BL99" s="563">
        <f t="shared" si="131"/>
        <v>90000</v>
      </c>
      <c r="BM99" s="566" t="s">
        <v>482</v>
      </c>
      <c r="BN99" s="709">
        <f t="shared" si="114"/>
        <v>90000</v>
      </c>
      <c r="BO99" s="245"/>
      <c r="BP99" s="567"/>
      <c r="BQ99" s="567">
        <f t="shared" si="123"/>
        <v>90000</v>
      </c>
      <c r="BR99" s="567"/>
      <c r="BS99" s="178">
        <f t="shared" si="124"/>
        <v>90000</v>
      </c>
      <c r="BT99" s="567"/>
      <c r="BU99" s="567"/>
      <c r="BV99" s="178"/>
      <c r="BW99" s="179">
        <f t="shared" si="125"/>
        <v>90000</v>
      </c>
    </row>
    <row r="100" spans="1:83" s="279" customFormat="1" ht="18" customHeight="1" x14ac:dyDescent="0.25">
      <c r="A100" s="874"/>
      <c r="B100" s="243"/>
      <c r="C100" s="171"/>
      <c r="D100" s="171" t="s">
        <v>630</v>
      </c>
      <c r="E100" s="171" t="s">
        <v>153</v>
      </c>
      <c r="F100" s="237">
        <v>88800</v>
      </c>
      <c r="G100" s="560">
        <f t="shared" si="84"/>
        <v>168</v>
      </c>
      <c r="H100" s="245">
        <f t="shared" si="118"/>
        <v>14918400</v>
      </c>
      <c r="I100" s="245"/>
      <c r="J100" s="245"/>
      <c r="K100" s="245"/>
      <c r="L100" s="245"/>
      <c r="M100" s="245"/>
      <c r="N100" s="245"/>
      <c r="O100" s="245"/>
      <c r="P100" s="245"/>
      <c r="Q100" s="245"/>
      <c r="R100" s="245">
        <f>H100*1</f>
        <v>14918400</v>
      </c>
      <c r="S100" s="561">
        <f>G100*0.65</f>
        <v>109.2</v>
      </c>
      <c r="T100" s="561">
        <f>G100*0.35</f>
        <v>58.8</v>
      </c>
      <c r="U100" s="278"/>
      <c r="V100" s="278">
        <v>0</v>
      </c>
      <c r="W100" s="562">
        <f t="shared" si="119"/>
        <v>9696960</v>
      </c>
      <c r="X100" s="562">
        <f t="shared" si="120"/>
        <v>5221440</v>
      </c>
      <c r="Y100" s="562">
        <f t="shared" si="121"/>
        <v>0</v>
      </c>
      <c r="Z100" s="562">
        <f t="shared" si="122"/>
        <v>0</v>
      </c>
      <c r="AA100" s="278">
        <v>10</v>
      </c>
      <c r="AB100" s="562">
        <f t="shared" si="129"/>
        <v>888000</v>
      </c>
      <c r="AC100" s="278">
        <v>10</v>
      </c>
      <c r="AD100" s="561">
        <f t="shared" si="130"/>
        <v>888000</v>
      </c>
      <c r="AE100" s="278">
        <v>10</v>
      </c>
      <c r="AF100" s="563">
        <f t="shared" si="89"/>
        <v>888000</v>
      </c>
      <c r="AG100" s="278">
        <v>15</v>
      </c>
      <c r="AH100" s="563">
        <f t="shared" si="90"/>
        <v>1332000</v>
      </c>
      <c r="AI100" s="278">
        <v>10</v>
      </c>
      <c r="AJ100" s="563">
        <f t="shared" si="91"/>
        <v>888000</v>
      </c>
      <c r="AK100" s="278">
        <v>10</v>
      </c>
      <c r="AL100" s="563">
        <f t="shared" si="92"/>
        <v>888000</v>
      </c>
      <c r="AM100" s="278">
        <v>10</v>
      </c>
      <c r="AN100" s="563">
        <f t="shared" si="93"/>
        <v>888000</v>
      </c>
      <c r="AO100" s="278">
        <v>12</v>
      </c>
      <c r="AP100" s="563">
        <f t="shared" si="94"/>
        <v>1065600</v>
      </c>
      <c r="AQ100" s="278">
        <v>5</v>
      </c>
      <c r="AR100" s="563">
        <f t="shared" si="95"/>
        <v>444000</v>
      </c>
      <c r="AS100" s="278">
        <v>10</v>
      </c>
      <c r="AT100" s="563">
        <f t="shared" si="96"/>
        <v>888000</v>
      </c>
      <c r="AU100" s="278">
        <v>10</v>
      </c>
      <c r="AV100" s="563">
        <f t="shared" si="97"/>
        <v>888000</v>
      </c>
      <c r="AW100" s="278">
        <v>10</v>
      </c>
      <c r="AX100" s="563">
        <f t="shared" si="98"/>
        <v>888000</v>
      </c>
      <c r="AY100" s="280">
        <v>10</v>
      </c>
      <c r="AZ100" s="563">
        <f t="shared" si="99"/>
        <v>888000</v>
      </c>
      <c r="BA100" s="278">
        <v>10</v>
      </c>
      <c r="BB100" s="563">
        <f t="shared" si="100"/>
        <v>888000</v>
      </c>
      <c r="BC100" s="278">
        <v>10</v>
      </c>
      <c r="BD100" s="563">
        <f t="shared" si="101"/>
        <v>888000</v>
      </c>
      <c r="BE100" s="278">
        <v>6</v>
      </c>
      <c r="BF100" s="563">
        <f t="shared" si="102"/>
        <v>532800</v>
      </c>
      <c r="BG100" s="278">
        <v>10</v>
      </c>
      <c r="BH100" s="563">
        <f t="shared" si="103"/>
        <v>888000</v>
      </c>
      <c r="BI100" s="278"/>
      <c r="BJ100" s="563">
        <f t="shared" si="104"/>
        <v>0</v>
      </c>
      <c r="BK100" s="272">
        <f t="shared" si="131"/>
        <v>168</v>
      </c>
      <c r="BL100" s="563">
        <f t="shared" si="131"/>
        <v>14918400</v>
      </c>
      <c r="BM100" s="566" t="s">
        <v>731</v>
      </c>
      <c r="BN100" s="709">
        <f t="shared" si="114"/>
        <v>14918400</v>
      </c>
      <c r="BO100" s="245"/>
      <c r="BP100" s="567"/>
      <c r="BQ100" s="567">
        <f t="shared" si="123"/>
        <v>14918400</v>
      </c>
      <c r="BR100" s="567"/>
      <c r="BS100" s="178">
        <f t="shared" si="124"/>
        <v>14918400</v>
      </c>
      <c r="BT100" s="567"/>
      <c r="BU100" s="567"/>
      <c r="BV100" s="178"/>
      <c r="BW100" s="179">
        <f t="shared" si="125"/>
        <v>14918400</v>
      </c>
    </row>
    <row r="101" spans="1:83" s="279" customFormat="1" ht="18" customHeight="1" x14ac:dyDescent="0.25">
      <c r="A101" s="874"/>
      <c r="B101" s="243"/>
      <c r="C101" s="171"/>
      <c r="D101" s="171" t="s">
        <v>692</v>
      </c>
      <c r="E101" s="171" t="s">
        <v>153</v>
      </c>
      <c r="F101" s="237">
        <v>48300</v>
      </c>
      <c r="G101" s="560">
        <f t="shared" si="84"/>
        <v>26</v>
      </c>
      <c r="H101" s="245">
        <f t="shared" si="118"/>
        <v>1255800</v>
      </c>
      <c r="I101" s="245"/>
      <c r="J101" s="245"/>
      <c r="K101" s="245"/>
      <c r="L101" s="245"/>
      <c r="M101" s="245"/>
      <c r="N101" s="245"/>
      <c r="O101" s="245"/>
      <c r="P101" s="245"/>
      <c r="Q101" s="245"/>
      <c r="R101" s="245">
        <f>H101*1</f>
        <v>1255800</v>
      </c>
      <c r="S101" s="278"/>
      <c r="T101" s="278"/>
      <c r="U101" s="278">
        <f>G101</f>
        <v>26</v>
      </c>
      <c r="V101" s="278"/>
      <c r="W101" s="562">
        <f t="shared" si="119"/>
        <v>0</v>
      </c>
      <c r="X101" s="562">
        <f t="shared" si="120"/>
        <v>0</v>
      </c>
      <c r="Y101" s="562">
        <f t="shared" si="121"/>
        <v>1255800</v>
      </c>
      <c r="Z101" s="562">
        <f t="shared" si="122"/>
        <v>0</v>
      </c>
      <c r="AA101" s="278">
        <v>1</v>
      </c>
      <c r="AB101" s="562">
        <f t="shared" si="129"/>
        <v>48300</v>
      </c>
      <c r="AC101" s="278">
        <v>1</v>
      </c>
      <c r="AD101" s="561">
        <f t="shared" si="130"/>
        <v>48300</v>
      </c>
      <c r="AE101" s="278">
        <v>2</v>
      </c>
      <c r="AF101" s="563">
        <f t="shared" si="89"/>
        <v>96600</v>
      </c>
      <c r="AG101" s="278">
        <v>1</v>
      </c>
      <c r="AH101" s="563">
        <f t="shared" si="90"/>
        <v>48300</v>
      </c>
      <c r="AI101" s="278">
        <v>1</v>
      </c>
      <c r="AJ101" s="563">
        <f t="shared" si="91"/>
        <v>48300</v>
      </c>
      <c r="AK101" s="278">
        <v>2</v>
      </c>
      <c r="AL101" s="563">
        <f t="shared" si="92"/>
        <v>96600</v>
      </c>
      <c r="AM101" s="278">
        <v>1</v>
      </c>
      <c r="AN101" s="563">
        <f t="shared" si="93"/>
        <v>48300</v>
      </c>
      <c r="AO101" s="278">
        <v>2</v>
      </c>
      <c r="AP101" s="563">
        <f t="shared" si="94"/>
        <v>96600</v>
      </c>
      <c r="AQ101" s="278">
        <v>1</v>
      </c>
      <c r="AR101" s="563">
        <f t="shared" si="95"/>
        <v>48300</v>
      </c>
      <c r="AS101" s="278">
        <v>1</v>
      </c>
      <c r="AT101" s="563">
        <f t="shared" si="96"/>
        <v>48300</v>
      </c>
      <c r="AU101" s="278">
        <v>2</v>
      </c>
      <c r="AV101" s="563">
        <f t="shared" si="97"/>
        <v>96600</v>
      </c>
      <c r="AW101" s="278">
        <v>2</v>
      </c>
      <c r="AX101" s="563">
        <f t="shared" si="98"/>
        <v>96600</v>
      </c>
      <c r="AY101" s="280">
        <v>2</v>
      </c>
      <c r="AZ101" s="563">
        <f t="shared" si="99"/>
        <v>96600</v>
      </c>
      <c r="BA101" s="278">
        <v>1</v>
      </c>
      <c r="BB101" s="563">
        <f t="shared" si="100"/>
        <v>48300</v>
      </c>
      <c r="BC101" s="278">
        <v>2</v>
      </c>
      <c r="BD101" s="563">
        <f t="shared" si="101"/>
        <v>96600</v>
      </c>
      <c r="BE101" s="278">
        <v>2</v>
      </c>
      <c r="BF101" s="563">
        <f t="shared" si="102"/>
        <v>96600</v>
      </c>
      <c r="BG101" s="278">
        <v>2</v>
      </c>
      <c r="BH101" s="563">
        <f t="shared" si="103"/>
        <v>96600</v>
      </c>
      <c r="BI101" s="278"/>
      <c r="BJ101" s="563">
        <f t="shared" si="104"/>
        <v>0</v>
      </c>
      <c r="BK101" s="272">
        <f t="shared" si="131"/>
        <v>26</v>
      </c>
      <c r="BL101" s="563">
        <f t="shared" si="131"/>
        <v>1255800</v>
      </c>
      <c r="BM101" s="566" t="s">
        <v>731</v>
      </c>
      <c r="BN101" s="709">
        <f t="shared" si="114"/>
        <v>1255800</v>
      </c>
      <c r="BO101" s="245"/>
      <c r="BP101" s="567"/>
      <c r="BQ101" s="567">
        <f t="shared" si="123"/>
        <v>1255800</v>
      </c>
      <c r="BR101" s="567"/>
      <c r="BS101" s="178">
        <f t="shared" si="124"/>
        <v>1255800</v>
      </c>
      <c r="BT101" s="567"/>
      <c r="BU101" s="567"/>
      <c r="BV101" s="178"/>
      <c r="BW101" s="179">
        <f t="shared" si="125"/>
        <v>1255800</v>
      </c>
    </row>
    <row r="102" spans="1:83" s="279" customFormat="1" ht="18" customHeight="1" x14ac:dyDescent="0.25">
      <c r="A102" s="874"/>
      <c r="B102" s="243"/>
      <c r="C102" s="171"/>
      <c r="D102" s="171" t="s">
        <v>632</v>
      </c>
      <c r="E102" s="171" t="s">
        <v>153</v>
      </c>
      <c r="F102" s="237">
        <v>27500</v>
      </c>
      <c r="G102" s="560">
        <f t="shared" si="84"/>
        <v>80</v>
      </c>
      <c r="H102" s="245">
        <f t="shared" si="118"/>
        <v>2200000</v>
      </c>
      <c r="I102" s="245"/>
      <c r="J102" s="245"/>
      <c r="K102" s="245"/>
      <c r="L102" s="245"/>
      <c r="M102" s="245"/>
      <c r="N102" s="245"/>
      <c r="O102" s="245"/>
      <c r="P102" s="245"/>
      <c r="Q102" s="245"/>
      <c r="R102" s="245">
        <f>H102*1</f>
        <v>2200000</v>
      </c>
      <c r="S102" s="278"/>
      <c r="T102" s="278"/>
      <c r="U102" s="278">
        <f>G102</f>
        <v>80</v>
      </c>
      <c r="V102" s="278"/>
      <c r="W102" s="562">
        <f t="shared" si="119"/>
        <v>0</v>
      </c>
      <c r="X102" s="562">
        <f t="shared" si="120"/>
        <v>0</v>
      </c>
      <c r="Y102" s="562">
        <f t="shared" si="121"/>
        <v>2200000</v>
      </c>
      <c r="Z102" s="562">
        <f t="shared" si="122"/>
        <v>0</v>
      </c>
      <c r="AA102" s="278">
        <v>0</v>
      </c>
      <c r="AB102" s="562">
        <f t="shared" si="129"/>
        <v>0</v>
      </c>
      <c r="AC102" s="278">
        <v>0</v>
      </c>
      <c r="AD102" s="561">
        <f t="shared" si="130"/>
        <v>0</v>
      </c>
      <c r="AE102" s="278">
        <v>0</v>
      </c>
      <c r="AF102" s="563">
        <f t="shared" si="89"/>
        <v>0</v>
      </c>
      <c r="AG102" s="278">
        <v>10</v>
      </c>
      <c r="AH102" s="563">
        <f t="shared" si="90"/>
        <v>275000</v>
      </c>
      <c r="AI102" s="278">
        <v>0</v>
      </c>
      <c r="AJ102" s="563">
        <f t="shared" si="91"/>
        <v>0</v>
      </c>
      <c r="AK102" s="278">
        <v>0</v>
      </c>
      <c r="AL102" s="563">
        <f t="shared" si="92"/>
        <v>0</v>
      </c>
      <c r="AM102" s="278">
        <v>25</v>
      </c>
      <c r="AN102" s="563">
        <f t="shared" si="93"/>
        <v>687500</v>
      </c>
      <c r="AO102" s="278">
        <v>0</v>
      </c>
      <c r="AP102" s="563">
        <f t="shared" si="94"/>
        <v>0</v>
      </c>
      <c r="AQ102" s="278">
        <v>6</v>
      </c>
      <c r="AR102" s="563">
        <f t="shared" si="95"/>
        <v>165000</v>
      </c>
      <c r="AS102" s="278">
        <v>2</v>
      </c>
      <c r="AT102" s="563">
        <f t="shared" si="96"/>
        <v>55000</v>
      </c>
      <c r="AU102" s="278">
        <v>30</v>
      </c>
      <c r="AV102" s="563">
        <f t="shared" si="97"/>
        <v>825000</v>
      </c>
      <c r="AW102" s="278">
        <v>5</v>
      </c>
      <c r="AX102" s="563">
        <f t="shared" si="98"/>
        <v>137500</v>
      </c>
      <c r="AY102" s="280">
        <v>0</v>
      </c>
      <c r="AZ102" s="563">
        <f t="shared" si="99"/>
        <v>0</v>
      </c>
      <c r="BA102" s="278">
        <v>2</v>
      </c>
      <c r="BB102" s="563">
        <f t="shared" si="100"/>
        <v>55000</v>
      </c>
      <c r="BC102" s="278">
        <v>0</v>
      </c>
      <c r="BD102" s="563">
        <f t="shared" si="101"/>
        <v>0</v>
      </c>
      <c r="BE102" s="278">
        <v>0</v>
      </c>
      <c r="BF102" s="563">
        <f t="shared" si="102"/>
        <v>0</v>
      </c>
      <c r="BG102" s="278">
        <v>0</v>
      </c>
      <c r="BH102" s="563">
        <f t="shared" si="103"/>
        <v>0</v>
      </c>
      <c r="BI102" s="278"/>
      <c r="BJ102" s="563">
        <f t="shared" si="104"/>
        <v>0</v>
      </c>
      <c r="BK102" s="272">
        <f t="shared" si="131"/>
        <v>80</v>
      </c>
      <c r="BL102" s="563">
        <f t="shared" si="131"/>
        <v>2200000</v>
      </c>
      <c r="BM102" s="566" t="s">
        <v>731</v>
      </c>
      <c r="BN102" s="709">
        <f t="shared" si="114"/>
        <v>2200000</v>
      </c>
      <c r="BO102" s="245"/>
      <c r="BP102" s="567"/>
      <c r="BQ102" s="567">
        <f t="shared" si="123"/>
        <v>2200000</v>
      </c>
      <c r="BR102" s="567"/>
      <c r="BS102" s="178">
        <f t="shared" si="124"/>
        <v>2200000</v>
      </c>
      <c r="BT102" s="567"/>
      <c r="BU102" s="567"/>
      <c r="BV102" s="178"/>
      <c r="BW102" s="179">
        <f t="shared" si="125"/>
        <v>2200000</v>
      </c>
    </row>
    <row r="103" spans="1:83" s="279" customFormat="1" ht="20.25" customHeight="1" x14ac:dyDescent="0.25">
      <c r="A103" s="874"/>
      <c r="B103" s="243"/>
      <c r="C103" s="171"/>
      <c r="D103" s="133" t="s">
        <v>636</v>
      </c>
      <c r="E103" s="171" t="s">
        <v>153</v>
      </c>
      <c r="F103" s="237">
        <v>80500</v>
      </c>
      <c r="G103" s="560">
        <f t="shared" si="84"/>
        <v>173</v>
      </c>
      <c r="H103" s="245">
        <f t="shared" si="118"/>
        <v>13926500</v>
      </c>
      <c r="I103" s="245"/>
      <c r="J103" s="245"/>
      <c r="K103" s="245"/>
      <c r="L103" s="245"/>
      <c r="M103" s="245"/>
      <c r="N103" s="245"/>
      <c r="O103" s="245"/>
      <c r="P103" s="245"/>
      <c r="Q103" s="245"/>
      <c r="R103" s="245">
        <f>H103*1</f>
        <v>13926500</v>
      </c>
      <c r="S103" s="561">
        <f>G103*0.65</f>
        <v>112.45</v>
      </c>
      <c r="T103" s="561">
        <f>G103*0.35</f>
        <v>60.55</v>
      </c>
      <c r="U103" s="278"/>
      <c r="V103" s="278"/>
      <c r="W103" s="562">
        <f t="shared" si="119"/>
        <v>9052225</v>
      </c>
      <c r="X103" s="562">
        <f t="shared" si="120"/>
        <v>4874275</v>
      </c>
      <c r="Y103" s="562">
        <f t="shared" si="121"/>
        <v>0</v>
      </c>
      <c r="Z103" s="562">
        <f t="shared" si="122"/>
        <v>0</v>
      </c>
      <c r="AA103" s="278">
        <v>8</v>
      </c>
      <c r="AB103" s="562">
        <f t="shared" si="129"/>
        <v>644000</v>
      </c>
      <c r="AC103" s="644">
        <v>8</v>
      </c>
      <c r="AD103" s="561">
        <f t="shared" si="130"/>
        <v>644000</v>
      </c>
      <c r="AE103" s="644">
        <v>15</v>
      </c>
      <c r="AF103" s="563">
        <f t="shared" si="89"/>
        <v>1207500</v>
      </c>
      <c r="AG103" s="278">
        <v>15</v>
      </c>
      <c r="AH103" s="563">
        <f t="shared" si="90"/>
        <v>1207500</v>
      </c>
      <c r="AI103" s="278">
        <v>15</v>
      </c>
      <c r="AJ103" s="563">
        <f t="shared" si="91"/>
        <v>1207500</v>
      </c>
      <c r="AK103" s="278">
        <v>8</v>
      </c>
      <c r="AL103" s="563">
        <f t="shared" si="92"/>
        <v>644000</v>
      </c>
      <c r="AM103" s="278">
        <v>8</v>
      </c>
      <c r="AN103" s="563">
        <f t="shared" si="93"/>
        <v>644000</v>
      </c>
      <c r="AO103" s="278">
        <v>8</v>
      </c>
      <c r="AP103" s="563">
        <f t="shared" si="94"/>
        <v>644000</v>
      </c>
      <c r="AQ103" s="278">
        <v>8</v>
      </c>
      <c r="AR103" s="563">
        <f t="shared" si="95"/>
        <v>644000</v>
      </c>
      <c r="AS103" s="278">
        <v>8</v>
      </c>
      <c r="AT103" s="563">
        <f t="shared" si="96"/>
        <v>644000</v>
      </c>
      <c r="AU103" s="278">
        <v>8</v>
      </c>
      <c r="AV103" s="563">
        <f t="shared" si="97"/>
        <v>644000</v>
      </c>
      <c r="AW103" s="278">
        <v>8</v>
      </c>
      <c r="AX103" s="563">
        <f t="shared" si="98"/>
        <v>644000</v>
      </c>
      <c r="AY103" s="280">
        <v>8</v>
      </c>
      <c r="AZ103" s="563">
        <f t="shared" si="99"/>
        <v>644000</v>
      </c>
      <c r="BA103" s="278">
        <v>15</v>
      </c>
      <c r="BB103" s="563">
        <f t="shared" si="100"/>
        <v>1207500</v>
      </c>
      <c r="BC103" s="278">
        <v>15</v>
      </c>
      <c r="BD103" s="563">
        <f t="shared" si="101"/>
        <v>1207500</v>
      </c>
      <c r="BE103" s="278">
        <v>8</v>
      </c>
      <c r="BF103" s="563">
        <f t="shared" si="102"/>
        <v>644000</v>
      </c>
      <c r="BG103" s="278">
        <v>10</v>
      </c>
      <c r="BH103" s="563">
        <f t="shared" si="103"/>
        <v>805000</v>
      </c>
      <c r="BI103" s="278"/>
      <c r="BJ103" s="563">
        <f t="shared" si="104"/>
        <v>0</v>
      </c>
      <c r="BK103" s="272">
        <f t="shared" si="131"/>
        <v>173</v>
      </c>
      <c r="BL103" s="563">
        <f t="shared" si="131"/>
        <v>13926500</v>
      </c>
      <c r="BM103" s="566" t="s">
        <v>731</v>
      </c>
      <c r="BN103" s="709">
        <f t="shared" si="114"/>
        <v>13926500</v>
      </c>
      <c r="BO103" s="245"/>
      <c r="BP103" s="567"/>
      <c r="BQ103" s="567">
        <f t="shared" si="123"/>
        <v>13926500</v>
      </c>
      <c r="BR103" s="567"/>
      <c r="BS103" s="178">
        <f t="shared" si="124"/>
        <v>13926500</v>
      </c>
      <c r="BT103" s="567"/>
      <c r="BU103" s="567"/>
      <c r="BV103" s="178"/>
      <c r="BW103" s="179">
        <f t="shared" si="125"/>
        <v>13926500</v>
      </c>
    </row>
    <row r="104" spans="1:83" s="279" customFormat="1" ht="20.25" customHeight="1" x14ac:dyDescent="0.25">
      <c r="A104" s="874"/>
      <c r="B104" s="243"/>
      <c r="C104" s="171"/>
      <c r="D104" s="133" t="s">
        <v>634</v>
      </c>
      <c r="E104" s="171" t="s">
        <v>153</v>
      </c>
      <c r="F104" s="237">
        <v>30000</v>
      </c>
      <c r="G104" s="560">
        <f t="shared" si="84"/>
        <v>90</v>
      </c>
      <c r="H104" s="245">
        <f t="shared" si="118"/>
        <v>2700000</v>
      </c>
      <c r="I104" s="245"/>
      <c r="J104" s="245"/>
      <c r="K104" s="245"/>
      <c r="L104" s="245"/>
      <c r="M104" s="245"/>
      <c r="N104" s="245"/>
      <c r="O104" s="245"/>
      <c r="P104" s="245"/>
      <c r="Q104" s="245"/>
      <c r="R104" s="245">
        <f>H104*1</f>
        <v>2700000</v>
      </c>
      <c r="S104" s="561">
        <f>G104*0.65</f>
        <v>58.5</v>
      </c>
      <c r="T104" s="561">
        <f>G104*0.35</f>
        <v>31.499999999999996</v>
      </c>
      <c r="U104" s="278"/>
      <c r="V104" s="278"/>
      <c r="W104" s="562">
        <f t="shared" si="119"/>
        <v>1755000</v>
      </c>
      <c r="X104" s="562">
        <f t="shared" si="120"/>
        <v>944999.99999999988</v>
      </c>
      <c r="Y104" s="562">
        <f t="shared" si="121"/>
        <v>0</v>
      </c>
      <c r="Z104" s="562">
        <f t="shared" si="122"/>
        <v>0</v>
      </c>
      <c r="AA104" s="278">
        <v>0</v>
      </c>
      <c r="AB104" s="562">
        <f t="shared" si="129"/>
        <v>0</v>
      </c>
      <c r="AC104" s="278">
        <v>0</v>
      </c>
      <c r="AD104" s="561">
        <f t="shared" si="130"/>
        <v>0</v>
      </c>
      <c r="AE104" s="278">
        <v>15</v>
      </c>
      <c r="AF104" s="563">
        <f t="shared" si="89"/>
        <v>450000</v>
      </c>
      <c r="AG104" s="278">
        <v>14</v>
      </c>
      <c r="AH104" s="563">
        <f t="shared" si="90"/>
        <v>420000</v>
      </c>
      <c r="AI104" s="278">
        <v>10</v>
      </c>
      <c r="AJ104" s="563">
        <f t="shared" si="91"/>
        <v>300000</v>
      </c>
      <c r="AK104" s="278">
        <v>0</v>
      </c>
      <c r="AL104" s="563">
        <f t="shared" si="92"/>
        <v>0</v>
      </c>
      <c r="AM104" s="278">
        <v>0</v>
      </c>
      <c r="AN104" s="563">
        <f t="shared" si="93"/>
        <v>0</v>
      </c>
      <c r="AO104" s="278">
        <v>0</v>
      </c>
      <c r="AP104" s="563">
        <f t="shared" si="94"/>
        <v>0</v>
      </c>
      <c r="AQ104" s="278">
        <v>4</v>
      </c>
      <c r="AR104" s="563">
        <f t="shared" si="95"/>
        <v>120000</v>
      </c>
      <c r="AS104" s="278">
        <v>5</v>
      </c>
      <c r="AT104" s="563">
        <f t="shared" si="96"/>
        <v>150000</v>
      </c>
      <c r="AU104" s="278">
        <v>0</v>
      </c>
      <c r="AV104" s="563">
        <f t="shared" si="97"/>
        <v>0</v>
      </c>
      <c r="AW104" s="278">
        <v>2</v>
      </c>
      <c r="AX104" s="563">
        <f t="shared" si="98"/>
        <v>60000</v>
      </c>
      <c r="AY104" s="280">
        <v>0</v>
      </c>
      <c r="AZ104" s="563">
        <f t="shared" si="99"/>
        <v>0</v>
      </c>
      <c r="BA104" s="278">
        <v>20</v>
      </c>
      <c r="BB104" s="563">
        <f t="shared" si="100"/>
        <v>600000</v>
      </c>
      <c r="BC104" s="278">
        <v>15</v>
      </c>
      <c r="BD104" s="563">
        <f t="shared" si="101"/>
        <v>450000</v>
      </c>
      <c r="BE104" s="278">
        <v>0</v>
      </c>
      <c r="BF104" s="563">
        <f t="shared" si="102"/>
        <v>0</v>
      </c>
      <c r="BG104" s="278">
        <v>5</v>
      </c>
      <c r="BH104" s="563">
        <f t="shared" si="103"/>
        <v>150000</v>
      </c>
      <c r="BI104" s="278"/>
      <c r="BJ104" s="563">
        <f t="shared" si="104"/>
        <v>0</v>
      </c>
      <c r="BK104" s="272">
        <f t="shared" si="131"/>
        <v>90</v>
      </c>
      <c r="BL104" s="563">
        <f t="shared" si="131"/>
        <v>2700000</v>
      </c>
      <c r="BM104" s="566" t="s">
        <v>731</v>
      </c>
      <c r="BN104" s="709">
        <f t="shared" si="114"/>
        <v>2700000</v>
      </c>
      <c r="BO104" s="245"/>
      <c r="BP104" s="567"/>
      <c r="BQ104" s="567">
        <f t="shared" si="123"/>
        <v>2700000</v>
      </c>
      <c r="BR104" s="567"/>
      <c r="BS104" s="178">
        <f t="shared" si="124"/>
        <v>2700000</v>
      </c>
      <c r="BT104" s="567"/>
      <c r="BU104" s="567"/>
      <c r="BV104" s="178"/>
      <c r="BW104" s="179">
        <f t="shared" si="125"/>
        <v>2700000</v>
      </c>
    </row>
    <row r="105" spans="1:83" s="279" customFormat="1" ht="20.25" customHeight="1" x14ac:dyDescent="0.25">
      <c r="A105" s="874"/>
      <c r="B105" s="243"/>
      <c r="C105" s="171"/>
      <c r="D105" s="133" t="s">
        <v>757</v>
      </c>
      <c r="E105" s="171" t="s">
        <v>153</v>
      </c>
      <c r="F105" s="237">
        <v>50000</v>
      </c>
      <c r="G105" s="560">
        <f t="shared" si="84"/>
        <v>24</v>
      </c>
      <c r="H105" s="245">
        <f t="shared" si="118"/>
        <v>1200000</v>
      </c>
      <c r="I105" s="245">
        <f>H105*0.1</f>
        <v>120000</v>
      </c>
      <c r="J105" s="245">
        <f>H105*0.8</f>
        <v>960000</v>
      </c>
      <c r="K105" s="245"/>
      <c r="L105" s="245"/>
      <c r="M105" s="245"/>
      <c r="N105" s="245"/>
      <c r="O105" s="245"/>
      <c r="P105" s="245"/>
      <c r="Q105" s="245">
        <f>H105*0.1</f>
        <v>120000</v>
      </c>
      <c r="R105" s="245"/>
      <c r="S105" s="278"/>
      <c r="T105" s="278"/>
      <c r="U105" s="278"/>
      <c r="V105" s="278"/>
      <c r="W105" s="562">
        <f t="shared" si="119"/>
        <v>0</v>
      </c>
      <c r="X105" s="562">
        <f t="shared" si="120"/>
        <v>0</v>
      </c>
      <c r="Y105" s="562">
        <f t="shared" si="121"/>
        <v>0</v>
      </c>
      <c r="Z105" s="562">
        <f t="shared" si="122"/>
        <v>0</v>
      </c>
      <c r="AA105" s="278"/>
      <c r="AB105" s="562">
        <f t="shared" si="129"/>
        <v>0</v>
      </c>
      <c r="AC105" s="278"/>
      <c r="AD105" s="561">
        <f t="shared" si="130"/>
        <v>0</v>
      </c>
      <c r="AE105" s="278"/>
      <c r="AF105" s="563">
        <f t="shared" si="89"/>
        <v>0</v>
      </c>
      <c r="AG105" s="278"/>
      <c r="AH105" s="563">
        <f t="shared" si="90"/>
        <v>0</v>
      </c>
      <c r="AI105" s="278"/>
      <c r="AJ105" s="563">
        <f t="shared" si="91"/>
        <v>0</v>
      </c>
      <c r="AK105" s="278"/>
      <c r="AL105" s="563">
        <f t="shared" si="92"/>
        <v>0</v>
      </c>
      <c r="AM105" s="278">
        <v>4</v>
      </c>
      <c r="AN105" s="563">
        <f t="shared" si="93"/>
        <v>200000</v>
      </c>
      <c r="AO105" s="278"/>
      <c r="AP105" s="563">
        <f t="shared" si="94"/>
        <v>0</v>
      </c>
      <c r="AQ105" s="278"/>
      <c r="AR105" s="563">
        <f t="shared" si="95"/>
        <v>0</v>
      </c>
      <c r="AS105" s="278"/>
      <c r="AT105" s="563">
        <f t="shared" si="96"/>
        <v>0</v>
      </c>
      <c r="AU105" s="278">
        <v>5</v>
      </c>
      <c r="AV105" s="563">
        <f t="shared" si="97"/>
        <v>250000</v>
      </c>
      <c r="AW105" s="278"/>
      <c r="AX105" s="563">
        <f t="shared" si="98"/>
        <v>0</v>
      </c>
      <c r="AY105" s="280"/>
      <c r="AZ105" s="563">
        <f t="shared" si="99"/>
        <v>0</v>
      </c>
      <c r="BA105" s="278"/>
      <c r="BB105" s="563">
        <f t="shared" si="100"/>
        <v>0</v>
      </c>
      <c r="BC105" s="278">
        <v>10</v>
      </c>
      <c r="BD105" s="563">
        <f t="shared" si="101"/>
        <v>500000</v>
      </c>
      <c r="BE105" s="278">
        <v>5</v>
      </c>
      <c r="BF105" s="563">
        <f t="shared" si="102"/>
        <v>250000</v>
      </c>
      <c r="BG105" s="278">
        <v>0</v>
      </c>
      <c r="BH105" s="563">
        <f t="shared" si="103"/>
        <v>0</v>
      </c>
      <c r="BI105" s="278"/>
      <c r="BJ105" s="563">
        <f t="shared" si="104"/>
        <v>0</v>
      </c>
      <c r="BK105" s="272">
        <f t="shared" si="131"/>
        <v>24</v>
      </c>
      <c r="BL105" s="563">
        <f t="shared" si="131"/>
        <v>1200000</v>
      </c>
      <c r="BM105" s="566" t="s">
        <v>482</v>
      </c>
      <c r="BN105" s="709">
        <f t="shared" si="114"/>
        <v>1200000</v>
      </c>
      <c r="BO105" s="245"/>
      <c r="BP105" s="567"/>
      <c r="BQ105" s="567"/>
      <c r="BR105" s="567"/>
      <c r="BS105" s="178"/>
      <c r="BT105" s="567"/>
      <c r="BU105" s="567"/>
      <c r="BV105" s="178"/>
      <c r="BW105" s="179">
        <f t="shared" si="125"/>
        <v>0</v>
      </c>
    </row>
    <row r="106" spans="1:83" s="279" customFormat="1" ht="20.25" customHeight="1" x14ac:dyDescent="0.25">
      <c r="A106" s="874"/>
      <c r="B106" s="243"/>
      <c r="C106" s="171"/>
      <c r="D106" s="639" t="s">
        <v>759</v>
      </c>
      <c r="E106" s="38" t="s">
        <v>153</v>
      </c>
      <c r="F106" s="643">
        <v>10000</v>
      </c>
      <c r="G106" s="228">
        <f t="shared" si="84"/>
        <v>81</v>
      </c>
      <c r="H106" s="236">
        <f t="shared" si="118"/>
        <v>810000</v>
      </c>
      <c r="I106" s="236">
        <f>H106*0.1</f>
        <v>81000</v>
      </c>
      <c r="J106" s="236">
        <f>H106*0.8</f>
        <v>648000</v>
      </c>
      <c r="K106" s="236"/>
      <c r="L106" s="236"/>
      <c r="M106" s="236"/>
      <c r="N106" s="236"/>
      <c r="O106" s="236"/>
      <c r="P106" s="236"/>
      <c r="Q106" s="236">
        <f>H106*0.1</f>
        <v>81000</v>
      </c>
      <c r="R106" s="236"/>
      <c r="S106" s="278"/>
      <c r="T106" s="278"/>
      <c r="U106" s="278"/>
      <c r="V106" s="278"/>
      <c r="W106" s="227">
        <f t="shared" si="119"/>
        <v>0</v>
      </c>
      <c r="X106" s="227">
        <f t="shared" si="120"/>
        <v>0</v>
      </c>
      <c r="Y106" s="227">
        <f t="shared" si="121"/>
        <v>0</v>
      </c>
      <c r="Z106" s="227">
        <f t="shared" si="122"/>
        <v>0</v>
      </c>
      <c r="AA106" s="278"/>
      <c r="AB106" s="227">
        <f t="shared" si="129"/>
        <v>0</v>
      </c>
      <c r="AC106" s="278">
        <v>5</v>
      </c>
      <c r="AD106" s="231">
        <f t="shared" si="130"/>
        <v>50000</v>
      </c>
      <c r="AE106" s="278"/>
      <c r="AF106" s="53">
        <f t="shared" si="89"/>
        <v>0</v>
      </c>
      <c r="AG106" s="278"/>
      <c r="AH106" s="53">
        <f t="shared" si="90"/>
        <v>0</v>
      </c>
      <c r="AI106" s="278">
        <v>10</v>
      </c>
      <c r="AJ106" s="53">
        <f t="shared" si="91"/>
        <v>100000</v>
      </c>
      <c r="AK106" s="278">
        <v>2</v>
      </c>
      <c r="AL106" s="53">
        <f t="shared" si="92"/>
        <v>20000</v>
      </c>
      <c r="AM106" s="278">
        <v>8</v>
      </c>
      <c r="AN106" s="53">
        <f t="shared" si="93"/>
        <v>80000</v>
      </c>
      <c r="AO106" s="278">
        <v>10</v>
      </c>
      <c r="AP106" s="53">
        <f t="shared" si="94"/>
        <v>100000</v>
      </c>
      <c r="AQ106" s="278"/>
      <c r="AR106" s="53">
        <f t="shared" si="95"/>
        <v>0</v>
      </c>
      <c r="AS106" s="278">
        <v>10</v>
      </c>
      <c r="AT106" s="53">
        <f t="shared" si="96"/>
        <v>100000</v>
      </c>
      <c r="AU106" s="278"/>
      <c r="AV106" s="53">
        <f t="shared" si="97"/>
        <v>0</v>
      </c>
      <c r="AW106" s="278"/>
      <c r="AX106" s="53">
        <f t="shared" si="98"/>
        <v>0</v>
      </c>
      <c r="AY106" s="76">
        <v>6</v>
      </c>
      <c r="AZ106" s="53">
        <f t="shared" si="99"/>
        <v>60000</v>
      </c>
      <c r="BA106" s="273"/>
      <c r="BB106" s="53">
        <f t="shared" si="100"/>
        <v>0</v>
      </c>
      <c r="BC106" s="273">
        <v>30</v>
      </c>
      <c r="BD106" s="53">
        <f t="shared" si="101"/>
        <v>300000</v>
      </c>
      <c r="BE106" s="273">
        <v>0</v>
      </c>
      <c r="BF106" s="53">
        <f t="shared" si="102"/>
        <v>0</v>
      </c>
      <c r="BG106" s="273">
        <v>0</v>
      </c>
      <c r="BH106" s="53">
        <f t="shared" si="103"/>
        <v>0</v>
      </c>
      <c r="BI106" s="278"/>
      <c r="BJ106" s="53">
        <f t="shared" si="104"/>
        <v>0</v>
      </c>
      <c r="BK106" s="230">
        <f t="shared" si="131"/>
        <v>81</v>
      </c>
      <c r="BL106" s="53">
        <f t="shared" si="131"/>
        <v>810000</v>
      </c>
      <c r="BM106" s="315" t="s">
        <v>482</v>
      </c>
      <c r="BN106" s="709">
        <f t="shared" si="114"/>
        <v>810000</v>
      </c>
      <c r="BO106" s="236"/>
      <c r="BP106" s="276"/>
      <c r="BQ106" s="276"/>
      <c r="BR106" s="276"/>
      <c r="BS106" s="113"/>
      <c r="BT106" s="276"/>
      <c r="BU106" s="276"/>
      <c r="BV106" s="113"/>
      <c r="BW106" s="179">
        <f t="shared" si="125"/>
        <v>0</v>
      </c>
      <c r="BX106" s="275"/>
      <c r="BY106" s="275"/>
      <c r="BZ106" s="275"/>
      <c r="CA106" s="275"/>
      <c r="CB106" s="275"/>
      <c r="CC106" s="275"/>
      <c r="CD106" s="275"/>
      <c r="CE106" s="275"/>
    </row>
    <row r="107" spans="1:83" s="279" customFormat="1" ht="20.25" customHeight="1" x14ac:dyDescent="0.25">
      <c r="A107" s="874"/>
      <c r="B107" s="243"/>
      <c r="C107" s="171"/>
      <c r="D107" s="133" t="s">
        <v>766</v>
      </c>
      <c r="E107" s="38" t="s">
        <v>153</v>
      </c>
      <c r="F107" s="237">
        <v>30000</v>
      </c>
      <c r="G107" s="228">
        <f t="shared" si="84"/>
        <v>0</v>
      </c>
      <c r="H107" s="236">
        <f t="shared" si="118"/>
        <v>0</v>
      </c>
      <c r="I107" s="236">
        <f>H107*0.1</f>
        <v>0</v>
      </c>
      <c r="J107" s="236">
        <f>H107*0.8</f>
        <v>0</v>
      </c>
      <c r="K107" s="236"/>
      <c r="L107" s="236"/>
      <c r="M107" s="236"/>
      <c r="N107" s="236"/>
      <c r="O107" s="236"/>
      <c r="P107" s="236"/>
      <c r="Q107" s="236">
        <f>H107*0.1</f>
        <v>0</v>
      </c>
      <c r="R107" s="236"/>
      <c r="S107" s="278"/>
      <c r="T107" s="278"/>
      <c r="U107" s="278"/>
      <c r="V107" s="278"/>
      <c r="W107" s="227">
        <f t="shared" si="119"/>
        <v>0</v>
      </c>
      <c r="X107" s="227">
        <f t="shared" si="120"/>
        <v>0</v>
      </c>
      <c r="Y107" s="227">
        <f t="shared" si="121"/>
        <v>0</v>
      </c>
      <c r="Z107" s="227">
        <f t="shared" si="122"/>
        <v>0</v>
      </c>
      <c r="AA107" s="278"/>
      <c r="AB107" s="227">
        <f t="shared" si="129"/>
        <v>0</v>
      </c>
      <c r="AC107" s="278"/>
      <c r="AD107" s="231">
        <f t="shared" si="130"/>
        <v>0</v>
      </c>
      <c r="AE107" s="278"/>
      <c r="AF107" s="53">
        <f t="shared" si="89"/>
        <v>0</v>
      </c>
      <c r="AG107" s="278"/>
      <c r="AH107" s="53">
        <f t="shared" si="90"/>
        <v>0</v>
      </c>
      <c r="AI107" s="278">
        <v>0</v>
      </c>
      <c r="AJ107" s="722">
        <f t="shared" si="91"/>
        <v>0</v>
      </c>
      <c r="AK107" s="278"/>
      <c r="AL107" s="53">
        <f t="shared" si="92"/>
        <v>0</v>
      </c>
      <c r="AM107" s="278"/>
      <c r="AN107" s="53">
        <f t="shared" si="93"/>
        <v>0</v>
      </c>
      <c r="AO107" s="278"/>
      <c r="AP107" s="53">
        <f t="shared" si="94"/>
        <v>0</v>
      </c>
      <c r="AQ107" s="278"/>
      <c r="AR107" s="53">
        <f t="shared" si="95"/>
        <v>0</v>
      </c>
      <c r="AS107" s="278"/>
      <c r="AT107" s="53">
        <f t="shared" si="96"/>
        <v>0</v>
      </c>
      <c r="AU107" s="278"/>
      <c r="AV107" s="53">
        <f t="shared" si="97"/>
        <v>0</v>
      </c>
      <c r="AW107" s="278"/>
      <c r="AX107" s="53">
        <f t="shared" si="98"/>
        <v>0</v>
      </c>
      <c r="AY107" s="76"/>
      <c r="AZ107" s="53">
        <f t="shared" si="99"/>
        <v>0</v>
      </c>
      <c r="BA107" s="273"/>
      <c r="BB107" s="53">
        <f t="shared" si="100"/>
        <v>0</v>
      </c>
      <c r="BC107" s="273"/>
      <c r="BD107" s="53">
        <f t="shared" si="101"/>
        <v>0</v>
      </c>
      <c r="BE107" s="273"/>
      <c r="BF107" s="53">
        <f t="shared" si="102"/>
        <v>0</v>
      </c>
      <c r="BG107" s="273"/>
      <c r="BH107" s="53">
        <f t="shared" si="103"/>
        <v>0</v>
      </c>
      <c r="BI107" s="278"/>
      <c r="BJ107" s="53">
        <f t="shared" si="104"/>
        <v>0</v>
      </c>
      <c r="BK107" s="230">
        <f t="shared" si="131"/>
        <v>0</v>
      </c>
      <c r="BL107" s="53">
        <f t="shared" si="131"/>
        <v>0</v>
      </c>
      <c r="BM107" s="315" t="s">
        <v>482</v>
      </c>
      <c r="BN107" s="709">
        <f t="shared" si="114"/>
        <v>0</v>
      </c>
      <c r="BO107" s="236"/>
      <c r="BP107" s="276"/>
      <c r="BQ107" s="276"/>
      <c r="BR107" s="276"/>
      <c r="BS107" s="113"/>
      <c r="BT107" s="276"/>
      <c r="BU107" s="276"/>
      <c r="BV107" s="113"/>
      <c r="BW107" s="179">
        <f t="shared" si="125"/>
        <v>0</v>
      </c>
      <c r="BX107" s="275"/>
      <c r="BY107" s="275"/>
      <c r="BZ107" s="275"/>
      <c r="CA107" s="275"/>
      <c r="CB107" s="275"/>
      <c r="CC107" s="275"/>
      <c r="CD107" s="275"/>
      <c r="CE107" s="275"/>
    </row>
    <row r="108" spans="1:83" s="279" customFormat="1" ht="20.25" customHeight="1" x14ac:dyDescent="0.25">
      <c r="A108" s="874"/>
      <c r="B108" s="243"/>
      <c r="C108" s="171"/>
      <c r="D108" s="133" t="s">
        <v>756</v>
      </c>
      <c r="E108" s="38" t="s">
        <v>153</v>
      </c>
      <c r="F108" s="237">
        <v>30000</v>
      </c>
      <c r="G108" s="228">
        <f t="shared" si="84"/>
        <v>51</v>
      </c>
      <c r="H108" s="236">
        <f t="shared" si="118"/>
        <v>1530000</v>
      </c>
      <c r="I108" s="236">
        <f>H108*0.1</f>
        <v>153000</v>
      </c>
      <c r="J108" s="236">
        <f>H108*0.8</f>
        <v>1224000</v>
      </c>
      <c r="K108" s="236"/>
      <c r="L108" s="236"/>
      <c r="M108" s="236"/>
      <c r="N108" s="236"/>
      <c r="O108" s="236"/>
      <c r="P108" s="236"/>
      <c r="Q108" s="236">
        <f>H108*0.1</f>
        <v>153000</v>
      </c>
      <c r="R108" s="236"/>
      <c r="S108" s="278"/>
      <c r="T108" s="278"/>
      <c r="U108" s="278"/>
      <c r="V108" s="278"/>
      <c r="W108" s="227">
        <f t="shared" si="119"/>
        <v>0</v>
      </c>
      <c r="X108" s="227">
        <f t="shared" si="120"/>
        <v>0</v>
      </c>
      <c r="Y108" s="227">
        <f t="shared" si="121"/>
        <v>0</v>
      </c>
      <c r="Z108" s="227">
        <f t="shared" si="122"/>
        <v>0</v>
      </c>
      <c r="AA108" s="278"/>
      <c r="AB108" s="227">
        <f t="shared" si="129"/>
        <v>0</v>
      </c>
      <c r="AC108" s="278"/>
      <c r="AD108" s="231">
        <f t="shared" si="130"/>
        <v>0</v>
      </c>
      <c r="AE108" s="278"/>
      <c r="AF108" s="53">
        <f t="shared" si="89"/>
        <v>0</v>
      </c>
      <c r="AG108" s="278">
        <v>20</v>
      </c>
      <c r="AH108" s="722">
        <f t="shared" si="90"/>
        <v>600000</v>
      </c>
      <c r="AI108" s="278">
        <v>15</v>
      </c>
      <c r="AJ108" s="722">
        <f t="shared" si="91"/>
        <v>450000</v>
      </c>
      <c r="AK108" s="278"/>
      <c r="AL108" s="53">
        <f t="shared" si="92"/>
        <v>0</v>
      </c>
      <c r="AM108" s="278"/>
      <c r="AN108" s="53">
        <f t="shared" si="93"/>
        <v>0</v>
      </c>
      <c r="AO108" s="278"/>
      <c r="AP108" s="53">
        <f t="shared" si="94"/>
        <v>0</v>
      </c>
      <c r="AQ108" s="278">
        <v>5</v>
      </c>
      <c r="AR108" s="53">
        <f t="shared" si="95"/>
        <v>150000</v>
      </c>
      <c r="AS108" s="278"/>
      <c r="AT108" s="53">
        <f t="shared" si="96"/>
        <v>0</v>
      </c>
      <c r="AU108" s="278"/>
      <c r="AV108" s="53">
        <f t="shared" si="97"/>
        <v>0</v>
      </c>
      <c r="AW108" s="278"/>
      <c r="AX108" s="53">
        <f t="shared" si="98"/>
        <v>0</v>
      </c>
      <c r="AY108" s="76"/>
      <c r="AZ108" s="53">
        <f t="shared" si="99"/>
        <v>0</v>
      </c>
      <c r="BA108" s="273"/>
      <c r="BB108" s="53">
        <f t="shared" si="100"/>
        <v>0</v>
      </c>
      <c r="BC108" s="273">
        <v>10</v>
      </c>
      <c r="BD108" s="53">
        <f t="shared" si="101"/>
        <v>300000</v>
      </c>
      <c r="BE108" s="273"/>
      <c r="BF108" s="53">
        <f t="shared" si="102"/>
        <v>0</v>
      </c>
      <c r="BG108" s="273">
        <v>1</v>
      </c>
      <c r="BH108" s="53">
        <f t="shared" si="103"/>
        <v>30000</v>
      </c>
      <c r="BI108" s="278"/>
      <c r="BJ108" s="53">
        <f t="shared" si="104"/>
        <v>0</v>
      </c>
      <c r="BK108" s="230">
        <f t="shared" si="131"/>
        <v>51</v>
      </c>
      <c r="BL108" s="53">
        <f t="shared" si="131"/>
        <v>1530000</v>
      </c>
      <c r="BM108" s="315" t="s">
        <v>482</v>
      </c>
      <c r="BN108" s="709">
        <f t="shared" si="114"/>
        <v>1530000</v>
      </c>
      <c r="BO108" s="236"/>
      <c r="BP108" s="276"/>
      <c r="BQ108" s="276"/>
      <c r="BR108" s="276"/>
      <c r="BS108" s="113"/>
      <c r="BT108" s="276"/>
      <c r="BU108" s="276"/>
      <c r="BV108" s="113"/>
      <c r="BW108" s="179">
        <f t="shared" si="125"/>
        <v>0</v>
      </c>
      <c r="BX108" s="275"/>
      <c r="BY108" s="275"/>
      <c r="BZ108" s="275"/>
      <c r="CA108" s="275"/>
      <c r="CB108" s="275"/>
      <c r="CC108" s="275"/>
      <c r="CD108" s="275"/>
      <c r="CE108" s="275"/>
    </row>
    <row r="109" spans="1:83" s="279" customFormat="1" ht="20.25" customHeight="1" x14ac:dyDescent="0.25">
      <c r="A109" s="874"/>
      <c r="B109" s="246"/>
      <c r="C109" s="247"/>
      <c r="D109" s="239" t="s">
        <v>3</v>
      </c>
      <c r="E109" s="247"/>
      <c r="F109" s="249"/>
      <c r="G109" s="241">
        <f t="shared" si="84"/>
        <v>2855</v>
      </c>
      <c r="H109" s="211">
        <f>SUM(H89:H108)</f>
        <v>71731700</v>
      </c>
      <c r="I109" s="211">
        <f t="shared" ref="I109:BJ109" si="132">SUM(I89:I108)</f>
        <v>3551600</v>
      </c>
      <c r="J109" s="211">
        <f t="shared" si="132"/>
        <v>28412800</v>
      </c>
      <c r="K109" s="211">
        <f t="shared" si="132"/>
        <v>0</v>
      </c>
      <c r="L109" s="211">
        <f t="shared" si="132"/>
        <v>0</v>
      </c>
      <c r="M109" s="211">
        <f t="shared" si="132"/>
        <v>0</v>
      </c>
      <c r="N109" s="211">
        <f t="shared" si="132"/>
        <v>0</v>
      </c>
      <c r="O109" s="211">
        <f t="shared" si="132"/>
        <v>0</v>
      </c>
      <c r="P109" s="211">
        <f t="shared" si="132"/>
        <v>0</v>
      </c>
      <c r="Q109" s="211">
        <f t="shared" si="132"/>
        <v>3551600</v>
      </c>
      <c r="R109" s="211">
        <f t="shared" si="132"/>
        <v>36215700</v>
      </c>
      <c r="S109" s="211">
        <f t="shared" si="132"/>
        <v>378.84999999999997</v>
      </c>
      <c r="T109" s="211">
        <f t="shared" si="132"/>
        <v>1066.1499999999999</v>
      </c>
      <c r="U109" s="211">
        <f t="shared" si="132"/>
        <v>1254</v>
      </c>
      <c r="V109" s="211">
        <f t="shared" si="132"/>
        <v>0</v>
      </c>
      <c r="W109" s="211">
        <f t="shared" si="132"/>
        <v>21377785</v>
      </c>
      <c r="X109" s="211">
        <f t="shared" si="132"/>
        <v>18435815</v>
      </c>
      <c r="Y109" s="211">
        <f t="shared" si="132"/>
        <v>28378100</v>
      </c>
      <c r="Z109" s="211">
        <f t="shared" si="132"/>
        <v>0</v>
      </c>
      <c r="AA109" s="211">
        <f t="shared" si="132"/>
        <v>119</v>
      </c>
      <c r="AB109" s="211">
        <f t="shared" si="132"/>
        <v>2371300</v>
      </c>
      <c r="AC109" s="211">
        <f t="shared" si="132"/>
        <v>135</v>
      </c>
      <c r="AD109" s="211">
        <f t="shared" si="132"/>
        <v>4631300</v>
      </c>
      <c r="AE109" s="211">
        <f t="shared" si="132"/>
        <v>175</v>
      </c>
      <c r="AF109" s="211">
        <f t="shared" si="132"/>
        <v>3769100</v>
      </c>
      <c r="AG109" s="211">
        <f t="shared" si="132"/>
        <v>257</v>
      </c>
      <c r="AH109" s="211">
        <f t="shared" si="132"/>
        <v>6665800</v>
      </c>
      <c r="AI109" s="211">
        <f t="shared" si="132"/>
        <v>324</v>
      </c>
      <c r="AJ109" s="211">
        <f t="shared" si="132"/>
        <v>5680800</v>
      </c>
      <c r="AK109" s="211">
        <f t="shared" si="132"/>
        <v>84</v>
      </c>
      <c r="AL109" s="211">
        <f t="shared" si="132"/>
        <v>2719600</v>
      </c>
      <c r="AM109" s="211">
        <f t="shared" si="132"/>
        <v>263</v>
      </c>
      <c r="AN109" s="211">
        <f t="shared" si="132"/>
        <v>4227800</v>
      </c>
      <c r="AO109" s="211">
        <f t="shared" si="132"/>
        <v>84</v>
      </c>
      <c r="AP109" s="211">
        <f t="shared" si="132"/>
        <v>3765200</v>
      </c>
      <c r="AQ109" s="211">
        <f t="shared" si="132"/>
        <v>78</v>
      </c>
      <c r="AR109" s="211">
        <f t="shared" si="132"/>
        <v>2177300</v>
      </c>
      <c r="AS109" s="211">
        <f t="shared" si="132"/>
        <v>120</v>
      </c>
      <c r="AT109" s="211">
        <f t="shared" si="132"/>
        <v>2611300</v>
      </c>
      <c r="AU109" s="211">
        <f t="shared" si="132"/>
        <v>201</v>
      </c>
      <c r="AV109" s="211">
        <f t="shared" si="132"/>
        <v>7574600</v>
      </c>
      <c r="AW109" s="211">
        <f t="shared" si="132"/>
        <v>154</v>
      </c>
      <c r="AX109" s="211">
        <f t="shared" si="132"/>
        <v>4966100</v>
      </c>
      <c r="AY109" s="211">
        <f t="shared" si="132"/>
        <v>217</v>
      </c>
      <c r="AZ109" s="211">
        <f t="shared" si="132"/>
        <v>5347600</v>
      </c>
      <c r="BA109" s="211">
        <f t="shared" si="132"/>
        <v>102</v>
      </c>
      <c r="BB109" s="211">
        <f t="shared" si="132"/>
        <v>3120800</v>
      </c>
      <c r="BC109" s="211">
        <f t="shared" si="132"/>
        <v>181</v>
      </c>
      <c r="BD109" s="211">
        <f t="shared" si="132"/>
        <v>4576100</v>
      </c>
      <c r="BE109" s="211">
        <f t="shared" si="132"/>
        <v>161</v>
      </c>
      <c r="BF109" s="211">
        <f t="shared" si="132"/>
        <v>3273400</v>
      </c>
      <c r="BG109" s="211">
        <f t="shared" si="132"/>
        <v>200</v>
      </c>
      <c r="BH109" s="211">
        <f t="shared" si="132"/>
        <v>4253600</v>
      </c>
      <c r="BI109" s="211">
        <f t="shared" si="132"/>
        <v>0</v>
      </c>
      <c r="BJ109" s="211">
        <f t="shared" si="132"/>
        <v>0</v>
      </c>
      <c r="BK109" s="251">
        <f>SUM(BK89:BK108)</f>
        <v>2855</v>
      </c>
      <c r="BL109" s="251">
        <f>SUM(BL89:BL108)</f>
        <v>71731700</v>
      </c>
      <c r="BM109" s="321"/>
      <c r="BN109" s="709">
        <f t="shared" si="114"/>
        <v>71731700</v>
      </c>
      <c r="BO109" s="558">
        <f t="shared" ref="BO109:BW109" si="133">SUM(BO88:BO104)</f>
        <v>0</v>
      </c>
      <c r="BP109" s="558">
        <f t="shared" si="133"/>
        <v>0</v>
      </c>
      <c r="BQ109" s="558">
        <f t="shared" si="133"/>
        <v>68191700</v>
      </c>
      <c r="BR109" s="558">
        <f t="shared" si="133"/>
        <v>0</v>
      </c>
      <c r="BS109" s="558">
        <f t="shared" si="133"/>
        <v>68191700</v>
      </c>
      <c r="BT109" s="558">
        <f t="shared" si="133"/>
        <v>0</v>
      </c>
      <c r="BU109" s="558">
        <f t="shared" si="133"/>
        <v>0</v>
      </c>
      <c r="BV109" s="558">
        <f t="shared" si="133"/>
        <v>0</v>
      </c>
      <c r="BW109" s="558">
        <f t="shared" si="133"/>
        <v>68191700</v>
      </c>
      <c r="BX109" s="275"/>
      <c r="BY109" s="275"/>
      <c r="BZ109" s="275"/>
      <c r="CA109" s="275"/>
      <c r="CB109" s="275"/>
      <c r="CC109" s="275"/>
      <c r="CD109" s="275"/>
      <c r="CE109" s="275"/>
    </row>
    <row r="110" spans="1:83" s="279" customFormat="1" ht="20.25" customHeight="1" x14ac:dyDescent="0.25">
      <c r="A110" s="874"/>
      <c r="B110" s="243"/>
      <c r="C110" s="171"/>
      <c r="D110" s="254" t="s">
        <v>714</v>
      </c>
      <c r="E110" s="171"/>
      <c r="F110" s="237"/>
      <c r="G110" s="228">
        <f t="shared" si="84"/>
        <v>0</v>
      </c>
      <c r="H110" s="236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78"/>
      <c r="T110" s="278"/>
      <c r="U110" s="278"/>
      <c r="V110" s="278"/>
      <c r="W110" s="280"/>
      <c r="X110" s="280"/>
      <c r="Y110" s="280"/>
      <c r="Z110" s="280"/>
      <c r="AA110" s="278"/>
      <c r="AB110" s="227">
        <f t="shared" si="129"/>
        <v>0</v>
      </c>
      <c r="AC110" s="278"/>
      <c r="AD110" s="231">
        <f t="shared" si="130"/>
        <v>0</v>
      </c>
      <c r="AE110" s="278"/>
      <c r="AF110" s="53">
        <f t="shared" si="89"/>
        <v>0</v>
      </c>
      <c r="AG110" s="278"/>
      <c r="AH110" s="53">
        <f t="shared" si="90"/>
        <v>0</v>
      </c>
      <c r="AI110" s="278"/>
      <c r="AJ110" s="53">
        <f t="shared" si="91"/>
        <v>0</v>
      </c>
      <c r="AK110" s="278"/>
      <c r="AL110" s="53">
        <f t="shared" si="92"/>
        <v>0</v>
      </c>
      <c r="AM110" s="278"/>
      <c r="AN110" s="53">
        <f t="shared" si="93"/>
        <v>0</v>
      </c>
      <c r="AO110" s="278"/>
      <c r="AP110" s="53">
        <f t="shared" si="94"/>
        <v>0</v>
      </c>
      <c r="AQ110" s="278"/>
      <c r="AR110" s="53">
        <f t="shared" si="95"/>
        <v>0</v>
      </c>
      <c r="AS110" s="278"/>
      <c r="AT110" s="53">
        <f t="shared" si="96"/>
        <v>0</v>
      </c>
      <c r="AU110" s="278"/>
      <c r="AV110" s="53">
        <f t="shared" si="97"/>
        <v>0</v>
      </c>
      <c r="AW110" s="273"/>
      <c r="AX110" s="53">
        <f t="shared" si="98"/>
        <v>0</v>
      </c>
      <c r="AY110" s="76"/>
      <c r="AZ110" s="53">
        <f t="shared" si="99"/>
        <v>0</v>
      </c>
      <c r="BA110" s="273"/>
      <c r="BB110" s="53">
        <f t="shared" si="100"/>
        <v>0</v>
      </c>
      <c r="BC110" s="273"/>
      <c r="BD110" s="53">
        <f t="shared" si="101"/>
        <v>0</v>
      </c>
      <c r="BE110" s="273"/>
      <c r="BF110" s="53">
        <f t="shared" si="102"/>
        <v>0</v>
      </c>
      <c r="BG110" s="278"/>
      <c r="BH110" s="53">
        <f t="shared" si="103"/>
        <v>0</v>
      </c>
      <c r="BI110" s="278"/>
      <c r="BJ110" s="53">
        <f t="shared" si="104"/>
        <v>0</v>
      </c>
      <c r="BK110" s="230">
        <f t="shared" si="131"/>
        <v>0</v>
      </c>
      <c r="BL110" s="53">
        <f t="shared" si="131"/>
        <v>0</v>
      </c>
      <c r="BM110" s="321"/>
      <c r="BN110" s="709">
        <f t="shared" si="114"/>
        <v>0</v>
      </c>
      <c r="BO110" s="236"/>
      <c r="BP110" s="276"/>
      <c r="BQ110" s="276"/>
      <c r="BR110" s="276"/>
      <c r="BS110" s="113"/>
      <c r="BT110" s="276"/>
      <c r="BU110" s="276"/>
      <c r="BV110" s="113"/>
      <c r="BW110" s="223"/>
      <c r="BX110" s="275"/>
      <c r="BY110" s="275"/>
      <c r="BZ110" s="275"/>
      <c r="CA110" s="275"/>
      <c r="CB110" s="275"/>
      <c r="CC110" s="275"/>
      <c r="CD110" s="275"/>
      <c r="CE110" s="275"/>
    </row>
    <row r="111" spans="1:83" s="279" customFormat="1" ht="20.25" customHeight="1" x14ac:dyDescent="0.25">
      <c r="A111" s="874"/>
      <c r="B111" s="225"/>
      <c r="C111" s="38"/>
      <c r="D111" s="38" t="s">
        <v>719</v>
      </c>
      <c r="E111" s="38" t="s">
        <v>153</v>
      </c>
      <c r="F111" s="235">
        <v>50000</v>
      </c>
      <c r="G111" s="228">
        <f t="shared" si="84"/>
        <v>17</v>
      </c>
      <c r="H111" s="236">
        <f t="shared" ref="H111:H124" si="134">G111*F111</f>
        <v>850000</v>
      </c>
      <c r="I111" s="236">
        <f>H111*0.1</f>
        <v>85000</v>
      </c>
      <c r="J111" s="236">
        <f>H111*0.8</f>
        <v>680000</v>
      </c>
      <c r="K111" s="236"/>
      <c r="L111" s="236"/>
      <c r="M111" s="236"/>
      <c r="N111" s="236"/>
      <c r="O111" s="236"/>
      <c r="P111" s="236"/>
      <c r="Q111" s="236">
        <f>H111*0.1</f>
        <v>85000</v>
      </c>
      <c r="R111" s="236"/>
      <c r="S111" s="230"/>
      <c r="T111" s="230">
        <f>G111*0.6</f>
        <v>10.199999999999999</v>
      </c>
      <c r="U111" s="230">
        <f>G111*0.4</f>
        <v>6.8000000000000007</v>
      </c>
      <c r="V111" s="230"/>
      <c r="W111" s="227">
        <f>S111*F111</f>
        <v>0</v>
      </c>
      <c r="X111" s="227">
        <f>T111*F111</f>
        <v>509999.99999999994</v>
      </c>
      <c r="Y111" s="227">
        <f>U111*F111</f>
        <v>340000.00000000006</v>
      </c>
      <c r="Z111" s="227">
        <f>V111*F111</f>
        <v>0</v>
      </c>
      <c r="AA111" s="230">
        <v>2</v>
      </c>
      <c r="AB111" s="227">
        <f t="shared" si="129"/>
        <v>100000</v>
      </c>
      <c r="AC111" s="230"/>
      <c r="AD111" s="231">
        <f t="shared" si="130"/>
        <v>0</v>
      </c>
      <c r="AE111" s="230"/>
      <c r="AF111" s="53">
        <f t="shared" si="89"/>
        <v>0</v>
      </c>
      <c r="AG111" s="230">
        <v>1</v>
      </c>
      <c r="AH111" s="53">
        <f t="shared" si="90"/>
        <v>50000</v>
      </c>
      <c r="AI111" s="230"/>
      <c r="AJ111" s="53">
        <f t="shared" si="91"/>
        <v>0</v>
      </c>
      <c r="AK111" s="230">
        <v>4</v>
      </c>
      <c r="AL111" s="53">
        <f t="shared" si="92"/>
        <v>200000</v>
      </c>
      <c r="AM111" s="230"/>
      <c r="AN111" s="53">
        <f t="shared" si="93"/>
        <v>0</v>
      </c>
      <c r="AO111" s="230">
        <v>0</v>
      </c>
      <c r="AP111" s="53">
        <f t="shared" si="94"/>
        <v>0</v>
      </c>
      <c r="AQ111" s="230">
        <v>1</v>
      </c>
      <c r="AR111" s="53">
        <f t="shared" si="95"/>
        <v>50000</v>
      </c>
      <c r="AS111" s="230"/>
      <c r="AT111" s="53">
        <f t="shared" si="96"/>
        <v>0</v>
      </c>
      <c r="AU111" s="230">
        <v>1</v>
      </c>
      <c r="AV111" s="53">
        <f t="shared" si="97"/>
        <v>50000</v>
      </c>
      <c r="AW111" s="230">
        <v>4</v>
      </c>
      <c r="AX111" s="53">
        <f t="shared" si="98"/>
        <v>200000</v>
      </c>
      <c r="AY111" s="53"/>
      <c r="AZ111" s="53">
        <f t="shared" si="99"/>
        <v>0</v>
      </c>
      <c r="BA111" s="230"/>
      <c r="BB111" s="53">
        <f t="shared" si="100"/>
        <v>0</v>
      </c>
      <c r="BC111" s="230">
        <v>2</v>
      </c>
      <c r="BD111" s="53">
        <f t="shared" si="101"/>
        <v>100000</v>
      </c>
      <c r="BE111" s="230">
        <v>2</v>
      </c>
      <c r="BF111" s="53">
        <f t="shared" si="102"/>
        <v>100000</v>
      </c>
      <c r="BG111" s="230"/>
      <c r="BH111" s="53">
        <f t="shared" si="103"/>
        <v>0</v>
      </c>
      <c r="BI111" s="230"/>
      <c r="BJ111" s="53">
        <f t="shared" si="104"/>
        <v>0</v>
      </c>
      <c r="BK111" s="230">
        <f t="shared" si="131"/>
        <v>17</v>
      </c>
      <c r="BL111" s="53">
        <f t="shared" si="131"/>
        <v>850000</v>
      </c>
      <c r="BM111" s="315" t="s">
        <v>482</v>
      </c>
      <c r="BN111" s="709">
        <f t="shared" si="114"/>
        <v>850000</v>
      </c>
      <c r="BO111" s="236"/>
      <c r="BP111" s="276"/>
      <c r="BQ111" s="276">
        <f>H111</f>
        <v>850000</v>
      </c>
      <c r="BR111" s="276"/>
      <c r="BS111" s="113">
        <f>BO111+BP111+BQ111+BR111</f>
        <v>850000</v>
      </c>
      <c r="BT111" s="276"/>
      <c r="BU111" s="276"/>
      <c r="BV111" s="113"/>
      <c r="BW111" s="223">
        <f>BS111+BV111</f>
        <v>850000</v>
      </c>
      <c r="BX111" s="275"/>
      <c r="BY111" s="275"/>
      <c r="BZ111" s="275"/>
      <c r="CA111" s="275"/>
      <c r="CB111" s="275"/>
      <c r="CC111" s="275"/>
      <c r="CD111" s="275"/>
      <c r="CE111" s="275"/>
    </row>
    <row r="112" spans="1:83" s="279" customFormat="1" ht="20.25" customHeight="1" x14ac:dyDescent="0.25">
      <c r="A112" s="874"/>
      <c r="B112" s="243" t="s">
        <v>495</v>
      </c>
      <c r="C112" s="171"/>
      <c r="D112" s="133" t="s">
        <v>667</v>
      </c>
      <c r="E112" s="38" t="s">
        <v>153</v>
      </c>
      <c r="F112" s="237">
        <v>6000</v>
      </c>
      <c r="G112" s="228">
        <f t="shared" si="84"/>
        <v>51</v>
      </c>
      <c r="H112" s="236">
        <f t="shared" si="134"/>
        <v>306000</v>
      </c>
      <c r="I112" s="236">
        <f t="shared" ref="I112:I124" si="135">H112*0.1</f>
        <v>30600</v>
      </c>
      <c r="J112" s="236">
        <f t="shared" ref="J112:J124" si="136">H112*0.8</f>
        <v>244800</v>
      </c>
      <c r="K112" s="245"/>
      <c r="L112" s="245"/>
      <c r="M112" s="245"/>
      <c r="N112" s="245"/>
      <c r="O112" s="245"/>
      <c r="P112" s="245"/>
      <c r="Q112" s="236">
        <f t="shared" ref="Q112:Q124" si="137">H112*0.1</f>
        <v>30600</v>
      </c>
      <c r="R112" s="236"/>
      <c r="S112" s="231">
        <f>G112*0.15</f>
        <v>7.6499999999999995</v>
      </c>
      <c r="T112" s="231">
        <f>G112*0.7</f>
        <v>35.699999999999996</v>
      </c>
      <c r="U112" s="231">
        <f>G112:G112*0.15</f>
        <v>7.6499999999999995</v>
      </c>
      <c r="V112" s="278"/>
      <c r="W112" s="227">
        <f t="shared" ref="W112:W124" si="138">S112*F112</f>
        <v>45900</v>
      </c>
      <c r="X112" s="227">
        <f t="shared" ref="X112:X124" si="139">T112*F112</f>
        <v>214199.99999999997</v>
      </c>
      <c r="Y112" s="227">
        <f t="shared" ref="Y112:Y124" si="140">U112*F112</f>
        <v>45900</v>
      </c>
      <c r="Z112" s="227">
        <f t="shared" ref="Z112:Z124" si="141">V112*F112</f>
        <v>0</v>
      </c>
      <c r="AA112" s="278">
        <v>2</v>
      </c>
      <c r="AB112" s="227">
        <f t="shared" si="129"/>
        <v>12000</v>
      </c>
      <c r="AC112" s="278">
        <v>2</v>
      </c>
      <c r="AD112" s="231">
        <f t="shared" si="130"/>
        <v>12000</v>
      </c>
      <c r="AE112" s="278"/>
      <c r="AF112" s="53">
        <f t="shared" si="89"/>
        <v>0</v>
      </c>
      <c r="AG112" s="278">
        <v>10</v>
      </c>
      <c r="AH112" s="53">
        <f t="shared" si="90"/>
        <v>60000</v>
      </c>
      <c r="AI112" s="278">
        <v>2</v>
      </c>
      <c r="AJ112" s="53">
        <f t="shared" si="91"/>
        <v>12000</v>
      </c>
      <c r="AK112" s="278">
        <v>2</v>
      </c>
      <c r="AL112" s="53">
        <f t="shared" si="92"/>
        <v>12000</v>
      </c>
      <c r="AM112" s="278">
        <v>0</v>
      </c>
      <c r="AN112" s="53">
        <f t="shared" si="93"/>
        <v>0</v>
      </c>
      <c r="AO112" s="278">
        <v>1</v>
      </c>
      <c r="AP112" s="53">
        <f t="shared" si="94"/>
        <v>6000</v>
      </c>
      <c r="AQ112" s="278">
        <v>2</v>
      </c>
      <c r="AR112" s="53">
        <f t="shared" si="95"/>
        <v>12000</v>
      </c>
      <c r="AS112" s="278">
        <v>2</v>
      </c>
      <c r="AT112" s="53">
        <f t="shared" si="96"/>
        <v>12000</v>
      </c>
      <c r="AU112" s="278">
        <v>0</v>
      </c>
      <c r="AV112" s="53">
        <f t="shared" si="97"/>
        <v>0</v>
      </c>
      <c r="AW112" s="273">
        <v>1</v>
      </c>
      <c r="AX112" s="53">
        <f t="shared" si="98"/>
        <v>6000</v>
      </c>
      <c r="AY112" s="76">
        <v>2</v>
      </c>
      <c r="AZ112" s="53">
        <f t="shared" si="99"/>
        <v>12000</v>
      </c>
      <c r="BA112" s="273">
        <v>5</v>
      </c>
      <c r="BB112" s="53">
        <f t="shared" si="100"/>
        <v>30000</v>
      </c>
      <c r="BC112" s="273">
        <v>5</v>
      </c>
      <c r="BD112" s="53">
        <f t="shared" si="101"/>
        <v>30000</v>
      </c>
      <c r="BE112" s="273">
        <v>10</v>
      </c>
      <c r="BF112" s="53">
        <f t="shared" si="102"/>
        <v>60000</v>
      </c>
      <c r="BG112" s="278">
        <v>5</v>
      </c>
      <c r="BH112" s="53">
        <f t="shared" si="103"/>
        <v>30000</v>
      </c>
      <c r="BI112" s="278"/>
      <c r="BJ112" s="53">
        <f t="shared" si="104"/>
        <v>0</v>
      </c>
      <c r="BK112" s="230">
        <f t="shared" si="131"/>
        <v>51</v>
      </c>
      <c r="BL112" s="53">
        <f t="shared" si="131"/>
        <v>306000</v>
      </c>
      <c r="BM112" s="315" t="s">
        <v>482</v>
      </c>
      <c r="BN112" s="709">
        <f t="shared" si="114"/>
        <v>306000</v>
      </c>
      <c r="BO112" s="236"/>
      <c r="BP112" s="276"/>
      <c r="BQ112" s="276">
        <f t="shared" ref="BQ112:BQ124" si="142">H112</f>
        <v>306000</v>
      </c>
      <c r="BR112" s="276"/>
      <c r="BS112" s="113">
        <f t="shared" ref="BS112:BS125" si="143">BO112+BP112+BQ112+BR112</f>
        <v>306000</v>
      </c>
      <c r="BT112" s="276"/>
      <c r="BU112" s="276"/>
      <c r="BV112" s="113"/>
      <c r="BW112" s="223">
        <f t="shared" ref="BW112:BW125" si="144">BS112+BV112</f>
        <v>306000</v>
      </c>
      <c r="BX112" s="275"/>
      <c r="BY112" s="275"/>
      <c r="BZ112" s="275"/>
      <c r="CA112" s="275"/>
      <c r="CB112" s="275"/>
      <c r="CC112" s="275"/>
      <c r="CD112" s="275"/>
      <c r="CE112" s="275"/>
    </row>
    <row r="113" spans="1:83" s="279" customFormat="1" ht="20.25" customHeight="1" x14ac:dyDescent="0.25">
      <c r="A113" s="874"/>
      <c r="B113" s="243"/>
      <c r="C113" s="171"/>
      <c r="D113" s="133" t="s">
        <v>659</v>
      </c>
      <c r="E113" s="38" t="s">
        <v>153</v>
      </c>
      <c r="F113" s="237">
        <v>50000</v>
      </c>
      <c r="G113" s="228">
        <f t="shared" si="84"/>
        <v>0</v>
      </c>
      <c r="H113" s="236">
        <f t="shared" si="134"/>
        <v>0</v>
      </c>
      <c r="I113" s="236">
        <f t="shared" si="135"/>
        <v>0</v>
      </c>
      <c r="J113" s="236">
        <f t="shared" si="136"/>
        <v>0</v>
      </c>
      <c r="K113" s="245"/>
      <c r="L113" s="245"/>
      <c r="M113" s="245"/>
      <c r="N113" s="245"/>
      <c r="O113" s="245"/>
      <c r="P113" s="245"/>
      <c r="Q113" s="236">
        <f t="shared" si="137"/>
        <v>0</v>
      </c>
      <c r="R113" s="236"/>
      <c r="S113" s="278"/>
      <c r="T113" s="278"/>
      <c r="U113" s="278">
        <f>G113</f>
        <v>0</v>
      </c>
      <c r="V113" s="278"/>
      <c r="W113" s="227">
        <f t="shared" si="138"/>
        <v>0</v>
      </c>
      <c r="X113" s="227">
        <f t="shared" si="139"/>
        <v>0</v>
      </c>
      <c r="Y113" s="227">
        <f t="shared" si="140"/>
        <v>0</v>
      </c>
      <c r="Z113" s="227">
        <f t="shared" si="141"/>
        <v>0</v>
      </c>
      <c r="AA113" s="278">
        <v>0</v>
      </c>
      <c r="AB113" s="227">
        <f t="shared" si="129"/>
        <v>0</v>
      </c>
      <c r="AC113" s="278">
        <v>0</v>
      </c>
      <c r="AD113" s="231">
        <f t="shared" si="130"/>
        <v>0</v>
      </c>
      <c r="AE113" s="278">
        <v>0</v>
      </c>
      <c r="AF113" s="53">
        <f t="shared" si="89"/>
        <v>0</v>
      </c>
      <c r="AG113" s="278">
        <v>0</v>
      </c>
      <c r="AH113" s="53">
        <f t="shared" si="90"/>
        <v>0</v>
      </c>
      <c r="AI113" s="278">
        <v>0</v>
      </c>
      <c r="AJ113" s="53">
        <f t="shared" si="91"/>
        <v>0</v>
      </c>
      <c r="AK113" s="278">
        <v>0</v>
      </c>
      <c r="AL113" s="53">
        <f t="shared" si="92"/>
        <v>0</v>
      </c>
      <c r="AM113" s="278">
        <v>0</v>
      </c>
      <c r="AN113" s="53">
        <f t="shared" si="93"/>
        <v>0</v>
      </c>
      <c r="AO113" s="278">
        <v>0</v>
      </c>
      <c r="AP113" s="53">
        <f t="shared" si="94"/>
        <v>0</v>
      </c>
      <c r="AQ113" s="278">
        <v>0</v>
      </c>
      <c r="AR113" s="53">
        <f t="shared" si="95"/>
        <v>0</v>
      </c>
      <c r="AS113" s="278">
        <v>0</v>
      </c>
      <c r="AT113" s="53">
        <f t="shared" si="96"/>
        <v>0</v>
      </c>
      <c r="AU113" s="278">
        <v>0</v>
      </c>
      <c r="AV113" s="53">
        <f t="shared" si="97"/>
        <v>0</v>
      </c>
      <c r="AW113" s="273">
        <v>0</v>
      </c>
      <c r="AX113" s="53">
        <f t="shared" si="98"/>
        <v>0</v>
      </c>
      <c r="AY113" s="76">
        <v>0</v>
      </c>
      <c r="AZ113" s="53">
        <f t="shared" si="99"/>
        <v>0</v>
      </c>
      <c r="BA113" s="273">
        <v>0</v>
      </c>
      <c r="BB113" s="53">
        <f t="shared" si="100"/>
        <v>0</v>
      </c>
      <c r="BC113" s="273">
        <v>0</v>
      </c>
      <c r="BD113" s="53">
        <f t="shared" si="101"/>
        <v>0</v>
      </c>
      <c r="BE113" s="273">
        <v>0</v>
      </c>
      <c r="BF113" s="53">
        <f t="shared" si="102"/>
        <v>0</v>
      </c>
      <c r="BG113" s="278">
        <v>0</v>
      </c>
      <c r="BH113" s="53">
        <f t="shared" si="103"/>
        <v>0</v>
      </c>
      <c r="BI113" s="278"/>
      <c r="BJ113" s="53">
        <f t="shared" si="104"/>
        <v>0</v>
      </c>
      <c r="BK113" s="230">
        <f t="shared" si="131"/>
        <v>0</v>
      </c>
      <c r="BL113" s="53">
        <f t="shared" si="131"/>
        <v>0</v>
      </c>
      <c r="BM113" s="315" t="s">
        <v>482</v>
      </c>
      <c r="BN113" s="709">
        <f t="shared" si="114"/>
        <v>0</v>
      </c>
      <c r="BO113" s="236"/>
      <c r="BP113" s="276"/>
      <c r="BQ113" s="276">
        <f t="shared" si="142"/>
        <v>0</v>
      </c>
      <c r="BR113" s="276"/>
      <c r="BS113" s="113">
        <f t="shared" si="143"/>
        <v>0</v>
      </c>
      <c r="BT113" s="276"/>
      <c r="BU113" s="276"/>
      <c r="BV113" s="113"/>
      <c r="BW113" s="223">
        <f t="shared" si="144"/>
        <v>0</v>
      </c>
      <c r="BX113" s="275"/>
      <c r="BY113" s="275"/>
      <c r="BZ113" s="275"/>
      <c r="CA113" s="275"/>
      <c r="CB113" s="275"/>
      <c r="CC113" s="275"/>
      <c r="CD113" s="275"/>
      <c r="CE113" s="275"/>
    </row>
    <row r="114" spans="1:83" s="279" customFormat="1" ht="20.25" customHeight="1" x14ac:dyDescent="0.25">
      <c r="A114" s="874"/>
      <c r="B114" s="243"/>
      <c r="C114" s="171"/>
      <c r="D114" s="171" t="s">
        <v>660</v>
      </c>
      <c r="E114" s="171" t="s">
        <v>153</v>
      </c>
      <c r="F114" s="237">
        <v>50000</v>
      </c>
      <c r="G114" s="560">
        <f t="shared" si="84"/>
        <v>0</v>
      </c>
      <c r="H114" s="245">
        <f t="shared" si="134"/>
        <v>0</v>
      </c>
      <c r="I114" s="245">
        <f t="shared" si="135"/>
        <v>0</v>
      </c>
      <c r="J114" s="245">
        <f t="shared" si="136"/>
        <v>0</v>
      </c>
      <c r="K114" s="245"/>
      <c r="L114" s="245"/>
      <c r="M114" s="245"/>
      <c r="N114" s="245"/>
      <c r="O114" s="245"/>
      <c r="P114" s="245"/>
      <c r="Q114" s="245">
        <f t="shared" si="137"/>
        <v>0</v>
      </c>
      <c r="R114" s="245"/>
      <c r="S114" s="278"/>
      <c r="T114" s="278"/>
      <c r="U114" s="278">
        <f t="shared" ref="U114:U122" si="145">G114</f>
        <v>0</v>
      </c>
      <c r="V114" s="278"/>
      <c r="W114" s="562">
        <f t="shared" si="138"/>
        <v>0</v>
      </c>
      <c r="X114" s="562">
        <f t="shared" si="139"/>
        <v>0</v>
      </c>
      <c r="Y114" s="562">
        <f t="shared" si="140"/>
        <v>0</v>
      </c>
      <c r="Z114" s="562">
        <f t="shared" si="141"/>
        <v>0</v>
      </c>
      <c r="AA114" s="278">
        <v>0</v>
      </c>
      <c r="AB114" s="562">
        <f t="shared" si="129"/>
        <v>0</v>
      </c>
      <c r="AC114" s="278">
        <v>0</v>
      </c>
      <c r="AD114" s="561">
        <f t="shared" si="130"/>
        <v>0</v>
      </c>
      <c r="AE114" s="278">
        <v>0</v>
      </c>
      <c r="AF114" s="563">
        <f t="shared" si="89"/>
        <v>0</v>
      </c>
      <c r="AG114" s="278">
        <v>0</v>
      </c>
      <c r="AH114" s="563">
        <f t="shared" si="90"/>
        <v>0</v>
      </c>
      <c r="AI114" s="278">
        <v>0</v>
      </c>
      <c r="AJ114" s="563">
        <f t="shared" si="91"/>
        <v>0</v>
      </c>
      <c r="AK114" s="278">
        <v>0</v>
      </c>
      <c r="AL114" s="563">
        <f t="shared" si="92"/>
        <v>0</v>
      </c>
      <c r="AM114" s="278">
        <v>0</v>
      </c>
      <c r="AN114" s="563">
        <f t="shared" si="93"/>
        <v>0</v>
      </c>
      <c r="AO114" s="278">
        <v>0</v>
      </c>
      <c r="AP114" s="563">
        <f t="shared" si="94"/>
        <v>0</v>
      </c>
      <c r="AQ114" s="278">
        <v>0</v>
      </c>
      <c r="AR114" s="563">
        <f t="shared" si="95"/>
        <v>0</v>
      </c>
      <c r="AS114" s="278">
        <v>0</v>
      </c>
      <c r="AT114" s="563">
        <f t="shared" si="96"/>
        <v>0</v>
      </c>
      <c r="AU114" s="278">
        <v>0</v>
      </c>
      <c r="AV114" s="563">
        <f t="shared" si="97"/>
        <v>0</v>
      </c>
      <c r="AW114" s="278">
        <v>0</v>
      </c>
      <c r="AX114" s="563">
        <f t="shared" si="98"/>
        <v>0</v>
      </c>
      <c r="AY114" s="280">
        <v>0</v>
      </c>
      <c r="AZ114" s="563">
        <f t="shared" si="99"/>
        <v>0</v>
      </c>
      <c r="BA114" s="278">
        <v>0</v>
      </c>
      <c r="BB114" s="563">
        <f t="shared" si="100"/>
        <v>0</v>
      </c>
      <c r="BC114" s="278">
        <v>0</v>
      </c>
      <c r="BD114" s="563">
        <f t="shared" si="101"/>
        <v>0</v>
      </c>
      <c r="BE114" s="278">
        <v>0</v>
      </c>
      <c r="BF114" s="563">
        <f t="shared" si="102"/>
        <v>0</v>
      </c>
      <c r="BG114" s="278">
        <v>0</v>
      </c>
      <c r="BH114" s="563">
        <f t="shared" si="103"/>
        <v>0</v>
      </c>
      <c r="BI114" s="278"/>
      <c r="BJ114" s="563">
        <f t="shared" si="104"/>
        <v>0</v>
      </c>
      <c r="BK114" s="272">
        <f t="shared" si="131"/>
        <v>0</v>
      </c>
      <c r="BL114" s="563">
        <f t="shared" si="131"/>
        <v>0</v>
      </c>
      <c r="BM114" s="566" t="s">
        <v>482</v>
      </c>
      <c r="BN114" s="709">
        <f t="shared" si="114"/>
        <v>0</v>
      </c>
      <c r="BO114" s="245"/>
      <c r="BP114" s="567"/>
      <c r="BQ114" s="567">
        <f t="shared" si="142"/>
        <v>0</v>
      </c>
      <c r="BR114" s="567"/>
      <c r="BS114" s="178">
        <f t="shared" si="143"/>
        <v>0</v>
      </c>
      <c r="BT114" s="567"/>
      <c r="BU114" s="567"/>
      <c r="BV114" s="178"/>
      <c r="BW114" s="179">
        <f t="shared" si="144"/>
        <v>0</v>
      </c>
    </row>
    <row r="115" spans="1:83" s="279" customFormat="1" ht="20.25" customHeight="1" x14ac:dyDescent="0.25">
      <c r="A115" s="874"/>
      <c r="B115" s="243"/>
      <c r="C115" s="171"/>
      <c r="D115" s="171" t="s">
        <v>806</v>
      </c>
      <c r="E115" s="171" t="s">
        <v>153</v>
      </c>
      <c r="F115" s="643">
        <v>50000</v>
      </c>
      <c r="G115" s="560">
        <f>BK115</f>
        <v>34</v>
      </c>
      <c r="H115" s="245">
        <f t="shared" si="134"/>
        <v>1700000</v>
      </c>
      <c r="I115" s="245"/>
      <c r="J115" s="245"/>
      <c r="K115" s="245"/>
      <c r="L115" s="245"/>
      <c r="M115" s="245"/>
      <c r="N115" s="245"/>
      <c r="O115" s="245"/>
      <c r="P115" s="245"/>
      <c r="Q115" s="245"/>
      <c r="R115" s="245">
        <f t="shared" ref="R115:R120" si="146">H115*1</f>
        <v>1700000</v>
      </c>
      <c r="S115" s="561"/>
      <c r="T115" s="561">
        <f>G115*0.7</f>
        <v>23.799999999999997</v>
      </c>
      <c r="U115" s="561"/>
      <c r="V115" s="278">
        <f>G115*0.3</f>
        <v>10.199999999999999</v>
      </c>
      <c r="W115" s="562">
        <f t="shared" si="138"/>
        <v>0</v>
      </c>
      <c r="X115" s="562">
        <f t="shared" si="139"/>
        <v>1189999.9999999998</v>
      </c>
      <c r="Y115" s="562">
        <f t="shared" si="140"/>
        <v>0</v>
      </c>
      <c r="Z115" s="562">
        <f t="shared" si="141"/>
        <v>509999.99999999994</v>
      </c>
      <c r="AA115" s="278">
        <v>2</v>
      </c>
      <c r="AB115" s="562">
        <f t="shared" si="129"/>
        <v>100000</v>
      </c>
      <c r="AC115" s="278">
        <v>2</v>
      </c>
      <c r="AD115" s="561">
        <f t="shared" si="130"/>
        <v>100000</v>
      </c>
      <c r="AE115" s="278">
        <v>2</v>
      </c>
      <c r="AF115" s="563">
        <f t="shared" si="89"/>
        <v>100000</v>
      </c>
      <c r="AG115" s="278">
        <v>2</v>
      </c>
      <c r="AH115" s="563">
        <f t="shared" si="90"/>
        <v>100000</v>
      </c>
      <c r="AI115" s="278">
        <v>2</v>
      </c>
      <c r="AJ115" s="563">
        <f t="shared" si="91"/>
        <v>100000</v>
      </c>
      <c r="AK115" s="278">
        <v>1</v>
      </c>
      <c r="AL115" s="563">
        <f t="shared" si="92"/>
        <v>50000</v>
      </c>
      <c r="AM115" s="278">
        <v>2</v>
      </c>
      <c r="AN115" s="563">
        <f t="shared" si="93"/>
        <v>100000</v>
      </c>
      <c r="AO115" s="278">
        <v>2</v>
      </c>
      <c r="AP115" s="563">
        <f t="shared" si="94"/>
        <v>100000</v>
      </c>
      <c r="AQ115" s="278">
        <v>2</v>
      </c>
      <c r="AR115" s="563">
        <f t="shared" si="95"/>
        <v>100000</v>
      </c>
      <c r="AS115" s="278">
        <v>2</v>
      </c>
      <c r="AT115" s="563">
        <f t="shared" si="96"/>
        <v>100000</v>
      </c>
      <c r="AU115" s="278">
        <v>4</v>
      </c>
      <c r="AV115" s="563">
        <f t="shared" si="97"/>
        <v>200000</v>
      </c>
      <c r="AW115" s="278">
        <v>0</v>
      </c>
      <c r="AX115" s="563">
        <f t="shared" si="98"/>
        <v>0</v>
      </c>
      <c r="AY115" s="280">
        <v>2</v>
      </c>
      <c r="AZ115" s="563">
        <f t="shared" si="99"/>
        <v>100000</v>
      </c>
      <c r="BA115" s="278">
        <v>1</v>
      </c>
      <c r="BB115" s="563">
        <f t="shared" si="100"/>
        <v>50000</v>
      </c>
      <c r="BC115" s="278">
        <v>2</v>
      </c>
      <c r="BD115" s="563">
        <f t="shared" si="101"/>
        <v>100000</v>
      </c>
      <c r="BE115" s="644">
        <v>4</v>
      </c>
      <c r="BF115" s="563">
        <f t="shared" si="102"/>
        <v>200000</v>
      </c>
      <c r="BG115" s="278">
        <v>2</v>
      </c>
      <c r="BH115" s="563">
        <f t="shared" si="103"/>
        <v>100000</v>
      </c>
      <c r="BI115" s="278"/>
      <c r="BJ115" s="563">
        <f t="shared" si="104"/>
        <v>0</v>
      </c>
      <c r="BK115" s="272">
        <f t="shared" si="131"/>
        <v>34</v>
      </c>
      <c r="BL115" s="563">
        <f t="shared" si="131"/>
        <v>1700000</v>
      </c>
      <c r="BM115" s="566" t="s">
        <v>731</v>
      </c>
      <c r="BN115" s="709">
        <f t="shared" si="114"/>
        <v>1700000</v>
      </c>
      <c r="BO115" s="245"/>
      <c r="BP115" s="567"/>
      <c r="BQ115" s="567">
        <f t="shared" si="142"/>
        <v>1700000</v>
      </c>
      <c r="BR115" s="567"/>
      <c r="BS115" s="178">
        <f t="shared" si="143"/>
        <v>1700000</v>
      </c>
      <c r="BT115" s="567"/>
      <c r="BU115" s="567"/>
      <c r="BV115" s="178"/>
      <c r="BW115" s="179"/>
    </row>
    <row r="116" spans="1:83" s="279" customFormat="1" ht="20.25" customHeight="1" x14ac:dyDescent="0.25">
      <c r="A116" s="874"/>
      <c r="B116" s="243"/>
      <c r="C116" s="171"/>
      <c r="D116" s="171" t="s">
        <v>661</v>
      </c>
      <c r="E116" s="171" t="s">
        <v>153</v>
      </c>
      <c r="F116" s="237">
        <v>50000</v>
      </c>
      <c r="G116" s="560">
        <f t="shared" si="84"/>
        <v>35</v>
      </c>
      <c r="H116" s="245">
        <f t="shared" si="134"/>
        <v>1750000</v>
      </c>
      <c r="I116" s="245"/>
      <c r="J116" s="245"/>
      <c r="K116" s="245"/>
      <c r="L116" s="245"/>
      <c r="M116" s="245"/>
      <c r="N116" s="245"/>
      <c r="O116" s="245"/>
      <c r="P116" s="245"/>
      <c r="Q116" s="245"/>
      <c r="R116" s="245">
        <f t="shared" si="146"/>
        <v>1750000</v>
      </c>
      <c r="S116" s="561">
        <f>G116*0.65</f>
        <v>22.75</v>
      </c>
      <c r="T116" s="561">
        <f>G116*0.35</f>
        <v>12.25</v>
      </c>
      <c r="U116" s="278"/>
      <c r="V116" s="278"/>
      <c r="W116" s="562">
        <f t="shared" si="138"/>
        <v>1137500</v>
      </c>
      <c r="X116" s="562">
        <f t="shared" si="139"/>
        <v>612500</v>
      </c>
      <c r="Y116" s="562">
        <f t="shared" si="140"/>
        <v>0</v>
      </c>
      <c r="Z116" s="562">
        <f t="shared" si="141"/>
        <v>0</v>
      </c>
      <c r="AA116" s="278">
        <v>2</v>
      </c>
      <c r="AB116" s="562">
        <f t="shared" si="129"/>
        <v>100000</v>
      </c>
      <c r="AC116" s="278">
        <v>1</v>
      </c>
      <c r="AD116" s="561">
        <f t="shared" si="130"/>
        <v>50000</v>
      </c>
      <c r="AE116" s="278">
        <v>2</v>
      </c>
      <c r="AF116" s="563">
        <f t="shared" si="89"/>
        <v>100000</v>
      </c>
      <c r="AG116" s="278">
        <v>2</v>
      </c>
      <c r="AH116" s="563">
        <f t="shared" si="90"/>
        <v>100000</v>
      </c>
      <c r="AI116" s="278">
        <v>2</v>
      </c>
      <c r="AJ116" s="563">
        <f t="shared" si="91"/>
        <v>100000</v>
      </c>
      <c r="AK116" s="278">
        <v>2</v>
      </c>
      <c r="AL116" s="563">
        <f t="shared" si="92"/>
        <v>100000</v>
      </c>
      <c r="AM116" s="278">
        <v>2</v>
      </c>
      <c r="AN116" s="563">
        <f t="shared" si="93"/>
        <v>100000</v>
      </c>
      <c r="AO116" s="278">
        <v>3</v>
      </c>
      <c r="AP116" s="563">
        <f t="shared" si="94"/>
        <v>150000</v>
      </c>
      <c r="AQ116" s="278">
        <v>1</v>
      </c>
      <c r="AR116" s="563">
        <f t="shared" si="95"/>
        <v>50000</v>
      </c>
      <c r="AS116" s="278">
        <v>2</v>
      </c>
      <c r="AT116" s="563">
        <f t="shared" si="96"/>
        <v>100000</v>
      </c>
      <c r="AU116" s="278">
        <v>3</v>
      </c>
      <c r="AV116" s="563">
        <f t="shared" si="97"/>
        <v>150000</v>
      </c>
      <c r="AW116" s="278">
        <v>2</v>
      </c>
      <c r="AX116" s="563">
        <f t="shared" si="98"/>
        <v>100000</v>
      </c>
      <c r="AY116" s="280">
        <v>3</v>
      </c>
      <c r="AZ116" s="563">
        <f t="shared" si="99"/>
        <v>150000</v>
      </c>
      <c r="BA116" s="278">
        <v>2</v>
      </c>
      <c r="BB116" s="563">
        <f t="shared" si="100"/>
        <v>100000</v>
      </c>
      <c r="BC116" s="278">
        <v>2</v>
      </c>
      <c r="BD116" s="563">
        <f t="shared" si="101"/>
        <v>100000</v>
      </c>
      <c r="BE116" s="278">
        <v>2</v>
      </c>
      <c r="BF116" s="563">
        <f t="shared" si="102"/>
        <v>100000</v>
      </c>
      <c r="BG116" s="278">
        <v>2</v>
      </c>
      <c r="BH116" s="563">
        <f t="shared" si="103"/>
        <v>100000</v>
      </c>
      <c r="BI116" s="278"/>
      <c r="BJ116" s="563">
        <f t="shared" si="104"/>
        <v>0</v>
      </c>
      <c r="BK116" s="272">
        <f t="shared" si="131"/>
        <v>35</v>
      </c>
      <c r="BL116" s="563">
        <f t="shared" si="131"/>
        <v>1750000</v>
      </c>
      <c r="BM116" s="566" t="s">
        <v>731</v>
      </c>
      <c r="BN116" s="709">
        <f t="shared" si="114"/>
        <v>1750000</v>
      </c>
      <c r="BO116" s="245"/>
      <c r="BP116" s="567"/>
      <c r="BQ116" s="567">
        <f t="shared" si="142"/>
        <v>1750000</v>
      </c>
      <c r="BR116" s="567"/>
      <c r="BS116" s="178">
        <f t="shared" si="143"/>
        <v>1750000</v>
      </c>
      <c r="BT116" s="567"/>
      <c r="BU116" s="567"/>
      <c r="BV116" s="178"/>
      <c r="BW116" s="179">
        <f t="shared" si="144"/>
        <v>1750000</v>
      </c>
    </row>
    <row r="117" spans="1:83" s="279" customFormat="1" ht="20.25" customHeight="1" x14ac:dyDescent="0.25">
      <c r="A117" s="874"/>
      <c r="B117" s="243"/>
      <c r="C117" s="171"/>
      <c r="D117" s="171" t="s">
        <v>662</v>
      </c>
      <c r="E117" s="171" t="s">
        <v>153</v>
      </c>
      <c r="F117" s="237">
        <v>62500</v>
      </c>
      <c r="G117" s="560">
        <f t="shared" si="84"/>
        <v>10</v>
      </c>
      <c r="H117" s="245">
        <f t="shared" si="134"/>
        <v>625000</v>
      </c>
      <c r="I117" s="245"/>
      <c r="J117" s="245"/>
      <c r="K117" s="245"/>
      <c r="L117" s="245"/>
      <c r="M117" s="245"/>
      <c r="N117" s="245"/>
      <c r="O117" s="245"/>
      <c r="P117" s="245"/>
      <c r="Q117" s="245"/>
      <c r="R117" s="245">
        <f t="shared" si="146"/>
        <v>625000</v>
      </c>
      <c r="S117" s="278"/>
      <c r="T117" s="278"/>
      <c r="U117" s="278">
        <f t="shared" si="145"/>
        <v>10</v>
      </c>
      <c r="V117" s="278"/>
      <c r="W117" s="562">
        <f t="shared" si="138"/>
        <v>0</v>
      </c>
      <c r="X117" s="562">
        <f t="shared" si="139"/>
        <v>0</v>
      </c>
      <c r="Y117" s="562">
        <f t="shared" si="140"/>
        <v>625000</v>
      </c>
      <c r="Z117" s="562">
        <f t="shared" si="141"/>
        <v>0</v>
      </c>
      <c r="AA117" s="278">
        <v>1</v>
      </c>
      <c r="AB117" s="562">
        <f t="shared" si="129"/>
        <v>62500</v>
      </c>
      <c r="AC117" s="278">
        <v>0</v>
      </c>
      <c r="AD117" s="561">
        <f t="shared" si="130"/>
        <v>0</v>
      </c>
      <c r="AE117" s="278">
        <v>0</v>
      </c>
      <c r="AF117" s="563">
        <f t="shared" si="89"/>
        <v>0</v>
      </c>
      <c r="AG117" s="278">
        <v>2</v>
      </c>
      <c r="AH117" s="563">
        <f t="shared" si="90"/>
        <v>125000</v>
      </c>
      <c r="AI117" s="278">
        <v>0</v>
      </c>
      <c r="AJ117" s="563">
        <f t="shared" si="91"/>
        <v>0</v>
      </c>
      <c r="AK117" s="278">
        <v>0</v>
      </c>
      <c r="AL117" s="563">
        <f t="shared" si="92"/>
        <v>0</v>
      </c>
      <c r="AM117" s="278">
        <v>1</v>
      </c>
      <c r="AN117" s="563">
        <f t="shared" si="93"/>
        <v>62500</v>
      </c>
      <c r="AO117" s="278">
        <v>1</v>
      </c>
      <c r="AP117" s="563">
        <f t="shared" si="94"/>
        <v>62500</v>
      </c>
      <c r="AQ117" s="278">
        <v>0</v>
      </c>
      <c r="AR117" s="563">
        <f t="shared" si="95"/>
        <v>0</v>
      </c>
      <c r="AS117" s="278">
        <v>0</v>
      </c>
      <c r="AT117" s="563">
        <f t="shared" si="96"/>
        <v>0</v>
      </c>
      <c r="AU117" s="278">
        <v>1</v>
      </c>
      <c r="AV117" s="563">
        <f t="shared" si="97"/>
        <v>62500</v>
      </c>
      <c r="AW117" s="278">
        <v>1</v>
      </c>
      <c r="AX117" s="563">
        <f t="shared" si="98"/>
        <v>62500</v>
      </c>
      <c r="AY117" s="280">
        <v>1</v>
      </c>
      <c r="AZ117" s="563">
        <f t="shared" si="99"/>
        <v>62500</v>
      </c>
      <c r="BA117" s="278">
        <v>1</v>
      </c>
      <c r="BB117" s="563">
        <f t="shared" si="100"/>
        <v>62500</v>
      </c>
      <c r="BC117" s="278">
        <v>0</v>
      </c>
      <c r="BD117" s="563">
        <f t="shared" si="101"/>
        <v>0</v>
      </c>
      <c r="BE117" s="278">
        <v>1</v>
      </c>
      <c r="BF117" s="563">
        <f t="shared" si="102"/>
        <v>62500</v>
      </c>
      <c r="BG117" s="278">
        <v>0</v>
      </c>
      <c r="BH117" s="563">
        <f t="shared" si="103"/>
        <v>0</v>
      </c>
      <c r="BI117" s="278"/>
      <c r="BJ117" s="563">
        <f t="shared" si="104"/>
        <v>0</v>
      </c>
      <c r="BK117" s="272">
        <f t="shared" si="131"/>
        <v>10</v>
      </c>
      <c r="BL117" s="563">
        <f t="shared" si="131"/>
        <v>625000</v>
      </c>
      <c r="BM117" s="566" t="s">
        <v>731</v>
      </c>
      <c r="BN117" s="709">
        <f t="shared" si="114"/>
        <v>625000</v>
      </c>
      <c r="BO117" s="245"/>
      <c r="BP117" s="567"/>
      <c r="BQ117" s="567">
        <f t="shared" si="142"/>
        <v>625000</v>
      </c>
      <c r="BR117" s="567"/>
      <c r="BS117" s="178">
        <f t="shared" si="143"/>
        <v>625000</v>
      </c>
      <c r="BT117" s="567"/>
      <c r="BU117" s="567"/>
      <c r="BV117" s="178"/>
      <c r="BW117" s="179">
        <f t="shared" si="144"/>
        <v>625000</v>
      </c>
    </row>
    <row r="118" spans="1:83" s="279" customFormat="1" ht="20.25" customHeight="1" x14ac:dyDescent="0.25">
      <c r="A118" s="874"/>
      <c r="B118" s="243"/>
      <c r="C118" s="171"/>
      <c r="D118" s="171" t="s">
        <v>663</v>
      </c>
      <c r="E118" s="171" t="s">
        <v>153</v>
      </c>
      <c r="F118" s="237">
        <v>62500</v>
      </c>
      <c r="G118" s="560">
        <f t="shared" si="84"/>
        <v>10</v>
      </c>
      <c r="H118" s="245">
        <f t="shared" si="134"/>
        <v>625000</v>
      </c>
      <c r="I118" s="245"/>
      <c r="J118" s="245"/>
      <c r="K118" s="245"/>
      <c r="L118" s="245"/>
      <c r="M118" s="245"/>
      <c r="N118" s="245"/>
      <c r="O118" s="245"/>
      <c r="P118" s="245"/>
      <c r="Q118" s="245"/>
      <c r="R118" s="245">
        <f t="shared" si="146"/>
        <v>625000</v>
      </c>
      <c r="S118" s="278"/>
      <c r="T118" s="278"/>
      <c r="U118" s="278">
        <f t="shared" si="145"/>
        <v>10</v>
      </c>
      <c r="V118" s="278"/>
      <c r="W118" s="562">
        <f t="shared" si="138"/>
        <v>0</v>
      </c>
      <c r="X118" s="562">
        <f t="shared" si="139"/>
        <v>0</v>
      </c>
      <c r="Y118" s="562">
        <f t="shared" si="140"/>
        <v>625000</v>
      </c>
      <c r="Z118" s="562">
        <f t="shared" si="141"/>
        <v>0</v>
      </c>
      <c r="AA118" s="278">
        <v>1</v>
      </c>
      <c r="AB118" s="562">
        <f t="shared" si="129"/>
        <v>62500</v>
      </c>
      <c r="AC118" s="278">
        <v>0</v>
      </c>
      <c r="AD118" s="561">
        <f t="shared" si="130"/>
        <v>0</v>
      </c>
      <c r="AE118" s="278">
        <v>1</v>
      </c>
      <c r="AF118" s="563">
        <f t="shared" si="89"/>
        <v>62500</v>
      </c>
      <c r="AG118" s="278">
        <v>1</v>
      </c>
      <c r="AH118" s="563">
        <f t="shared" si="90"/>
        <v>62500</v>
      </c>
      <c r="AI118" s="278">
        <v>0</v>
      </c>
      <c r="AJ118" s="563">
        <f t="shared" si="91"/>
        <v>0</v>
      </c>
      <c r="AK118" s="278">
        <v>0</v>
      </c>
      <c r="AL118" s="563">
        <f t="shared" si="92"/>
        <v>0</v>
      </c>
      <c r="AM118" s="278">
        <v>1</v>
      </c>
      <c r="AN118" s="563">
        <f t="shared" si="93"/>
        <v>62500</v>
      </c>
      <c r="AO118" s="278">
        <v>1</v>
      </c>
      <c r="AP118" s="563">
        <f t="shared" si="94"/>
        <v>62500</v>
      </c>
      <c r="AQ118" s="278">
        <v>0</v>
      </c>
      <c r="AR118" s="563">
        <f t="shared" si="95"/>
        <v>0</v>
      </c>
      <c r="AS118" s="278">
        <v>0</v>
      </c>
      <c r="AT118" s="563">
        <f t="shared" si="96"/>
        <v>0</v>
      </c>
      <c r="AU118" s="278">
        <v>1</v>
      </c>
      <c r="AV118" s="563">
        <f t="shared" si="97"/>
        <v>62500</v>
      </c>
      <c r="AW118" s="278">
        <v>1</v>
      </c>
      <c r="AX118" s="563">
        <f t="shared" si="98"/>
        <v>62500</v>
      </c>
      <c r="AY118" s="280">
        <v>1</v>
      </c>
      <c r="AZ118" s="563">
        <f t="shared" si="99"/>
        <v>62500</v>
      </c>
      <c r="BA118" s="278">
        <v>1</v>
      </c>
      <c r="BB118" s="563">
        <f t="shared" si="100"/>
        <v>62500</v>
      </c>
      <c r="BC118" s="278">
        <v>0</v>
      </c>
      <c r="BD118" s="563">
        <f t="shared" si="101"/>
        <v>0</v>
      </c>
      <c r="BE118" s="278">
        <v>1</v>
      </c>
      <c r="BF118" s="563">
        <f t="shared" si="102"/>
        <v>62500</v>
      </c>
      <c r="BG118" s="278">
        <v>0</v>
      </c>
      <c r="BH118" s="563">
        <f t="shared" si="103"/>
        <v>0</v>
      </c>
      <c r="BI118" s="278"/>
      <c r="BJ118" s="563">
        <f t="shared" si="104"/>
        <v>0</v>
      </c>
      <c r="BK118" s="272">
        <f t="shared" si="131"/>
        <v>10</v>
      </c>
      <c r="BL118" s="563">
        <f t="shared" si="131"/>
        <v>625000</v>
      </c>
      <c r="BM118" s="566" t="s">
        <v>731</v>
      </c>
      <c r="BN118" s="709">
        <f t="shared" si="114"/>
        <v>625000</v>
      </c>
      <c r="BO118" s="245"/>
      <c r="BP118" s="567"/>
      <c r="BQ118" s="567">
        <f t="shared" si="142"/>
        <v>625000</v>
      </c>
      <c r="BR118" s="567"/>
      <c r="BS118" s="178">
        <f t="shared" si="143"/>
        <v>625000</v>
      </c>
      <c r="BT118" s="567"/>
      <c r="BU118" s="567"/>
      <c r="BV118" s="178"/>
      <c r="BW118" s="179">
        <f t="shared" si="144"/>
        <v>625000</v>
      </c>
    </row>
    <row r="119" spans="1:83" s="279" customFormat="1" ht="20.25" customHeight="1" x14ac:dyDescent="0.25">
      <c r="A119" s="874"/>
      <c r="B119" s="243"/>
      <c r="C119" s="171"/>
      <c r="D119" s="171" t="s">
        <v>668</v>
      </c>
      <c r="E119" s="171" t="s">
        <v>153</v>
      </c>
      <c r="F119" s="237">
        <v>50000</v>
      </c>
      <c r="G119" s="560">
        <f t="shared" si="84"/>
        <v>80</v>
      </c>
      <c r="H119" s="245">
        <f t="shared" si="134"/>
        <v>4000000</v>
      </c>
      <c r="I119" s="245"/>
      <c r="J119" s="245"/>
      <c r="K119" s="245"/>
      <c r="L119" s="245"/>
      <c r="M119" s="245"/>
      <c r="N119" s="245"/>
      <c r="O119" s="245"/>
      <c r="P119" s="245"/>
      <c r="Q119" s="245"/>
      <c r="R119" s="245">
        <f t="shared" si="146"/>
        <v>4000000</v>
      </c>
      <c r="S119" s="278"/>
      <c r="T119" s="278"/>
      <c r="U119" s="278">
        <f t="shared" si="145"/>
        <v>80</v>
      </c>
      <c r="V119" s="278"/>
      <c r="W119" s="562">
        <f t="shared" si="138"/>
        <v>0</v>
      </c>
      <c r="X119" s="562">
        <f t="shared" si="139"/>
        <v>0</v>
      </c>
      <c r="Y119" s="562">
        <f t="shared" si="140"/>
        <v>4000000</v>
      </c>
      <c r="Z119" s="562">
        <f t="shared" si="141"/>
        <v>0</v>
      </c>
      <c r="AA119" s="278">
        <v>5</v>
      </c>
      <c r="AB119" s="562">
        <f t="shared" si="129"/>
        <v>250000</v>
      </c>
      <c r="AC119" s="278">
        <v>5</v>
      </c>
      <c r="AD119" s="561">
        <f t="shared" si="130"/>
        <v>250000</v>
      </c>
      <c r="AE119" s="278">
        <v>5</v>
      </c>
      <c r="AF119" s="563">
        <f t="shared" si="89"/>
        <v>250000</v>
      </c>
      <c r="AG119" s="278">
        <v>5</v>
      </c>
      <c r="AH119" s="563">
        <f t="shared" si="90"/>
        <v>250000</v>
      </c>
      <c r="AI119" s="278">
        <v>5</v>
      </c>
      <c r="AJ119" s="563">
        <f t="shared" si="91"/>
        <v>250000</v>
      </c>
      <c r="AK119" s="278">
        <v>3</v>
      </c>
      <c r="AL119" s="563">
        <f t="shared" si="92"/>
        <v>150000</v>
      </c>
      <c r="AM119" s="278">
        <v>5</v>
      </c>
      <c r="AN119" s="563">
        <f t="shared" si="93"/>
        <v>250000</v>
      </c>
      <c r="AO119" s="278">
        <v>5</v>
      </c>
      <c r="AP119" s="563">
        <f t="shared" si="94"/>
        <v>250000</v>
      </c>
      <c r="AQ119" s="278">
        <v>2</v>
      </c>
      <c r="AR119" s="563">
        <f t="shared" si="95"/>
        <v>100000</v>
      </c>
      <c r="AS119" s="278">
        <v>5</v>
      </c>
      <c r="AT119" s="563">
        <f t="shared" si="96"/>
        <v>250000</v>
      </c>
      <c r="AU119" s="278">
        <v>5</v>
      </c>
      <c r="AV119" s="563">
        <f t="shared" si="97"/>
        <v>250000</v>
      </c>
      <c r="AW119" s="278">
        <v>5</v>
      </c>
      <c r="AX119" s="563">
        <f t="shared" si="98"/>
        <v>250000</v>
      </c>
      <c r="AY119" s="280">
        <v>5</v>
      </c>
      <c r="AZ119" s="563">
        <f t="shared" si="99"/>
        <v>250000</v>
      </c>
      <c r="BA119" s="278">
        <v>5</v>
      </c>
      <c r="BB119" s="563">
        <f t="shared" si="100"/>
        <v>250000</v>
      </c>
      <c r="BC119" s="278">
        <v>5</v>
      </c>
      <c r="BD119" s="563">
        <f t="shared" si="101"/>
        <v>250000</v>
      </c>
      <c r="BE119" s="278">
        <v>5</v>
      </c>
      <c r="BF119" s="563">
        <f t="shared" si="102"/>
        <v>250000</v>
      </c>
      <c r="BG119" s="278">
        <v>5</v>
      </c>
      <c r="BH119" s="563">
        <f t="shared" si="103"/>
        <v>250000</v>
      </c>
      <c r="BI119" s="278"/>
      <c r="BJ119" s="563">
        <f t="shared" si="104"/>
        <v>0</v>
      </c>
      <c r="BK119" s="272">
        <f t="shared" si="131"/>
        <v>80</v>
      </c>
      <c r="BL119" s="563">
        <f t="shared" si="131"/>
        <v>4000000</v>
      </c>
      <c r="BM119" s="566" t="s">
        <v>731</v>
      </c>
      <c r="BN119" s="709">
        <f t="shared" si="114"/>
        <v>4000000</v>
      </c>
      <c r="BO119" s="245"/>
      <c r="BP119" s="567"/>
      <c r="BQ119" s="567">
        <f t="shared" si="142"/>
        <v>4000000</v>
      </c>
      <c r="BR119" s="567"/>
      <c r="BS119" s="178">
        <f t="shared" si="143"/>
        <v>4000000</v>
      </c>
      <c r="BT119" s="567"/>
      <c r="BU119" s="567"/>
      <c r="BV119" s="178"/>
      <c r="BW119" s="179">
        <f t="shared" si="144"/>
        <v>4000000</v>
      </c>
    </row>
    <row r="120" spans="1:83" s="279" customFormat="1" ht="20.25" customHeight="1" x14ac:dyDescent="0.25">
      <c r="A120" s="874"/>
      <c r="B120" s="243"/>
      <c r="C120" s="171"/>
      <c r="D120" s="171" t="s">
        <v>805</v>
      </c>
      <c r="E120" s="171" t="s">
        <v>153</v>
      </c>
      <c r="F120" s="237">
        <v>50000</v>
      </c>
      <c r="G120" s="560">
        <f t="shared" si="84"/>
        <v>80</v>
      </c>
      <c r="H120" s="245">
        <f t="shared" si="134"/>
        <v>4000000</v>
      </c>
      <c r="I120" s="245"/>
      <c r="J120" s="245"/>
      <c r="K120" s="245"/>
      <c r="L120" s="245"/>
      <c r="M120" s="245"/>
      <c r="N120" s="245"/>
      <c r="O120" s="245"/>
      <c r="P120" s="245"/>
      <c r="Q120" s="245"/>
      <c r="R120" s="245">
        <f t="shared" si="146"/>
        <v>4000000</v>
      </c>
      <c r="S120" s="278"/>
      <c r="T120" s="278">
        <f>G120*0.5</f>
        <v>40</v>
      </c>
      <c r="U120" s="278"/>
      <c r="V120" s="278">
        <f>G120*0.5</f>
        <v>40</v>
      </c>
      <c r="W120" s="562">
        <f t="shared" si="138"/>
        <v>0</v>
      </c>
      <c r="X120" s="562">
        <f t="shared" si="139"/>
        <v>2000000</v>
      </c>
      <c r="Y120" s="562">
        <f t="shared" si="140"/>
        <v>0</v>
      </c>
      <c r="Z120" s="562">
        <f t="shared" si="141"/>
        <v>2000000</v>
      </c>
      <c r="AA120" s="278">
        <v>4</v>
      </c>
      <c r="AB120" s="562">
        <f t="shared" si="129"/>
        <v>200000</v>
      </c>
      <c r="AC120" s="278">
        <v>2</v>
      </c>
      <c r="AD120" s="561">
        <f t="shared" si="130"/>
        <v>100000</v>
      </c>
      <c r="AE120" s="278">
        <v>2</v>
      </c>
      <c r="AF120" s="563">
        <f t="shared" si="89"/>
        <v>100000</v>
      </c>
      <c r="AG120" s="278">
        <v>8</v>
      </c>
      <c r="AH120" s="563">
        <f t="shared" si="90"/>
        <v>400000</v>
      </c>
      <c r="AI120" s="278">
        <v>7</v>
      </c>
      <c r="AJ120" s="563">
        <f t="shared" si="91"/>
        <v>350000</v>
      </c>
      <c r="AK120" s="278">
        <v>4</v>
      </c>
      <c r="AL120" s="563">
        <f t="shared" si="92"/>
        <v>200000</v>
      </c>
      <c r="AM120" s="278">
        <v>7</v>
      </c>
      <c r="AN120" s="563">
        <f t="shared" si="93"/>
        <v>350000</v>
      </c>
      <c r="AO120" s="278">
        <v>3</v>
      </c>
      <c r="AP120" s="563">
        <f t="shared" si="94"/>
        <v>150000</v>
      </c>
      <c r="AQ120" s="278">
        <v>2</v>
      </c>
      <c r="AR120" s="563">
        <f t="shared" si="95"/>
        <v>100000</v>
      </c>
      <c r="AS120" s="278">
        <v>2</v>
      </c>
      <c r="AT120" s="563">
        <f t="shared" si="96"/>
        <v>100000</v>
      </c>
      <c r="AU120" s="278">
        <v>9</v>
      </c>
      <c r="AV120" s="563">
        <f t="shared" si="97"/>
        <v>450000</v>
      </c>
      <c r="AW120" s="278">
        <v>6</v>
      </c>
      <c r="AX120" s="563">
        <f t="shared" si="98"/>
        <v>300000</v>
      </c>
      <c r="AY120" s="280">
        <v>8</v>
      </c>
      <c r="AZ120" s="563">
        <f t="shared" si="99"/>
        <v>400000</v>
      </c>
      <c r="BA120" s="278">
        <v>3</v>
      </c>
      <c r="BB120" s="563">
        <f t="shared" si="100"/>
        <v>150000</v>
      </c>
      <c r="BC120" s="278">
        <v>5</v>
      </c>
      <c r="BD120" s="563">
        <f t="shared" si="101"/>
        <v>250000</v>
      </c>
      <c r="BE120" s="278">
        <v>4</v>
      </c>
      <c r="BF120" s="563">
        <f t="shared" si="102"/>
        <v>200000</v>
      </c>
      <c r="BG120" s="278">
        <v>4</v>
      </c>
      <c r="BH120" s="563">
        <f t="shared" si="103"/>
        <v>200000</v>
      </c>
      <c r="BI120" s="278"/>
      <c r="BJ120" s="563">
        <f t="shared" si="104"/>
        <v>0</v>
      </c>
      <c r="BK120" s="272">
        <f t="shared" si="131"/>
        <v>80</v>
      </c>
      <c r="BL120" s="563">
        <f t="shared" si="131"/>
        <v>4000000</v>
      </c>
      <c r="BM120" s="566" t="s">
        <v>731</v>
      </c>
      <c r="BN120" s="709">
        <f t="shared" si="114"/>
        <v>4000000</v>
      </c>
      <c r="BO120" s="245"/>
      <c r="BP120" s="567"/>
      <c r="BQ120" s="567">
        <f t="shared" si="142"/>
        <v>4000000</v>
      </c>
      <c r="BR120" s="567"/>
      <c r="BS120" s="178">
        <f t="shared" si="143"/>
        <v>4000000</v>
      </c>
      <c r="BT120" s="567"/>
      <c r="BU120" s="567"/>
      <c r="BV120" s="178"/>
      <c r="BW120" s="179">
        <f t="shared" si="144"/>
        <v>4000000</v>
      </c>
    </row>
    <row r="121" spans="1:83" s="279" customFormat="1" ht="20.25" customHeight="1" x14ac:dyDescent="0.25">
      <c r="A121" s="874"/>
      <c r="B121" s="243"/>
      <c r="C121" s="171"/>
      <c r="D121" s="171" t="s">
        <v>701</v>
      </c>
      <c r="E121" s="171" t="s">
        <v>153</v>
      </c>
      <c r="F121" s="237">
        <v>50000</v>
      </c>
      <c r="G121" s="560">
        <f t="shared" si="84"/>
        <v>76</v>
      </c>
      <c r="H121" s="245">
        <f t="shared" si="134"/>
        <v>3800000</v>
      </c>
      <c r="I121" s="245">
        <f t="shared" si="135"/>
        <v>380000</v>
      </c>
      <c r="J121" s="245">
        <f t="shared" si="136"/>
        <v>3040000</v>
      </c>
      <c r="K121" s="245"/>
      <c r="L121" s="245"/>
      <c r="M121" s="245"/>
      <c r="N121" s="245"/>
      <c r="O121" s="245"/>
      <c r="P121" s="245"/>
      <c r="Q121" s="245">
        <f t="shared" si="137"/>
        <v>380000</v>
      </c>
      <c r="R121" s="245"/>
      <c r="S121" s="278"/>
      <c r="T121" s="278"/>
      <c r="U121" s="278">
        <f t="shared" si="145"/>
        <v>76</v>
      </c>
      <c r="V121" s="278"/>
      <c r="W121" s="562">
        <f t="shared" si="138"/>
        <v>0</v>
      </c>
      <c r="X121" s="562">
        <f t="shared" si="139"/>
        <v>0</v>
      </c>
      <c r="Y121" s="562">
        <f t="shared" si="140"/>
        <v>3800000</v>
      </c>
      <c r="Z121" s="562">
        <f t="shared" si="141"/>
        <v>0</v>
      </c>
      <c r="AA121" s="278">
        <v>5</v>
      </c>
      <c r="AB121" s="562">
        <f t="shared" si="129"/>
        <v>250000</v>
      </c>
      <c r="AC121" s="278">
        <v>10</v>
      </c>
      <c r="AD121" s="561">
        <f t="shared" si="130"/>
        <v>500000</v>
      </c>
      <c r="AE121" s="278">
        <v>2</v>
      </c>
      <c r="AF121" s="563">
        <f t="shared" si="89"/>
        <v>100000</v>
      </c>
      <c r="AG121" s="278"/>
      <c r="AH121" s="563">
        <f t="shared" si="90"/>
        <v>0</v>
      </c>
      <c r="AI121" s="278">
        <v>5</v>
      </c>
      <c r="AJ121" s="563">
        <f t="shared" si="91"/>
        <v>250000</v>
      </c>
      <c r="AK121" s="278"/>
      <c r="AL121" s="563">
        <f t="shared" si="92"/>
        <v>0</v>
      </c>
      <c r="AM121" s="278"/>
      <c r="AN121" s="563">
        <f t="shared" si="93"/>
        <v>0</v>
      </c>
      <c r="AO121" s="278">
        <v>2</v>
      </c>
      <c r="AP121" s="563">
        <f t="shared" si="94"/>
        <v>100000</v>
      </c>
      <c r="AQ121" s="278">
        <v>5</v>
      </c>
      <c r="AR121" s="563">
        <f t="shared" si="95"/>
        <v>250000</v>
      </c>
      <c r="AS121" s="278">
        <v>15</v>
      </c>
      <c r="AT121" s="563">
        <f t="shared" si="96"/>
        <v>750000</v>
      </c>
      <c r="AU121" s="278">
        <v>10</v>
      </c>
      <c r="AV121" s="563">
        <f t="shared" si="97"/>
        <v>500000</v>
      </c>
      <c r="AW121" s="278">
        <v>1</v>
      </c>
      <c r="AX121" s="563">
        <f t="shared" si="98"/>
        <v>50000</v>
      </c>
      <c r="AY121" s="280">
        <v>5</v>
      </c>
      <c r="AZ121" s="563">
        <f t="shared" si="99"/>
        <v>250000</v>
      </c>
      <c r="BA121" s="278">
        <v>5</v>
      </c>
      <c r="BB121" s="563">
        <f t="shared" si="100"/>
        <v>250000</v>
      </c>
      <c r="BC121" s="278">
        <v>10</v>
      </c>
      <c r="BD121" s="563">
        <f t="shared" si="101"/>
        <v>500000</v>
      </c>
      <c r="BE121" s="278">
        <v>0</v>
      </c>
      <c r="BF121" s="563">
        <f t="shared" si="102"/>
        <v>0</v>
      </c>
      <c r="BG121" s="278">
        <v>1</v>
      </c>
      <c r="BH121" s="563">
        <f t="shared" si="103"/>
        <v>50000</v>
      </c>
      <c r="BI121" s="278"/>
      <c r="BJ121" s="563">
        <f t="shared" si="104"/>
        <v>0</v>
      </c>
      <c r="BK121" s="272">
        <f t="shared" si="131"/>
        <v>76</v>
      </c>
      <c r="BL121" s="563">
        <f t="shared" si="131"/>
        <v>3800000</v>
      </c>
      <c r="BM121" s="566" t="s">
        <v>482</v>
      </c>
      <c r="BN121" s="709">
        <f t="shared" si="114"/>
        <v>3800000</v>
      </c>
      <c r="BO121" s="245"/>
      <c r="BP121" s="567"/>
      <c r="BQ121" s="567">
        <f t="shared" si="142"/>
        <v>3800000</v>
      </c>
      <c r="BR121" s="567"/>
      <c r="BS121" s="178">
        <f t="shared" si="143"/>
        <v>3800000</v>
      </c>
      <c r="BT121" s="567"/>
      <c r="BU121" s="567"/>
      <c r="BV121" s="178"/>
      <c r="BW121" s="179">
        <f t="shared" si="144"/>
        <v>3800000</v>
      </c>
    </row>
    <row r="122" spans="1:83" s="275" customFormat="1" ht="20.25" customHeight="1" x14ac:dyDescent="0.25">
      <c r="A122" s="874"/>
      <c r="B122" s="225"/>
      <c r="C122" s="38"/>
      <c r="D122" s="38" t="s">
        <v>702</v>
      </c>
      <c r="E122" s="38" t="s">
        <v>153</v>
      </c>
      <c r="F122" s="235">
        <v>50000</v>
      </c>
      <c r="G122" s="228">
        <f t="shared" si="84"/>
        <v>79</v>
      </c>
      <c r="H122" s="236">
        <f t="shared" si="134"/>
        <v>3950000</v>
      </c>
      <c r="I122" s="236">
        <f t="shared" si="135"/>
        <v>395000</v>
      </c>
      <c r="J122" s="236">
        <f t="shared" si="136"/>
        <v>3160000</v>
      </c>
      <c r="K122" s="236"/>
      <c r="L122" s="236"/>
      <c r="M122" s="236"/>
      <c r="N122" s="236"/>
      <c r="O122" s="236"/>
      <c r="P122" s="236"/>
      <c r="Q122" s="236">
        <f t="shared" si="137"/>
        <v>395000</v>
      </c>
      <c r="R122" s="236"/>
      <c r="S122" s="273"/>
      <c r="T122" s="273"/>
      <c r="U122" s="273">
        <f t="shared" si="145"/>
        <v>79</v>
      </c>
      <c r="V122" s="273"/>
      <c r="W122" s="227">
        <f t="shared" si="138"/>
        <v>0</v>
      </c>
      <c r="X122" s="227">
        <f t="shared" si="139"/>
        <v>0</v>
      </c>
      <c r="Y122" s="227">
        <f t="shared" si="140"/>
        <v>3950000</v>
      </c>
      <c r="Z122" s="227">
        <f t="shared" si="141"/>
        <v>0</v>
      </c>
      <c r="AA122" s="273">
        <v>4</v>
      </c>
      <c r="AB122" s="227">
        <f t="shared" si="129"/>
        <v>200000</v>
      </c>
      <c r="AC122" s="273">
        <v>10</v>
      </c>
      <c r="AD122" s="231">
        <f t="shared" si="130"/>
        <v>500000</v>
      </c>
      <c r="AE122" s="273">
        <v>5</v>
      </c>
      <c r="AF122" s="53">
        <f t="shared" si="89"/>
        <v>250000</v>
      </c>
      <c r="AG122" s="273"/>
      <c r="AH122" s="53">
        <f t="shared" si="90"/>
        <v>0</v>
      </c>
      <c r="AI122" s="273">
        <v>5</v>
      </c>
      <c r="AJ122" s="53">
        <f t="shared" si="91"/>
        <v>250000</v>
      </c>
      <c r="AK122" s="273"/>
      <c r="AL122" s="53">
        <f t="shared" si="92"/>
        <v>0</v>
      </c>
      <c r="AM122" s="273">
        <v>2</v>
      </c>
      <c r="AN122" s="53">
        <f t="shared" si="93"/>
        <v>100000</v>
      </c>
      <c r="AO122" s="273">
        <v>2</v>
      </c>
      <c r="AP122" s="53">
        <f t="shared" si="94"/>
        <v>100000</v>
      </c>
      <c r="AQ122" s="273">
        <v>5</v>
      </c>
      <c r="AR122" s="53">
        <f t="shared" si="95"/>
        <v>250000</v>
      </c>
      <c r="AS122" s="273">
        <v>12</v>
      </c>
      <c r="AT122" s="53">
        <f t="shared" si="96"/>
        <v>600000</v>
      </c>
      <c r="AU122" s="273">
        <v>15</v>
      </c>
      <c r="AV122" s="53">
        <f t="shared" si="97"/>
        <v>750000</v>
      </c>
      <c r="AW122" s="273">
        <v>3</v>
      </c>
      <c r="AX122" s="53">
        <f t="shared" si="98"/>
        <v>150000</v>
      </c>
      <c r="AY122" s="76">
        <v>5</v>
      </c>
      <c r="AZ122" s="53">
        <f t="shared" si="99"/>
        <v>250000</v>
      </c>
      <c r="BA122" s="273">
        <v>5</v>
      </c>
      <c r="BB122" s="53">
        <f t="shared" si="100"/>
        <v>250000</v>
      </c>
      <c r="BC122" s="273">
        <v>5</v>
      </c>
      <c r="BD122" s="53">
        <f t="shared" si="101"/>
        <v>250000</v>
      </c>
      <c r="BE122" s="273">
        <v>0</v>
      </c>
      <c r="BF122" s="53">
        <f t="shared" si="102"/>
        <v>0</v>
      </c>
      <c r="BG122" s="273">
        <v>1</v>
      </c>
      <c r="BH122" s="53">
        <f t="shared" si="103"/>
        <v>50000</v>
      </c>
      <c r="BI122" s="273"/>
      <c r="BJ122" s="53">
        <f t="shared" si="104"/>
        <v>0</v>
      </c>
      <c r="BK122" s="230">
        <f t="shared" si="131"/>
        <v>79</v>
      </c>
      <c r="BL122" s="53">
        <f t="shared" si="131"/>
        <v>3950000</v>
      </c>
      <c r="BM122" s="315" t="s">
        <v>482</v>
      </c>
      <c r="BN122" s="709">
        <f t="shared" si="114"/>
        <v>3950000</v>
      </c>
      <c r="BO122" s="236"/>
      <c r="BP122" s="276"/>
      <c r="BQ122" s="276">
        <f t="shared" si="142"/>
        <v>3950000</v>
      </c>
      <c r="BR122" s="276"/>
      <c r="BS122" s="113">
        <f t="shared" si="143"/>
        <v>3950000</v>
      </c>
      <c r="BT122" s="276"/>
      <c r="BU122" s="276"/>
      <c r="BV122" s="113"/>
      <c r="BW122" s="223">
        <f t="shared" si="144"/>
        <v>3950000</v>
      </c>
    </row>
    <row r="123" spans="1:83" s="275" customFormat="1" ht="20.25" customHeight="1" x14ac:dyDescent="0.25">
      <c r="A123" s="874"/>
      <c r="B123" s="225"/>
      <c r="C123" s="38"/>
      <c r="D123" s="38" t="s">
        <v>703</v>
      </c>
      <c r="E123" s="38" t="s">
        <v>153</v>
      </c>
      <c r="F123" s="235">
        <v>50000</v>
      </c>
      <c r="G123" s="228">
        <f t="shared" si="84"/>
        <v>61</v>
      </c>
      <c r="H123" s="236">
        <f t="shared" si="134"/>
        <v>3050000</v>
      </c>
      <c r="I123" s="236">
        <f t="shared" si="135"/>
        <v>305000</v>
      </c>
      <c r="J123" s="236">
        <f t="shared" si="136"/>
        <v>2440000</v>
      </c>
      <c r="K123" s="236"/>
      <c r="L123" s="236"/>
      <c r="M123" s="236"/>
      <c r="N123" s="236"/>
      <c r="O123" s="236"/>
      <c r="P123" s="236"/>
      <c r="Q123" s="236">
        <f t="shared" si="137"/>
        <v>305000</v>
      </c>
      <c r="R123" s="236"/>
      <c r="S123" s="273"/>
      <c r="T123" s="273">
        <f>G123*0.8</f>
        <v>48.800000000000004</v>
      </c>
      <c r="U123" s="273">
        <f>G123*0.2</f>
        <v>12.200000000000001</v>
      </c>
      <c r="V123" s="273"/>
      <c r="W123" s="227">
        <f t="shared" si="138"/>
        <v>0</v>
      </c>
      <c r="X123" s="227">
        <f t="shared" si="139"/>
        <v>2440000</v>
      </c>
      <c r="Y123" s="227">
        <f t="shared" si="140"/>
        <v>610000</v>
      </c>
      <c r="Z123" s="227">
        <f t="shared" si="141"/>
        <v>0</v>
      </c>
      <c r="AA123" s="273">
        <v>10</v>
      </c>
      <c r="AB123" s="227">
        <f t="shared" si="129"/>
        <v>500000</v>
      </c>
      <c r="AC123" s="273"/>
      <c r="AD123" s="231">
        <f t="shared" si="130"/>
        <v>0</v>
      </c>
      <c r="AE123" s="273"/>
      <c r="AF123" s="53">
        <f t="shared" si="89"/>
        <v>0</v>
      </c>
      <c r="AG123" s="273">
        <v>5</v>
      </c>
      <c r="AH123" s="53">
        <f t="shared" si="90"/>
        <v>250000</v>
      </c>
      <c r="AI123" s="273">
        <v>10</v>
      </c>
      <c r="AJ123" s="53">
        <f t="shared" si="91"/>
        <v>500000</v>
      </c>
      <c r="AK123" s="273">
        <v>1</v>
      </c>
      <c r="AL123" s="53">
        <f t="shared" si="92"/>
        <v>50000</v>
      </c>
      <c r="AM123" s="273">
        <v>5</v>
      </c>
      <c r="AN123" s="53">
        <f t="shared" si="93"/>
        <v>250000</v>
      </c>
      <c r="AO123" s="273">
        <v>5</v>
      </c>
      <c r="AP123" s="53">
        <f t="shared" si="94"/>
        <v>250000</v>
      </c>
      <c r="AQ123" s="273">
        <v>2</v>
      </c>
      <c r="AR123" s="53">
        <f t="shared" si="95"/>
        <v>100000</v>
      </c>
      <c r="AS123" s="273">
        <v>2</v>
      </c>
      <c r="AT123" s="53">
        <f t="shared" si="96"/>
        <v>100000</v>
      </c>
      <c r="AU123" s="273">
        <v>5</v>
      </c>
      <c r="AV123" s="53">
        <f t="shared" si="97"/>
        <v>250000</v>
      </c>
      <c r="AW123" s="273"/>
      <c r="AX123" s="53">
        <f t="shared" si="98"/>
        <v>0</v>
      </c>
      <c r="AY123" s="76">
        <v>2</v>
      </c>
      <c r="AZ123" s="53">
        <f t="shared" si="99"/>
        <v>100000</v>
      </c>
      <c r="BA123" s="273">
        <v>0</v>
      </c>
      <c r="BB123" s="53">
        <f t="shared" si="100"/>
        <v>0</v>
      </c>
      <c r="BC123" s="273">
        <v>3</v>
      </c>
      <c r="BD123" s="53">
        <f t="shared" si="101"/>
        <v>150000</v>
      </c>
      <c r="BE123" s="273">
        <v>10</v>
      </c>
      <c r="BF123" s="53">
        <f t="shared" si="102"/>
        <v>500000</v>
      </c>
      <c r="BG123" s="273">
        <v>1</v>
      </c>
      <c r="BH123" s="53">
        <f t="shared" si="103"/>
        <v>50000</v>
      </c>
      <c r="BI123" s="273"/>
      <c r="BJ123" s="53">
        <f t="shared" si="104"/>
        <v>0</v>
      </c>
      <c r="BK123" s="230">
        <f t="shared" si="131"/>
        <v>61</v>
      </c>
      <c r="BL123" s="53">
        <f t="shared" si="131"/>
        <v>3050000</v>
      </c>
      <c r="BM123" s="315" t="s">
        <v>482</v>
      </c>
      <c r="BN123" s="709">
        <f t="shared" si="114"/>
        <v>3050000</v>
      </c>
      <c r="BO123" s="236"/>
      <c r="BP123" s="276"/>
      <c r="BQ123" s="276">
        <f t="shared" si="142"/>
        <v>3050000</v>
      </c>
      <c r="BR123" s="276"/>
      <c r="BS123" s="113">
        <f t="shared" si="143"/>
        <v>3050000</v>
      </c>
      <c r="BT123" s="276"/>
      <c r="BU123" s="276"/>
      <c r="BV123" s="113"/>
      <c r="BW123" s="223">
        <f t="shared" si="144"/>
        <v>3050000</v>
      </c>
    </row>
    <row r="124" spans="1:83" s="277" customFormat="1" ht="20.25" customHeight="1" x14ac:dyDescent="0.25">
      <c r="A124" s="874"/>
      <c r="B124" s="225"/>
      <c r="C124" s="38"/>
      <c r="D124" s="171" t="s">
        <v>664</v>
      </c>
      <c r="E124" s="38" t="s">
        <v>153</v>
      </c>
      <c r="F124" s="235">
        <v>50000</v>
      </c>
      <c r="G124" s="228">
        <f t="shared" si="84"/>
        <v>167</v>
      </c>
      <c r="H124" s="236">
        <f t="shared" si="134"/>
        <v>8350000</v>
      </c>
      <c r="I124" s="236">
        <f t="shared" si="135"/>
        <v>835000</v>
      </c>
      <c r="J124" s="236">
        <f t="shared" si="136"/>
        <v>6680000</v>
      </c>
      <c r="K124" s="236"/>
      <c r="L124" s="236"/>
      <c r="M124" s="236"/>
      <c r="N124" s="236"/>
      <c r="O124" s="236"/>
      <c r="P124" s="236"/>
      <c r="Q124" s="236">
        <f t="shared" si="137"/>
        <v>835000</v>
      </c>
      <c r="R124" s="236"/>
      <c r="S124" s="273"/>
      <c r="T124" s="273">
        <f>G124*0.6</f>
        <v>100.2</v>
      </c>
      <c r="U124" s="273">
        <f>G124*0.4</f>
        <v>66.8</v>
      </c>
      <c r="V124" s="273"/>
      <c r="W124" s="227">
        <f t="shared" si="138"/>
        <v>0</v>
      </c>
      <c r="X124" s="227">
        <f t="shared" si="139"/>
        <v>5010000</v>
      </c>
      <c r="Y124" s="227">
        <f t="shared" si="140"/>
        <v>3340000</v>
      </c>
      <c r="Z124" s="227">
        <f t="shared" si="141"/>
        <v>0</v>
      </c>
      <c r="AA124" s="273">
        <v>20</v>
      </c>
      <c r="AB124" s="227">
        <f t="shared" si="129"/>
        <v>1000000</v>
      </c>
      <c r="AC124" s="273">
        <v>10</v>
      </c>
      <c r="AD124" s="231">
        <f t="shared" si="130"/>
        <v>500000</v>
      </c>
      <c r="AE124" s="273">
        <v>5</v>
      </c>
      <c r="AF124" s="53">
        <f t="shared" si="89"/>
        <v>250000</v>
      </c>
      <c r="AG124" s="273">
        <v>20</v>
      </c>
      <c r="AH124" s="53">
        <f t="shared" si="90"/>
        <v>1000000</v>
      </c>
      <c r="AI124" s="273">
        <v>5</v>
      </c>
      <c r="AJ124" s="53">
        <f t="shared" si="91"/>
        <v>250000</v>
      </c>
      <c r="AK124" s="273">
        <v>7</v>
      </c>
      <c r="AL124" s="53">
        <f t="shared" si="92"/>
        <v>350000</v>
      </c>
      <c r="AM124" s="273">
        <v>8</v>
      </c>
      <c r="AN124" s="53">
        <f t="shared" si="93"/>
        <v>400000</v>
      </c>
      <c r="AO124" s="273">
        <v>5</v>
      </c>
      <c r="AP124" s="53">
        <f t="shared" si="94"/>
        <v>250000</v>
      </c>
      <c r="AQ124" s="273">
        <v>10</v>
      </c>
      <c r="AR124" s="53">
        <f t="shared" si="95"/>
        <v>500000</v>
      </c>
      <c r="AS124" s="273">
        <v>5</v>
      </c>
      <c r="AT124" s="53">
        <f t="shared" si="96"/>
        <v>250000</v>
      </c>
      <c r="AU124" s="273">
        <v>5</v>
      </c>
      <c r="AV124" s="53">
        <f t="shared" si="97"/>
        <v>250000</v>
      </c>
      <c r="AW124" s="273">
        <v>35</v>
      </c>
      <c r="AX124" s="53">
        <f t="shared" si="98"/>
        <v>1750000</v>
      </c>
      <c r="AY124" s="76">
        <v>10</v>
      </c>
      <c r="AZ124" s="53">
        <f t="shared" si="99"/>
        <v>500000</v>
      </c>
      <c r="BA124" s="273">
        <v>5</v>
      </c>
      <c r="BB124" s="53">
        <f t="shared" si="100"/>
        <v>250000</v>
      </c>
      <c r="BC124" s="640">
        <v>7</v>
      </c>
      <c r="BD124" s="53">
        <f t="shared" si="101"/>
        <v>350000</v>
      </c>
      <c r="BE124" s="273">
        <v>5</v>
      </c>
      <c r="BF124" s="53">
        <f t="shared" si="102"/>
        <v>250000</v>
      </c>
      <c r="BG124" s="273">
        <v>5</v>
      </c>
      <c r="BH124" s="53">
        <f t="shared" si="103"/>
        <v>250000</v>
      </c>
      <c r="BI124" s="273"/>
      <c r="BJ124" s="53">
        <f t="shared" si="104"/>
        <v>0</v>
      </c>
      <c r="BK124" s="230">
        <f t="shared" si="131"/>
        <v>167</v>
      </c>
      <c r="BL124" s="53">
        <f t="shared" si="131"/>
        <v>8350000</v>
      </c>
      <c r="BM124" s="315" t="s">
        <v>482</v>
      </c>
      <c r="BN124" s="709">
        <f t="shared" si="114"/>
        <v>8350000</v>
      </c>
      <c r="BO124" s="236"/>
      <c r="BP124" s="276"/>
      <c r="BQ124" s="276">
        <f t="shared" si="142"/>
        <v>8350000</v>
      </c>
      <c r="BR124" s="276"/>
      <c r="BS124" s="113">
        <f t="shared" si="143"/>
        <v>8350000</v>
      </c>
      <c r="BT124" s="276"/>
      <c r="BU124" s="276"/>
      <c r="BV124" s="113"/>
      <c r="BW124" s="223">
        <f t="shared" si="144"/>
        <v>8350000</v>
      </c>
      <c r="BX124" s="275"/>
      <c r="BY124" s="275"/>
      <c r="BZ124" s="275"/>
      <c r="CA124" s="275"/>
      <c r="CB124" s="275"/>
      <c r="CC124" s="275"/>
      <c r="CD124" s="275"/>
      <c r="CE124" s="275"/>
    </row>
    <row r="125" spans="1:83" s="275" customFormat="1" ht="20.25" customHeight="1" x14ac:dyDescent="0.25">
      <c r="A125" s="874"/>
      <c r="B125" s="238"/>
      <c r="C125" s="265"/>
      <c r="D125" s="239" t="s">
        <v>3</v>
      </c>
      <c r="E125" s="265"/>
      <c r="F125" s="266"/>
      <c r="G125" s="241">
        <f t="shared" si="84"/>
        <v>700</v>
      </c>
      <c r="H125" s="211">
        <f>SUM(H111:H124)</f>
        <v>33006000</v>
      </c>
      <c r="I125" s="211">
        <f>SUM(I111:I124)</f>
        <v>2030600</v>
      </c>
      <c r="J125" s="211">
        <f t="shared" ref="J125:R125" si="147">SUM(J111:J124)</f>
        <v>16244800</v>
      </c>
      <c r="K125" s="211">
        <f t="shared" si="147"/>
        <v>0</v>
      </c>
      <c r="L125" s="211">
        <f t="shared" si="147"/>
        <v>0</v>
      </c>
      <c r="M125" s="211">
        <f t="shared" si="147"/>
        <v>0</v>
      </c>
      <c r="N125" s="211">
        <f t="shared" si="147"/>
        <v>0</v>
      </c>
      <c r="O125" s="211">
        <f t="shared" si="147"/>
        <v>0</v>
      </c>
      <c r="P125" s="211">
        <f t="shared" si="147"/>
        <v>0</v>
      </c>
      <c r="Q125" s="211">
        <f t="shared" si="147"/>
        <v>2030600</v>
      </c>
      <c r="R125" s="211">
        <f t="shared" si="147"/>
        <v>12700000</v>
      </c>
      <c r="S125" s="250">
        <f t="shared" ref="S125:BL125" si="148">SUM(S111:S124)</f>
        <v>30.4</v>
      </c>
      <c r="T125" s="250">
        <f t="shared" si="148"/>
        <v>270.95</v>
      </c>
      <c r="U125" s="250">
        <f t="shared" si="148"/>
        <v>348.45</v>
      </c>
      <c r="V125" s="250">
        <f t="shared" si="148"/>
        <v>50.2</v>
      </c>
      <c r="W125" s="250">
        <f t="shared" si="148"/>
        <v>1183400</v>
      </c>
      <c r="X125" s="250">
        <f t="shared" si="148"/>
        <v>11976700</v>
      </c>
      <c r="Y125" s="250">
        <f t="shared" si="148"/>
        <v>17335900</v>
      </c>
      <c r="Z125" s="250">
        <f t="shared" si="148"/>
        <v>2510000</v>
      </c>
      <c r="AA125" s="250">
        <f t="shared" si="148"/>
        <v>58</v>
      </c>
      <c r="AB125" s="250">
        <f t="shared" si="148"/>
        <v>2837000</v>
      </c>
      <c r="AC125" s="250">
        <f t="shared" si="148"/>
        <v>42</v>
      </c>
      <c r="AD125" s="250">
        <f t="shared" si="148"/>
        <v>2012000</v>
      </c>
      <c r="AE125" s="250">
        <f t="shared" si="148"/>
        <v>24</v>
      </c>
      <c r="AF125" s="250">
        <f t="shared" si="148"/>
        <v>1212500</v>
      </c>
      <c r="AG125" s="250">
        <f t="shared" si="148"/>
        <v>56</v>
      </c>
      <c r="AH125" s="250">
        <f t="shared" si="148"/>
        <v>2397500</v>
      </c>
      <c r="AI125" s="250">
        <f t="shared" si="148"/>
        <v>43</v>
      </c>
      <c r="AJ125" s="250">
        <f t="shared" si="148"/>
        <v>2062000</v>
      </c>
      <c r="AK125" s="250">
        <f t="shared" si="148"/>
        <v>24</v>
      </c>
      <c r="AL125" s="250">
        <f t="shared" si="148"/>
        <v>1112000</v>
      </c>
      <c r="AM125" s="250">
        <f t="shared" si="148"/>
        <v>33</v>
      </c>
      <c r="AN125" s="250">
        <f t="shared" si="148"/>
        <v>1675000</v>
      </c>
      <c r="AO125" s="250">
        <f t="shared" si="148"/>
        <v>30</v>
      </c>
      <c r="AP125" s="250">
        <f t="shared" si="148"/>
        <v>1481000</v>
      </c>
      <c r="AQ125" s="250">
        <f t="shared" si="148"/>
        <v>32</v>
      </c>
      <c r="AR125" s="250">
        <f t="shared" si="148"/>
        <v>1512000</v>
      </c>
      <c r="AS125" s="250">
        <f t="shared" si="148"/>
        <v>47</v>
      </c>
      <c r="AT125" s="250">
        <f t="shared" si="148"/>
        <v>2262000</v>
      </c>
      <c r="AU125" s="250">
        <f t="shared" si="148"/>
        <v>59</v>
      </c>
      <c r="AV125" s="250">
        <f t="shared" si="148"/>
        <v>2975000</v>
      </c>
      <c r="AW125" s="250">
        <f t="shared" si="148"/>
        <v>59</v>
      </c>
      <c r="AX125" s="250">
        <f t="shared" si="148"/>
        <v>2931000</v>
      </c>
      <c r="AY125" s="250">
        <f t="shared" si="148"/>
        <v>44</v>
      </c>
      <c r="AZ125" s="250">
        <f t="shared" si="148"/>
        <v>2137000</v>
      </c>
      <c r="BA125" s="250">
        <f t="shared" si="148"/>
        <v>33</v>
      </c>
      <c r="BB125" s="250">
        <f t="shared" si="148"/>
        <v>1455000</v>
      </c>
      <c r="BC125" s="250">
        <f t="shared" si="148"/>
        <v>46</v>
      </c>
      <c r="BD125" s="250">
        <f t="shared" si="148"/>
        <v>2080000</v>
      </c>
      <c r="BE125" s="250">
        <f t="shared" si="148"/>
        <v>44</v>
      </c>
      <c r="BF125" s="250">
        <f t="shared" si="148"/>
        <v>1785000</v>
      </c>
      <c r="BG125" s="251">
        <f>SUM(BG111:BG124)</f>
        <v>26</v>
      </c>
      <c r="BH125" s="250">
        <f t="shared" si="148"/>
        <v>1080000</v>
      </c>
      <c r="BI125" s="250">
        <f t="shared" si="148"/>
        <v>0</v>
      </c>
      <c r="BJ125" s="250">
        <f t="shared" si="148"/>
        <v>0</v>
      </c>
      <c r="BK125" s="250">
        <f t="shared" si="148"/>
        <v>700</v>
      </c>
      <c r="BL125" s="211">
        <f t="shared" si="148"/>
        <v>33006000</v>
      </c>
      <c r="BM125" s="322"/>
      <c r="BN125" s="709">
        <f t="shared" si="114"/>
        <v>33006000</v>
      </c>
      <c r="BO125" s="559">
        <f>SUM(BO111:BO124)</f>
        <v>0</v>
      </c>
      <c r="BP125" s="559"/>
      <c r="BQ125" s="559">
        <f>SUM(BQ111:BQ124)</f>
        <v>33006000</v>
      </c>
      <c r="BR125" s="559"/>
      <c r="BS125" s="559">
        <f t="shared" si="143"/>
        <v>33006000</v>
      </c>
      <c r="BT125" s="559"/>
      <c r="BU125" s="559"/>
      <c r="BV125" s="559"/>
      <c r="BW125" s="559">
        <f t="shared" si="144"/>
        <v>33006000</v>
      </c>
    </row>
    <row r="126" spans="1:83" s="275" customFormat="1" ht="35.25" customHeight="1" x14ac:dyDescent="0.25">
      <c r="A126" s="874"/>
      <c r="B126" s="225"/>
      <c r="C126" s="38"/>
      <c r="D126" s="216" t="s">
        <v>721</v>
      </c>
      <c r="E126" s="38"/>
      <c r="F126" s="235"/>
      <c r="G126" s="228">
        <f t="shared" si="84"/>
        <v>0</v>
      </c>
      <c r="H126" s="236">
        <f>BL126</f>
        <v>0</v>
      </c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73"/>
      <c r="T126" s="273"/>
      <c r="U126" s="273"/>
      <c r="V126" s="273"/>
      <c r="W126" s="76"/>
      <c r="X126" s="76"/>
      <c r="Y126" s="76"/>
      <c r="Z126" s="76"/>
      <c r="AA126" s="273"/>
      <c r="AB126" s="227">
        <f t="shared" si="129"/>
        <v>0</v>
      </c>
      <c r="AC126" s="273"/>
      <c r="AD126" s="231">
        <f t="shared" si="130"/>
        <v>0</v>
      </c>
      <c r="AE126" s="273"/>
      <c r="AF126" s="53">
        <f t="shared" si="89"/>
        <v>0</v>
      </c>
      <c r="AG126" s="273"/>
      <c r="AH126" s="53">
        <f t="shared" si="90"/>
        <v>0</v>
      </c>
      <c r="AI126" s="273"/>
      <c r="AJ126" s="53">
        <f t="shared" si="91"/>
        <v>0</v>
      </c>
      <c r="AK126" s="273"/>
      <c r="AL126" s="53">
        <f t="shared" si="92"/>
        <v>0</v>
      </c>
      <c r="AM126" s="273"/>
      <c r="AN126" s="53">
        <f t="shared" si="93"/>
        <v>0</v>
      </c>
      <c r="AO126" s="273"/>
      <c r="AP126" s="53">
        <f t="shared" si="94"/>
        <v>0</v>
      </c>
      <c r="AQ126" s="273"/>
      <c r="AR126" s="53">
        <f t="shared" si="95"/>
        <v>0</v>
      </c>
      <c r="AS126" s="273"/>
      <c r="AT126" s="53">
        <f t="shared" si="96"/>
        <v>0</v>
      </c>
      <c r="AU126" s="273"/>
      <c r="AV126" s="53">
        <f t="shared" si="97"/>
        <v>0</v>
      </c>
      <c r="AW126" s="273"/>
      <c r="AX126" s="53">
        <f t="shared" si="98"/>
        <v>0</v>
      </c>
      <c r="AY126" s="76"/>
      <c r="AZ126" s="53">
        <f t="shared" si="99"/>
        <v>0</v>
      </c>
      <c r="BA126" s="273"/>
      <c r="BB126" s="53">
        <f>BA126*F126</f>
        <v>0</v>
      </c>
      <c r="BC126" s="273"/>
      <c r="BD126" s="53">
        <f t="shared" si="101"/>
        <v>0</v>
      </c>
      <c r="BE126" s="274"/>
      <c r="BF126" s="53">
        <f t="shared" si="102"/>
        <v>0</v>
      </c>
      <c r="BG126" s="273"/>
      <c r="BH126" s="53">
        <f t="shared" si="103"/>
        <v>0</v>
      </c>
      <c r="BI126" s="273"/>
      <c r="BJ126" s="53">
        <f t="shared" si="104"/>
        <v>0</v>
      </c>
      <c r="BK126" s="230">
        <f t="shared" si="131"/>
        <v>0</v>
      </c>
      <c r="BL126" s="53">
        <f t="shared" si="131"/>
        <v>0</v>
      </c>
      <c r="BM126" s="315"/>
      <c r="BN126" s="709">
        <f t="shared" si="114"/>
        <v>0</v>
      </c>
      <c r="BO126" s="236">
        <f>H126</f>
        <v>0</v>
      </c>
      <c r="BP126" s="276"/>
      <c r="BQ126" s="276">
        <f>H126</f>
        <v>0</v>
      </c>
      <c r="BR126" s="276"/>
      <c r="BS126" s="113">
        <f>BO126+BP126+BQ126+BR126</f>
        <v>0</v>
      </c>
      <c r="BT126" s="276"/>
      <c r="BU126" s="276"/>
      <c r="BV126" s="113"/>
      <c r="BW126" s="223">
        <f>BS126+BV126</f>
        <v>0</v>
      </c>
    </row>
    <row r="127" spans="1:83" s="275" customFormat="1" ht="20.25" customHeight="1" x14ac:dyDescent="0.25">
      <c r="A127" s="874"/>
      <c r="B127" s="225"/>
      <c r="C127" s="38"/>
      <c r="D127" s="38" t="s">
        <v>669</v>
      </c>
      <c r="E127" s="38" t="s">
        <v>153</v>
      </c>
      <c r="F127" s="235">
        <v>150000</v>
      </c>
      <c r="G127" s="228">
        <f t="shared" si="84"/>
        <v>6</v>
      </c>
      <c r="H127" s="236">
        <f>G127*F127</f>
        <v>900000</v>
      </c>
      <c r="I127" s="236">
        <f>H127*0.1</f>
        <v>90000</v>
      </c>
      <c r="J127" s="236">
        <f>H127*0.8</f>
        <v>720000</v>
      </c>
      <c r="K127" s="236"/>
      <c r="L127" s="236"/>
      <c r="M127" s="236"/>
      <c r="N127" s="236"/>
      <c r="O127" s="236"/>
      <c r="P127" s="236"/>
      <c r="Q127" s="236">
        <f>H127*0.1</f>
        <v>90000</v>
      </c>
      <c r="R127" s="236"/>
      <c r="S127" s="273"/>
      <c r="T127" s="273"/>
      <c r="U127" s="273">
        <f>G127*1</f>
        <v>6</v>
      </c>
      <c r="V127" s="273"/>
      <c r="W127" s="227">
        <f>S127*F127</f>
        <v>0</v>
      </c>
      <c r="X127" s="227">
        <f>T127*F127</f>
        <v>0</v>
      </c>
      <c r="Y127" s="227">
        <f>U127*F127</f>
        <v>900000</v>
      </c>
      <c r="Z127" s="227">
        <f>V127*F127</f>
        <v>0</v>
      </c>
      <c r="AA127" s="273"/>
      <c r="AB127" s="227">
        <f t="shared" si="129"/>
        <v>0</v>
      </c>
      <c r="AC127" s="273"/>
      <c r="AD127" s="231">
        <f t="shared" si="130"/>
        <v>0</v>
      </c>
      <c r="AE127" s="273"/>
      <c r="AF127" s="53">
        <f t="shared" si="89"/>
        <v>0</v>
      </c>
      <c r="AG127" s="273"/>
      <c r="AH127" s="53">
        <f t="shared" si="90"/>
        <v>0</v>
      </c>
      <c r="AI127" s="273">
        <v>0</v>
      </c>
      <c r="AJ127" s="53">
        <f t="shared" si="91"/>
        <v>0</v>
      </c>
      <c r="AK127" s="273">
        <v>0</v>
      </c>
      <c r="AL127" s="53">
        <f t="shared" si="92"/>
        <v>0</v>
      </c>
      <c r="AM127" s="273"/>
      <c r="AN127" s="53">
        <f t="shared" si="93"/>
        <v>0</v>
      </c>
      <c r="AO127" s="640">
        <v>2</v>
      </c>
      <c r="AP127" s="53">
        <f t="shared" si="94"/>
        <v>300000</v>
      </c>
      <c r="AQ127" s="273"/>
      <c r="AR127" s="53">
        <f t="shared" si="95"/>
        <v>0</v>
      </c>
      <c r="AS127" s="273">
        <v>2</v>
      </c>
      <c r="AT127" s="53">
        <f t="shared" si="96"/>
        <v>300000</v>
      </c>
      <c r="AU127" s="273">
        <v>0</v>
      </c>
      <c r="AV127" s="53">
        <f t="shared" si="97"/>
        <v>0</v>
      </c>
      <c r="AW127" s="273"/>
      <c r="AX127" s="53">
        <f t="shared" si="98"/>
        <v>0</v>
      </c>
      <c r="AY127" s="76">
        <v>0</v>
      </c>
      <c r="AZ127" s="53">
        <f t="shared" si="99"/>
        <v>0</v>
      </c>
      <c r="BA127" s="273"/>
      <c r="BB127" s="53">
        <f t="shared" si="100"/>
        <v>0</v>
      </c>
      <c r="BC127" s="273">
        <v>2</v>
      </c>
      <c r="BD127" s="53">
        <f t="shared" si="101"/>
        <v>300000</v>
      </c>
      <c r="BE127" s="274"/>
      <c r="BF127" s="53">
        <f t="shared" si="102"/>
        <v>0</v>
      </c>
      <c r="BG127" s="273">
        <v>0</v>
      </c>
      <c r="BH127" s="53">
        <f t="shared" si="103"/>
        <v>0</v>
      </c>
      <c r="BI127" s="273"/>
      <c r="BJ127" s="53">
        <f t="shared" si="104"/>
        <v>0</v>
      </c>
      <c r="BK127" s="230">
        <f t="shared" si="131"/>
        <v>6</v>
      </c>
      <c r="BL127" s="53">
        <f t="shared" si="131"/>
        <v>900000</v>
      </c>
      <c r="BM127" s="315" t="s">
        <v>482</v>
      </c>
      <c r="BN127" s="709">
        <f t="shared" si="114"/>
        <v>900000</v>
      </c>
      <c r="BO127" s="236"/>
      <c r="BP127" s="276"/>
      <c r="BQ127" s="276">
        <f>H127</f>
        <v>900000</v>
      </c>
      <c r="BR127" s="276"/>
      <c r="BS127" s="113">
        <f>BO127+BP127+BQ127+BR127</f>
        <v>900000</v>
      </c>
      <c r="BT127" s="276"/>
      <c r="BU127" s="276"/>
      <c r="BV127" s="113"/>
      <c r="BW127" s="223">
        <f>BS127+BV127</f>
        <v>900000</v>
      </c>
    </row>
    <row r="128" spans="1:83" s="275" customFormat="1" ht="20.25" customHeight="1" x14ac:dyDescent="0.25">
      <c r="A128" s="874"/>
      <c r="B128" s="243"/>
      <c r="C128" s="171"/>
      <c r="D128" s="133" t="s">
        <v>639</v>
      </c>
      <c r="E128" s="171" t="s">
        <v>15</v>
      </c>
      <c r="F128" s="237">
        <v>30000</v>
      </c>
      <c r="G128" s="228">
        <f t="shared" si="84"/>
        <v>215</v>
      </c>
      <c r="H128" s="236">
        <f>G128*F128</f>
        <v>6450000</v>
      </c>
      <c r="I128" s="245">
        <f>H128*0.1</f>
        <v>645000</v>
      </c>
      <c r="J128" s="245">
        <f>H128*0.8</f>
        <v>5160000</v>
      </c>
      <c r="K128" s="245"/>
      <c r="L128" s="245"/>
      <c r="M128" s="245"/>
      <c r="N128" s="245"/>
      <c r="O128" s="245"/>
      <c r="P128" s="245"/>
      <c r="Q128" s="245">
        <f>0.1*H128</f>
        <v>645000</v>
      </c>
      <c r="R128" s="236"/>
      <c r="S128" s="278"/>
      <c r="T128" s="278">
        <f>G128*0.6</f>
        <v>129</v>
      </c>
      <c r="U128" s="278">
        <f>G128*0.2</f>
        <v>43</v>
      </c>
      <c r="V128" s="278">
        <f>G128*0.2</f>
        <v>43</v>
      </c>
      <c r="W128" s="227">
        <f>S128*F128</f>
        <v>0</v>
      </c>
      <c r="X128" s="227">
        <f>T128*F128</f>
        <v>3870000</v>
      </c>
      <c r="Y128" s="227">
        <f>U128*F128</f>
        <v>1290000</v>
      </c>
      <c r="Z128" s="227">
        <f>V128*F128</f>
        <v>1290000</v>
      </c>
      <c r="AA128" s="278">
        <v>15</v>
      </c>
      <c r="AB128" s="227">
        <f t="shared" si="129"/>
        <v>450000</v>
      </c>
      <c r="AC128" s="278">
        <v>20</v>
      </c>
      <c r="AD128" s="231">
        <f t="shared" si="130"/>
        <v>600000</v>
      </c>
      <c r="AE128" s="278">
        <v>5</v>
      </c>
      <c r="AF128" s="53">
        <f t="shared" si="89"/>
        <v>150000</v>
      </c>
      <c r="AG128" s="278">
        <v>10</v>
      </c>
      <c r="AH128" s="53">
        <f t="shared" si="90"/>
        <v>300000</v>
      </c>
      <c r="AI128" s="278">
        <v>10</v>
      </c>
      <c r="AJ128" s="53">
        <f t="shared" si="91"/>
        <v>300000</v>
      </c>
      <c r="AK128" s="278">
        <v>10</v>
      </c>
      <c r="AL128" s="53">
        <f t="shared" si="92"/>
        <v>300000</v>
      </c>
      <c r="AM128" s="278">
        <v>15</v>
      </c>
      <c r="AN128" s="53">
        <f t="shared" si="93"/>
        <v>450000</v>
      </c>
      <c r="AO128" s="278">
        <v>10</v>
      </c>
      <c r="AP128" s="53">
        <f t="shared" si="94"/>
        <v>300000</v>
      </c>
      <c r="AQ128" s="278">
        <v>5</v>
      </c>
      <c r="AR128" s="53">
        <f t="shared" si="95"/>
        <v>150000</v>
      </c>
      <c r="AS128" s="278">
        <v>15</v>
      </c>
      <c r="AT128" s="53">
        <f t="shared" si="96"/>
        <v>450000</v>
      </c>
      <c r="AU128" s="278">
        <v>20</v>
      </c>
      <c r="AV128" s="53">
        <f t="shared" si="97"/>
        <v>600000</v>
      </c>
      <c r="AW128" s="278">
        <v>10</v>
      </c>
      <c r="AX128" s="53">
        <f t="shared" si="98"/>
        <v>300000</v>
      </c>
      <c r="AY128" s="76">
        <v>30</v>
      </c>
      <c r="AZ128" s="53">
        <f t="shared" si="99"/>
        <v>900000</v>
      </c>
      <c r="BA128" s="278">
        <v>5</v>
      </c>
      <c r="BB128" s="53">
        <f t="shared" si="100"/>
        <v>150000</v>
      </c>
      <c r="BC128" s="278">
        <v>10</v>
      </c>
      <c r="BD128" s="53">
        <f t="shared" si="101"/>
        <v>300000</v>
      </c>
      <c r="BE128" s="274">
        <v>20</v>
      </c>
      <c r="BF128" s="53">
        <f t="shared" si="102"/>
        <v>600000</v>
      </c>
      <c r="BG128" s="278">
        <v>5</v>
      </c>
      <c r="BH128" s="53">
        <f t="shared" si="103"/>
        <v>150000</v>
      </c>
      <c r="BI128" s="278"/>
      <c r="BJ128" s="53">
        <f t="shared" si="104"/>
        <v>0</v>
      </c>
      <c r="BK128" s="230">
        <f t="shared" si="131"/>
        <v>215</v>
      </c>
      <c r="BL128" s="53">
        <f t="shared" si="131"/>
        <v>6450000</v>
      </c>
      <c r="BM128" s="315" t="s">
        <v>482</v>
      </c>
      <c r="BN128" s="709">
        <f t="shared" si="114"/>
        <v>6450000</v>
      </c>
      <c r="BO128" s="236"/>
      <c r="BP128" s="276"/>
      <c r="BQ128" s="276">
        <f>H128</f>
        <v>6450000</v>
      </c>
      <c r="BR128" s="276"/>
      <c r="BS128" s="113">
        <f>BO128+BP128+BQ128+BR128</f>
        <v>6450000</v>
      </c>
      <c r="BT128" s="276"/>
      <c r="BU128" s="276"/>
      <c r="BV128" s="113"/>
      <c r="BW128" s="223">
        <f>BS128+BV128</f>
        <v>6450000</v>
      </c>
    </row>
    <row r="129" spans="1:75" s="275" customFormat="1" ht="20.25" customHeight="1" x14ac:dyDescent="0.25">
      <c r="A129" s="874"/>
      <c r="B129" s="225"/>
      <c r="C129" s="38"/>
      <c r="D129" s="38" t="s">
        <v>733</v>
      </c>
      <c r="E129" s="38" t="s">
        <v>153</v>
      </c>
      <c r="F129" s="235">
        <v>30000</v>
      </c>
      <c r="G129" s="228">
        <f t="shared" si="84"/>
        <v>88</v>
      </c>
      <c r="H129" s="236">
        <f>G129*F129</f>
        <v>2640000</v>
      </c>
      <c r="I129" s="236">
        <f>H129*0.1</f>
        <v>264000</v>
      </c>
      <c r="J129" s="236">
        <f>H129*0.8</f>
        <v>2112000</v>
      </c>
      <c r="K129" s="236"/>
      <c r="L129" s="236"/>
      <c r="M129" s="236"/>
      <c r="N129" s="236"/>
      <c r="O129" s="236"/>
      <c r="P129" s="236"/>
      <c r="Q129" s="236">
        <f>H129*0.1</f>
        <v>264000</v>
      </c>
      <c r="R129" s="236"/>
      <c r="S129" s="230"/>
      <c r="T129" s="281">
        <f>G129*0.5</f>
        <v>44</v>
      </c>
      <c r="U129" s="281">
        <f>G129*0.5</f>
        <v>44</v>
      </c>
      <c r="V129" s="230"/>
      <c r="W129" s="227">
        <f>S129*F129</f>
        <v>0</v>
      </c>
      <c r="X129" s="227">
        <f>T129*F129</f>
        <v>1320000</v>
      </c>
      <c r="Y129" s="227">
        <f>U129*F129</f>
        <v>1320000</v>
      </c>
      <c r="Z129" s="227">
        <f>V129*F129</f>
        <v>0</v>
      </c>
      <c r="AA129" s="230">
        <v>10</v>
      </c>
      <c r="AB129" s="227">
        <f t="shared" si="129"/>
        <v>300000</v>
      </c>
      <c r="AC129" s="230">
        <v>10</v>
      </c>
      <c r="AD129" s="231">
        <f t="shared" si="130"/>
        <v>300000</v>
      </c>
      <c r="AE129" s="230">
        <v>5</v>
      </c>
      <c r="AF129" s="53">
        <f t="shared" si="89"/>
        <v>150000</v>
      </c>
      <c r="AG129" s="230">
        <v>10</v>
      </c>
      <c r="AH129" s="53">
        <f t="shared" si="90"/>
        <v>300000</v>
      </c>
      <c r="AI129" s="230">
        <v>5</v>
      </c>
      <c r="AJ129" s="53">
        <f t="shared" si="91"/>
        <v>150000</v>
      </c>
      <c r="AK129" s="230">
        <v>5</v>
      </c>
      <c r="AL129" s="53">
        <f t="shared" si="92"/>
        <v>150000</v>
      </c>
      <c r="AM129" s="230"/>
      <c r="AN129" s="53">
        <f t="shared" si="93"/>
        <v>0</v>
      </c>
      <c r="AO129" s="230"/>
      <c r="AP129" s="53">
        <f t="shared" si="94"/>
        <v>0</v>
      </c>
      <c r="AQ129" s="230">
        <v>5</v>
      </c>
      <c r="AR129" s="53">
        <f t="shared" si="95"/>
        <v>150000</v>
      </c>
      <c r="AS129" s="230">
        <v>10</v>
      </c>
      <c r="AT129" s="53">
        <f t="shared" si="96"/>
        <v>300000</v>
      </c>
      <c r="AU129" s="230"/>
      <c r="AV129" s="53">
        <f t="shared" si="97"/>
        <v>0</v>
      </c>
      <c r="AW129" s="230">
        <v>10</v>
      </c>
      <c r="AX129" s="53">
        <f t="shared" si="98"/>
        <v>300000</v>
      </c>
      <c r="AY129" s="53">
        <v>0</v>
      </c>
      <c r="AZ129" s="53">
        <f t="shared" si="99"/>
        <v>0</v>
      </c>
      <c r="BA129" s="230">
        <v>10</v>
      </c>
      <c r="BB129" s="53">
        <f t="shared" si="100"/>
        <v>300000</v>
      </c>
      <c r="BC129" s="651">
        <v>3</v>
      </c>
      <c r="BD129" s="53">
        <f t="shared" si="101"/>
        <v>90000</v>
      </c>
      <c r="BE129" s="261">
        <v>5</v>
      </c>
      <c r="BF129" s="53">
        <f t="shared" si="102"/>
        <v>150000</v>
      </c>
      <c r="BG129" s="230"/>
      <c r="BH129" s="53">
        <f t="shared" si="103"/>
        <v>0</v>
      </c>
      <c r="BI129" s="230"/>
      <c r="BJ129" s="53">
        <f t="shared" si="104"/>
        <v>0</v>
      </c>
      <c r="BK129" s="230">
        <f t="shared" si="131"/>
        <v>88</v>
      </c>
      <c r="BL129" s="53">
        <f t="shared" si="131"/>
        <v>2640000</v>
      </c>
      <c r="BM129" s="315" t="s">
        <v>482</v>
      </c>
      <c r="BN129" s="709">
        <f t="shared" si="114"/>
        <v>2640000</v>
      </c>
      <c r="BO129" s="236"/>
      <c r="BP129" s="276"/>
      <c r="BQ129" s="276">
        <f>H129</f>
        <v>2640000</v>
      </c>
      <c r="BR129" s="276"/>
      <c r="BS129" s="113">
        <f>BO129+BP129+BQ129+BR129</f>
        <v>2640000</v>
      </c>
      <c r="BT129" s="276"/>
      <c r="BU129" s="276"/>
      <c r="BV129" s="113"/>
      <c r="BW129" s="223">
        <f>BS129+BV129</f>
        <v>2640000</v>
      </c>
    </row>
    <row r="130" spans="1:75" s="39" customFormat="1" ht="31.5" x14ac:dyDescent="0.25">
      <c r="A130" s="874"/>
      <c r="B130" s="47"/>
      <c r="C130" s="118"/>
      <c r="D130" s="308" t="s">
        <v>891</v>
      </c>
      <c r="E130" s="118" t="s">
        <v>606</v>
      </c>
      <c r="F130" s="282">
        <v>100000</v>
      </c>
      <c r="G130" s="228">
        <f t="shared" si="84"/>
        <v>38</v>
      </c>
      <c r="H130" s="236">
        <f>G130*F130</f>
        <v>3800000</v>
      </c>
      <c r="I130" s="236">
        <f>H130*0.2</f>
        <v>760000</v>
      </c>
      <c r="J130" s="236">
        <f>H130*0.8</f>
        <v>3040000</v>
      </c>
      <c r="K130" s="283"/>
      <c r="L130" s="283"/>
      <c r="M130" s="283"/>
      <c r="N130" s="283"/>
      <c r="O130" s="283"/>
      <c r="P130" s="283"/>
      <c r="Q130" s="283"/>
      <c r="R130" s="283"/>
      <c r="S130" s="284">
        <v>17</v>
      </c>
      <c r="T130" s="284"/>
      <c r="U130" s="284">
        <v>17</v>
      </c>
      <c r="V130" s="284"/>
      <c r="W130" s="227">
        <f>S130*F130</f>
        <v>1700000</v>
      </c>
      <c r="X130" s="227">
        <f>T130*F130</f>
        <v>0</v>
      </c>
      <c r="Y130" s="227">
        <f>U130*F130</f>
        <v>1700000</v>
      </c>
      <c r="Z130" s="227">
        <f>V130*F130</f>
        <v>0</v>
      </c>
      <c r="AA130" s="230">
        <v>2</v>
      </c>
      <c r="AB130" s="230">
        <f>AA130*F130</f>
        <v>200000</v>
      </c>
      <c r="AC130" s="230">
        <v>2</v>
      </c>
      <c r="AD130" s="230">
        <f>AC130*F130</f>
        <v>200000</v>
      </c>
      <c r="AE130" s="230">
        <v>2</v>
      </c>
      <c r="AF130" s="230">
        <f>AE130*F130</f>
        <v>200000</v>
      </c>
      <c r="AG130" s="230">
        <v>2</v>
      </c>
      <c r="AH130" s="230">
        <f>AG130*F130</f>
        <v>200000</v>
      </c>
      <c r="AI130" s="230">
        <v>2</v>
      </c>
      <c r="AJ130" s="230">
        <f>AI130*F130</f>
        <v>200000</v>
      </c>
      <c r="AK130" s="230">
        <v>2</v>
      </c>
      <c r="AL130" s="230">
        <f>AK130*F130</f>
        <v>200000</v>
      </c>
      <c r="AM130" s="230">
        <v>4</v>
      </c>
      <c r="AN130" s="230">
        <f>AM130*F130</f>
        <v>400000</v>
      </c>
      <c r="AO130" s="651">
        <v>4</v>
      </c>
      <c r="AP130" s="230">
        <f>AO130*F130</f>
        <v>400000</v>
      </c>
      <c r="AQ130" s="230">
        <v>2</v>
      </c>
      <c r="AR130" s="230">
        <f>AQ130*F130</f>
        <v>200000</v>
      </c>
      <c r="AS130" s="230">
        <v>2</v>
      </c>
      <c r="AT130" s="230">
        <f>AS130*F130</f>
        <v>200000</v>
      </c>
      <c r="AU130" s="230">
        <v>2</v>
      </c>
      <c r="AV130" s="230">
        <f>AU130*F130</f>
        <v>200000</v>
      </c>
      <c r="AW130" s="230">
        <v>2</v>
      </c>
      <c r="AX130" s="230">
        <f>AW130*F130</f>
        <v>200000</v>
      </c>
      <c r="AY130" s="230">
        <v>2</v>
      </c>
      <c r="AZ130" s="230">
        <f>AY130*F130</f>
        <v>200000</v>
      </c>
      <c r="BA130" s="230">
        <v>2</v>
      </c>
      <c r="BB130" s="230">
        <f>BA130*F130</f>
        <v>200000</v>
      </c>
      <c r="BC130" s="230">
        <v>2</v>
      </c>
      <c r="BD130" s="230">
        <f>BC130*F130</f>
        <v>200000</v>
      </c>
      <c r="BE130" s="230">
        <v>2</v>
      </c>
      <c r="BF130" s="230">
        <f>BE130*F130</f>
        <v>200000</v>
      </c>
      <c r="BG130" s="230">
        <v>2</v>
      </c>
      <c r="BH130" s="230">
        <f>BG130*F130</f>
        <v>200000</v>
      </c>
      <c r="BI130" s="230">
        <v>0</v>
      </c>
      <c r="BJ130" s="285"/>
      <c r="BK130" s="230">
        <f>AA130+AC130+AE130+AG130+AI130+AK130+AM130+AO130+AQ130+AS130+AU130+AW130+AY130+BA130+BC130+BE130+BG130+BI130</f>
        <v>38</v>
      </c>
      <c r="BL130" s="53">
        <f>AB130+AD130+AF130+AH130+AJ130+AL130+AN130+AP130+AR130+AT130+AV130+AX130+AZ130+BB130+BD130+BF130+BH130+BJ130</f>
        <v>3800000</v>
      </c>
      <c r="BM130" s="315" t="s">
        <v>469</v>
      </c>
      <c r="BN130" s="709">
        <f t="shared" si="114"/>
        <v>3800000</v>
      </c>
      <c r="BO130" s="286"/>
      <c r="BP130" s="286"/>
      <c r="BQ130" s="286"/>
      <c r="BR130" s="286"/>
      <c r="BS130" s="286"/>
      <c r="BT130" s="286"/>
      <c r="BU130" s="286"/>
      <c r="BV130" s="286"/>
      <c r="BW130" s="286"/>
    </row>
    <row r="131" spans="1:75" s="275" customFormat="1" ht="20.25" customHeight="1" x14ac:dyDescent="0.25">
      <c r="A131" s="874"/>
      <c r="B131" s="287"/>
      <c r="C131" s="287"/>
      <c r="D131" s="239" t="s">
        <v>3</v>
      </c>
      <c r="E131" s="288"/>
      <c r="F131" s="288"/>
      <c r="G131" s="241">
        <f t="shared" si="84"/>
        <v>347</v>
      </c>
      <c r="H131" s="289">
        <f>SUM(H127:H130)</f>
        <v>13790000</v>
      </c>
      <c r="I131" s="290">
        <f>SUM(I127:I130)</f>
        <v>1759000</v>
      </c>
      <c r="J131" s="290">
        <f t="shared" ref="J131:Z131" si="149">SUM(J127:J130)</f>
        <v>11032000</v>
      </c>
      <c r="K131" s="290">
        <f t="shared" si="149"/>
        <v>0</v>
      </c>
      <c r="L131" s="290">
        <f t="shared" si="149"/>
        <v>0</v>
      </c>
      <c r="M131" s="290">
        <f t="shared" si="149"/>
        <v>0</v>
      </c>
      <c r="N131" s="290">
        <f t="shared" si="149"/>
        <v>0</v>
      </c>
      <c r="O131" s="290">
        <f t="shared" si="149"/>
        <v>0</v>
      </c>
      <c r="P131" s="290">
        <f t="shared" si="149"/>
        <v>0</v>
      </c>
      <c r="Q131" s="290">
        <f t="shared" si="149"/>
        <v>999000</v>
      </c>
      <c r="R131" s="290">
        <f t="shared" si="149"/>
        <v>0</v>
      </c>
      <c r="S131" s="290">
        <f t="shared" si="149"/>
        <v>17</v>
      </c>
      <c r="T131" s="290">
        <f t="shared" si="149"/>
        <v>173</v>
      </c>
      <c r="U131" s="290">
        <f t="shared" si="149"/>
        <v>110</v>
      </c>
      <c r="V131" s="290">
        <f t="shared" si="149"/>
        <v>43</v>
      </c>
      <c r="W131" s="290">
        <f t="shared" si="149"/>
        <v>1700000</v>
      </c>
      <c r="X131" s="290">
        <f t="shared" si="149"/>
        <v>5190000</v>
      </c>
      <c r="Y131" s="290">
        <f t="shared" si="149"/>
        <v>5210000</v>
      </c>
      <c r="Z131" s="290">
        <f t="shared" si="149"/>
        <v>1290000</v>
      </c>
      <c r="AA131" s="290">
        <f t="shared" ref="AA131:BJ131" si="150">SUM(AA127:AA130)</f>
        <v>27</v>
      </c>
      <c r="AB131" s="290">
        <f t="shared" si="150"/>
        <v>950000</v>
      </c>
      <c r="AC131" s="290">
        <f t="shared" si="150"/>
        <v>32</v>
      </c>
      <c r="AD131" s="290">
        <f t="shared" si="150"/>
        <v>1100000</v>
      </c>
      <c r="AE131" s="290">
        <f t="shared" si="150"/>
        <v>12</v>
      </c>
      <c r="AF131" s="290">
        <f t="shared" si="150"/>
        <v>500000</v>
      </c>
      <c r="AG131" s="290">
        <f t="shared" si="150"/>
        <v>22</v>
      </c>
      <c r="AH131" s="290">
        <f t="shared" si="150"/>
        <v>800000</v>
      </c>
      <c r="AI131" s="290">
        <f t="shared" si="150"/>
        <v>17</v>
      </c>
      <c r="AJ131" s="290">
        <f t="shared" si="150"/>
        <v>650000</v>
      </c>
      <c r="AK131" s="290">
        <f t="shared" si="150"/>
        <v>17</v>
      </c>
      <c r="AL131" s="290">
        <f t="shared" si="150"/>
        <v>650000</v>
      </c>
      <c r="AM131" s="290">
        <f t="shared" si="150"/>
        <v>19</v>
      </c>
      <c r="AN131" s="290">
        <f t="shared" si="150"/>
        <v>850000</v>
      </c>
      <c r="AO131" s="290">
        <f t="shared" si="150"/>
        <v>16</v>
      </c>
      <c r="AP131" s="290">
        <f t="shared" si="150"/>
        <v>1000000</v>
      </c>
      <c r="AQ131" s="290">
        <f t="shared" si="150"/>
        <v>12</v>
      </c>
      <c r="AR131" s="290">
        <f t="shared" si="150"/>
        <v>500000</v>
      </c>
      <c r="AS131" s="290">
        <f t="shared" si="150"/>
        <v>29</v>
      </c>
      <c r="AT131" s="290">
        <f t="shared" si="150"/>
        <v>1250000</v>
      </c>
      <c r="AU131" s="290">
        <f t="shared" si="150"/>
        <v>22</v>
      </c>
      <c r="AV131" s="290">
        <f t="shared" si="150"/>
        <v>800000</v>
      </c>
      <c r="AW131" s="290">
        <f t="shared" si="150"/>
        <v>22</v>
      </c>
      <c r="AX131" s="290">
        <f t="shared" si="150"/>
        <v>800000</v>
      </c>
      <c r="AY131" s="290">
        <f t="shared" si="150"/>
        <v>32</v>
      </c>
      <c r="AZ131" s="290">
        <f t="shared" si="150"/>
        <v>1100000</v>
      </c>
      <c r="BA131" s="290">
        <f t="shared" si="150"/>
        <v>17</v>
      </c>
      <c r="BB131" s="290">
        <f t="shared" si="150"/>
        <v>650000</v>
      </c>
      <c r="BC131" s="290">
        <f t="shared" si="150"/>
        <v>17</v>
      </c>
      <c r="BD131" s="290">
        <f t="shared" si="150"/>
        <v>890000</v>
      </c>
      <c r="BE131" s="290">
        <f t="shared" si="150"/>
        <v>27</v>
      </c>
      <c r="BF131" s="290">
        <f t="shared" si="150"/>
        <v>950000</v>
      </c>
      <c r="BG131" s="290">
        <f t="shared" si="150"/>
        <v>7</v>
      </c>
      <c r="BH131" s="290">
        <f t="shared" si="150"/>
        <v>350000</v>
      </c>
      <c r="BI131" s="290">
        <f t="shared" si="150"/>
        <v>0</v>
      </c>
      <c r="BJ131" s="290">
        <f t="shared" si="150"/>
        <v>0</v>
      </c>
      <c r="BK131" s="291">
        <f>SUM(BK126:BK130)</f>
        <v>347</v>
      </c>
      <c r="BL131" s="291">
        <f>SUM(BL126:BL130)</f>
        <v>13790000</v>
      </c>
      <c r="BM131" s="321"/>
      <c r="BN131" s="709">
        <f t="shared" si="114"/>
        <v>13790000</v>
      </c>
      <c r="BO131" s="240">
        <f>SUM(BO126:BO129)</f>
        <v>0</v>
      </c>
      <c r="BP131" s="240"/>
      <c r="BQ131" s="240">
        <f>SUM(BQ126:BQ129)</f>
        <v>9990000</v>
      </c>
      <c r="BR131" s="240"/>
      <c r="BS131" s="240">
        <f>BO131+BP131+BQ131+BR131</f>
        <v>9990000</v>
      </c>
      <c r="BT131" s="240"/>
      <c r="BU131" s="240"/>
      <c r="BV131" s="240"/>
      <c r="BW131" s="240">
        <f>BS131+BV131</f>
        <v>9990000</v>
      </c>
    </row>
    <row r="132" spans="1:75" s="67" customFormat="1" x14ac:dyDescent="0.25">
      <c r="A132" s="875"/>
      <c r="B132" s="292"/>
      <c r="C132" s="293"/>
      <c r="D132" s="293"/>
      <c r="E132" s="293"/>
      <c r="F132" s="294"/>
      <c r="G132" s="295">
        <f>G131+G125+G109+G87+G77+G62+G45+G38+G33+G22+G15</f>
        <v>49667.8</v>
      </c>
      <c r="H132" s="296">
        <f>H131+H125+H109+H87+H77+H62+H45+H38+H33+H22+H15</f>
        <v>650629700</v>
      </c>
      <c r="I132" s="297">
        <f t="shared" ref="I132:R132" si="151">I15+I22+I33+I38+I45+I62+I77+I87+I109+I125+I131</f>
        <v>44715500</v>
      </c>
      <c r="J132" s="297">
        <f t="shared" si="151"/>
        <v>227742000</v>
      </c>
      <c r="K132" s="297">
        <f t="shared" si="151"/>
        <v>0</v>
      </c>
      <c r="L132" s="297">
        <f t="shared" si="151"/>
        <v>0</v>
      </c>
      <c r="M132" s="297">
        <f t="shared" si="151"/>
        <v>51000000</v>
      </c>
      <c r="N132" s="297">
        <f t="shared" si="151"/>
        <v>170177500</v>
      </c>
      <c r="O132" s="297">
        <f t="shared" si="151"/>
        <v>0</v>
      </c>
      <c r="P132" s="297">
        <f t="shared" si="151"/>
        <v>0</v>
      </c>
      <c r="Q132" s="297">
        <f t="shared" si="151"/>
        <v>20395000</v>
      </c>
      <c r="R132" s="297">
        <f t="shared" si="151"/>
        <v>136599700</v>
      </c>
      <c r="S132" s="295">
        <f t="shared" ref="S132:BK132" si="152">S131+S125+S109+S87+S77+S62+S45+S38+S33+S22+S15</f>
        <v>15197.829999999998</v>
      </c>
      <c r="T132" s="295">
        <f t="shared" si="152"/>
        <v>11859.78</v>
      </c>
      <c r="U132" s="295">
        <f t="shared" si="152"/>
        <v>7981.869999999999</v>
      </c>
      <c r="V132" s="295">
        <f t="shared" si="152"/>
        <v>14281.32</v>
      </c>
      <c r="W132" s="295">
        <f t="shared" si="152"/>
        <v>196379435</v>
      </c>
      <c r="X132" s="295">
        <f t="shared" si="152"/>
        <v>196706815</v>
      </c>
      <c r="Y132" s="295">
        <f t="shared" si="152"/>
        <v>103180025</v>
      </c>
      <c r="Z132" s="295">
        <f t="shared" si="152"/>
        <v>127048425</v>
      </c>
      <c r="AA132" s="298">
        <f t="shared" si="152"/>
        <v>2166</v>
      </c>
      <c r="AB132" s="298">
        <f t="shared" si="152"/>
        <v>36396100</v>
      </c>
      <c r="AC132" s="298">
        <f t="shared" si="152"/>
        <v>858</v>
      </c>
      <c r="AD132" s="298">
        <f t="shared" si="152"/>
        <v>20163600</v>
      </c>
      <c r="AE132" s="298">
        <f t="shared" si="152"/>
        <v>1406</v>
      </c>
      <c r="AF132" s="298">
        <f t="shared" si="152"/>
        <v>32580650</v>
      </c>
      <c r="AG132" s="298">
        <f t="shared" si="152"/>
        <v>7487</v>
      </c>
      <c r="AH132" s="298">
        <f t="shared" si="152"/>
        <v>58896100</v>
      </c>
      <c r="AI132" s="298">
        <f t="shared" si="152"/>
        <v>2699</v>
      </c>
      <c r="AJ132" s="298">
        <f t="shared" si="152"/>
        <v>32243300</v>
      </c>
      <c r="AK132" s="298">
        <f t="shared" si="152"/>
        <v>3820</v>
      </c>
      <c r="AL132" s="298">
        <f t="shared" si="152"/>
        <v>36276950</v>
      </c>
      <c r="AM132" s="298">
        <f t="shared" si="152"/>
        <v>1376</v>
      </c>
      <c r="AN132" s="298">
        <f t="shared" si="152"/>
        <v>29872300</v>
      </c>
      <c r="AO132" s="298">
        <f t="shared" si="152"/>
        <v>992</v>
      </c>
      <c r="AP132" s="298">
        <f t="shared" si="152"/>
        <v>37489000</v>
      </c>
      <c r="AQ132" s="298">
        <f t="shared" si="152"/>
        <v>1013.8</v>
      </c>
      <c r="AR132" s="298">
        <f t="shared" si="152"/>
        <v>15737800</v>
      </c>
      <c r="AS132" s="298">
        <f t="shared" si="152"/>
        <v>6758</v>
      </c>
      <c r="AT132" s="298">
        <f t="shared" si="152"/>
        <v>38441600</v>
      </c>
      <c r="AU132" s="298">
        <f t="shared" si="152"/>
        <v>1132</v>
      </c>
      <c r="AV132" s="298">
        <f t="shared" si="152"/>
        <v>40895900</v>
      </c>
      <c r="AW132" s="298">
        <f t="shared" si="152"/>
        <v>2977</v>
      </c>
      <c r="AX132" s="298">
        <f t="shared" si="152"/>
        <v>39201750</v>
      </c>
      <c r="AY132" s="298">
        <f t="shared" si="152"/>
        <v>1164</v>
      </c>
      <c r="AZ132" s="298">
        <f t="shared" si="152"/>
        <v>37916850</v>
      </c>
      <c r="BA132" s="298">
        <f t="shared" si="152"/>
        <v>2095</v>
      </c>
      <c r="BB132" s="298">
        <f t="shared" si="152"/>
        <v>36357100</v>
      </c>
      <c r="BC132" s="298">
        <f t="shared" si="152"/>
        <v>5859</v>
      </c>
      <c r="BD132" s="298">
        <f t="shared" si="152"/>
        <v>52075100</v>
      </c>
      <c r="BE132" s="298">
        <f t="shared" si="152"/>
        <v>3222</v>
      </c>
      <c r="BF132" s="298">
        <f t="shared" si="152"/>
        <v>51682700</v>
      </c>
      <c r="BG132" s="298">
        <f t="shared" si="152"/>
        <v>4640</v>
      </c>
      <c r="BH132" s="298">
        <f t="shared" si="152"/>
        <v>50402900</v>
      </c>
      <c r="BI132" s="298">
        <f t="shared" si="152"/>
        <v>3</v>
      </c>
      <c r="BJ132" s="298">
        <f t="shared" si="152"/>
        <v>4000000</v>
      </c>
      <c r="BK132" s="298">
        <f t="shared" si="152"/>
        <v>49667.8</v>
      </c>
      <c r="BL132" s="296">
        <f>BL131+BL125+BL109+BL87+BL77+BL62+BL45+BL38+BL33+BL22+BL15</f>
        <v>650629700</v>
      </c>
      <c r="BM132" s="321"/>
      <c r="BN132" s="709">
        <f t="shared" si="114"/>
        <v>650629700</v>
      </c>
      <c r="BO132" s="183">
        <f t="shared" ref="BO132:BW132" si="153">BO131+BO125+BO109+BO87+BO77+BO62+BO45+BO38+BO33+BO22+BO15</f>
        <v>308371500</v>
      </c>
      <c r="BP132" s="183">
        <f t="shared" si="153"/>
        <v>5996500</v>
      </c>
      <c r="BQ132" s="183">
        <f t="shared" si="153"/>
        <v>328921700</v>
      </c>
      <c r="BR132" s="183">
        <f t="shared" si="153"/>
        <v>0</v>
      </c>
      <c r="BS132" s="183">
        <f t="shared" si="153"/>
        <v>643289700</v>
      </c>
      <c r="BT132" s="183">
        <f t="shared" si="153"/>
        <v>0</v>
      </c>
      <c r="BU132" s="183">
        <f t="shared" si="153"/>
        <v>0</v>
      </c>
      <c r="BV132" s="183">
        <f t="shared" si="153"/>
        <v>0</v>
      </c>
      <c r="BW132" s="183">
        <f t="shared" si="153"/>
        <v>643289700</v>
      </c>
    </row>
    <row r="133" spans="1:75" x14ac:dyDescent="0.25">
      <c r="D133" s="32" t="s">
        <v>507</v>
      </c>
      <c r="G133" s="32"/>
      <c r="H133" s="32"/>
      <c r="N133" s="196" t="e">
        <f>H132-#REF!</f>
        <v>#REF!</v>
      </c>
      <c r="BL133" s="196"/>
    </row>
    <row r="134" spans="1:75" x14ac:dyDescent="0.25">
      <c r="D134" s="32" t="s">
        <v>537</v>
      </c>
      <c r="G134" s="32"/>
      <c r="H134" s="32"/>
    </row>
    <row r="135" spans="1:75" x14ac:dyDescent="0.25">
      <c r="D135" s="32" t="s">
        <v>538</v>
      </c>
      <c r="G135" s="32"/>
      <c r="H135" s="32"/>
    </row>
    <row r="136" spans="1:75" x14ac:dyDescent="0.25">
      <c r="D136" s="32" t="s">
        <v>539</v>
      </c>
      <c r="G136" s="32"/>
      <c r="H136" s="32"/>
    </row>
    <row r="137" spans="1:75" x14ac:dyDescent="0.25">
      <c r="D137" s="32" t="s">
        <v>540</v>
      </c>
      <c r="G137" s="32"/>
      <c r="H137" s="32"/>
    </row>
    <row r="138" spans="1:75" x14ac:dyDescent="0.25">
      <c r="D138" s="32" t="s">
        <v>541</v>
      </c>
      <c r="G138" s="32"/>
      <c r="H138" s="32"/>
    </row>
    <row r="139" spans="1:75" x14ac:dyDescent="0.25">
      <c r="D139" s="32" t="s">
        <v>542</v>
      </c>
      <c r="G139" s="32"/>
      <c r="H139" s="32"/>
    </row>
    <row r="140" spans="1:75" x14ac:dyDescent="0.25">
      <c r="D140" s="32" t="s">
        <v>543</v>
      </c>
      <c r="G140" s="32"/>
      <c r="H140" s="32"/>
    </row>
    <row r="141" spans="1:75" x14ac:dyDescent="0.25">
      <c r="D141" s="32" t="s">
        <v>544</v>
      </c>
      <c r="G141" s="32"/>
      <c r="H141" s="32"/>
    </row>
    <row r="142" spans="1:75" x14ac:dyDescent="0.25">
      <c r="D142" s="32" t="s">
        <v>545</v>
      </c>
      <c r="G142" s="32"/>
      <c r="H142" s="32"/>
    </row>
    <row r="143" spans="1:75" x14ac:dyDescent="0.25">
      <c r="G143" s="32"/>
      <c r="H143" s="32"/>
    </row>
  </sheetData>
  <mergeCells count="45">
    <mergeCell ref="A1:R1"/>
    <mergeCell ref="A2:C2"/>
    <mergeCell ref="D2:R2"/>
    <mergeCell ref="A3:C3"/>
    <mergeCell ref="D3:R3"/>
    <mergeCell ref="A10:A132"/>
    <mergeCell ref="BG7:BH8"/>
    <mergeCell ref="BI7:BJ8"/>
    <mergeCell ref="A4:C4"/>
    <mergeCell ref="D4:R4"/>
    <mergeCell ref="A5:C5"/>
    <mergeCell ref="D5:R5"/>
    <mergeCell ref="A6:C6"/>
    <mergeCell ref="A7:E7"/>
    <mergeCell ref="G7:H7"/>
    <mergeCell ref="D6:R6"/>
    <mergeCell ref="BE7:BF8"/>
    <mergeCell ref="I7:R7"/>
    <mergeCell ref="S7:V8"/>
    <mergeCell ref="W7:Z8"/>
    <mergeCell ref="AK7:AL8"/>
    <mergeCell ref="BW8:BW9"/>
    <mergeCell ref="BK7:BL8"/>
    <mergeCell ref="D8:D9"/>
    <mergeCell ref="E8:E9"/>
    <mergeCell ref="F8:F9"/>
    <mergeCell ref="G8:G9"/>
    <mergeCell ref="H8:H9"/>
    <mergeCell ref="AU7:AV8"/>
    <mergeCell ref="AW7:AX8"/>
    <mergeCell ref="AY7:AZ8"/>
    <mergeCell ref="BO8:BS8"/>
    <mergeCell ref="BT8:BV8"/>
    <mergeCell ref="AA7:AB8"/>
    <mergeCell ref="AC7:AD8"/>
    <mergeCell ref="BN7:BN9"/>
    <mergeCell ref="BC7:BD8"/>
    <mergeCell ref="BA7:BB8"/>
    <mergeCell ref="AI7:AJ8"/>
    <mergeCell ref="AQ7:AR8"/>
    <mergeCell ref="AS7:AT8"/>
    <mergeCell ref="AE7:AF8"/>
    <mergeCell ref="AM7:AN8"/>
    <mergeCell ref="AO7:AP8"/>
    <mergeCell ref="AG7:AH8"/>
  </mergeCells>
  <pageMargins left="0.7" right="0.7" top="0.75" bottom="0.75" header="0.3" footer="0.3"/>
  <pageSetup paperSize="9" scale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V44"/>
  <sheetViews>
    <sheetView workbookViewId="0">
      <pane xSplit="7" ySplit="9" topLeftCell="Z28" activePane="bottomRight" state="frozen"/>
      <selection pane="topRight" activeCell="H1" sqref="H1"/>
      <selection pane="bottomLeft" activeCell="A10" sqref="A10"/>
      <selection pane="bottomRight" activeCell="G19" sqref="G19"/>
    </sheetView>
  </sheetViews>
  <sheetFormatPr defaultRowHeight="15.75" x14ac:dyDescent="0.25"/>
  <cols>
    <col min="1" max="1" width="11.28515625" style="106" customWidth="1"/>
    <col min="2" max="2" width="7.7109375" style="106" customWidth="1"/>
    <col min="3" max="3" width="31.85546875" style="106" customWidth="1"/>
    <col min="4" max="4" width="11.140625" style="106" hidden="1" customWidth="1"/>
    <col min="5" max="5" width="15.140625" style="460" customWidth="1"/>
    <col min="6" max="6" width="9.7109375" style="460" customWidth="1"/>
    <col min="7" max="7" width="20.28515625" style="460" customWidth="1"/>
    <col min="8" max="8" width="15.5703125" style="460" customWidth="1"/>
    <col min="9" max="9" width="17" style="460" customWidth="1"/>
    <col min="10" max="10" width="15.28515625" style="460" bestFit="1" customWidth="1"/>
    <col min="11" max="11" width="14" style="460" customWidth="1"/>
    <col min="12" max="12" width="14.85546875" style="460" customWidth="1"/>
    <col min="13" max="13" width="12.85546875" style="460" customWidth="1"/>
    <col min="14" max="14" width="5.5703125" style="460" customWidth="1"/>
    <col min="15" max="15" width="7.140625" style="460" customWidth="1"/>
    <col min="16" max="16" width="6.140625" style="460" customWidth="1"/>
    <col min="17" max="17" width="8.140625" style="460" customWidth="1"/>
    <col min="18" max="18" width="8.7109375" style="547" customWidth="1"/>
    <col min="19" max="19" width="7.42578125" style="547" customWidth="1"/>
    <col min="20" max="20" width="7" style="547" customWidth="1"/>
    <col min="21" max="21" width="9.28515625" style="547" customWidth="1"/>
    <col min="22" max="22" width="13.42578125" style="461" bestFit="1" customWidth="1"/>
    <col min="23" max="23" width="16.28515625" style="461" customWidth="1"/>
    <col min="24" max="24" width="15.28515625" style="461" bestFit="1" customWidth="1"/>
    <col min="25" max="25" width="14.28515625" style="461" customWidth="1"/>
    <col min="26" max="26" width="5.140625" style="460" customWidth="1"/>
    <col min="27" max="27" width="13.140625" style="461" customWidth="1"/>
    <col min="28" max="28" width="5.140625" style="460" customWidth="1"/>
    <col min="29" max="29" width="12" style="461" customWidth="1"/>
    <col min="30" max="30" width="5.140625" style="460" customWidth="1"/>
    <col min="31" max="31" width="13.140625" style="461" customWidth="1"/>
    <col min="32" max="32" width="5.140625" style="460" customWidth="1"/>
    <col min="33" max="33" width="13.140625" style="461" customWidth="1"/>
    <col min="34" max="34" width="5.140625" style="460" customWidth="1"/>
    <col min="35" max="35" width="12.85546875" style="461" customWidth="1"/>
    <col min="36" max="36" width="5.140625" style="460" customWidth="1"/>
    <col min="37" max="37" width="13.140625" style="461" customWidth="1"/>
    <col min="38" max="38" width="5.140625" style="460" customWidth="1"/>
    <col min="39" max="39" width="15" style="461" customWidth="1"/>
    <col min="40" max="40" width="5.140625" style="460" customWidth="1"/>
    <col min="41" max="41" width="15.42578125" style="461" customWidth="1"/>
    <col min="42" max="42" width="5.140625" style="460" customWidth="1"/>
    <col min="43" max="43" width="11.28515625" style="461" customWidth="1"/>
    <col min="44" max="44" width="7" style="460" customWidth="1"/>
    <col min="45" max="45" width="13.5703125" style="461" customWidth="1"/>
    <col min="46" max="46" width="5.140625" style="460" customWidth="1"/>
    <col min="47" max="47" width="11.28515625" style="461" customWidth="1"/>
    <col min="48" max="48" width="5.140625" style="460" customWidth="1"/>
    <col min="49" max="49" width="11.28515625" style="461" customWidth="1"/>
    <col min="50" max="50" width="7" style="460" customWidth="1"/>
    <col min="51" max="51" width="12.140625" style="461" customWidth="1"/>
    <col min="52" max="52" width="5.140625" style="460" customWidth="1"/>
    <col min="53" max="53" width="13.140625" style="461" customWidth="1"/>
    <col min="54" max="54" width="5.140625" style="460" customWidth="1"/>
    <col min="55" max="55" width="13.140625" style="461" customWidth="1"/>
    <col min="56" max="56" width="5.140625" style="460" customWidth="1"/>
    <col min="57" max="57" width="13.140625" style="461" customWidth="1"/>
    <col min="58" max="58" width="5.140625" style="460" customWidth="1"/>
    <col min="59" max="59" width="15.7109375" style="461" customWidth="1"/>
    <col min="60" max="60" width="10.140625" style="460" customWidth="1"/>
    <col min="61" max="61" width="15" style="461" customWidth="1"/>
    <col min="62" max="62" width="11.140625" style="460" customWidth="1"/>
    <col min="63" max="63" width="17.42578125" style="461" customWidth="1"/>
    <col min="64" max="64" width="15.28515625" style="106" customWidth="1"/>
    <col min="65" max="65" width="9.140625" style="106" customWidth="1"/>
    <col min="66" max="66" width="15.85546875" style="106" customWidth="1"/>
    <col min="67" max="67" width="17.42578125" style="106" bestFit="1" customWidth="1"/>
    <col min="68" max="68" width="16" style="106" customWidth="1"/>
    <col min="69" max="69" width="5.28515625" style="106" customWidth="1"/>
    <col min="70" max="70" width="17.42578125" style="106" customWidth="1"/>
    <col min="71" max="71" width="8.5703125" style="106" customWidth="1"/>
    <col min="72" max="72" width="7.5703125" style="106" customWidth="1"/>
    <col min="73" max="73" width="7.42578125" style="106" customWidth="1"/>
    <col min="74" max="74" width="17.28515625" style="106" customWidth="1"/>
    <col min="75" max="84" width="9.140625" style="106" customWidth="1"/>
    <col min="85" max="16384" width="9.140625" style="106"/>
  </cols>
  <sheetData>
    <row r="1" spans="1:74" ht="21.75" customHeight="1" x14ac:dyDescent="0.25">
      <c r="A1" s="902" t="s">
        <v>409</v>
      </c>
      <c r="B1" s="902"/>
      <c r="C1" s="903" t="s">
        <v>403</v>
      </c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519"/>
      <c r="S1" s="519"/>
      <c r="T1" s="519"/>
      <c r="U1" s="519"/>
      <c r="V1" s="520"/>
      <c r="W1" s="520"/>
      <c r="X1" s="520"/>
      <c r="Y1" s="520"/>
    </row>
    <row r="2" spans="1:74" ht="18" customHeight="1" x14ac:dyDescent="0.25">
      <c r="A2" s="902" t="s">
        <v>405</v>
      </c>
      <c r="B2" s="902"/>
      <c r="C2" s="903" t="s">
        <v>404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519"/>
      <c r="S2" s="519"/>
      <c r="T2" s="519"/>
      <c r="U2" s="519"/>
      <c r="V2" s="520"/>
      <c r="W2" s="520"/>
      <c r="X2" s="520"/>
      <c r="Y2" s="520"/>
      <c r="Z2" s="361" t="s">
        <v>787</v>
      </c>
      <c r="AA2" s="361">
        <v>8.34</v>
      </c>
      <c r="AB2" s="361"/>
      <c r="AC2" s="361">
        <v>2.85</v>
      </c>
      <c r="AD2" s="361"/>
      <c r="AE2" s="361">
        <v>8.3800000000000008</v>
      </c>
      <c r="AF2" s="361"/>
      <c r="AG2" s="361">
        <v>7.49</v>
      </c>
      <c r="AH2" s="361"/>
      <c r="AI2" s="361">
        <v>3.33</v>
      </c>
      <c r="AJ2" s="361"/>
      <c r="AK2" s="361">
        <v>6.64</v>
      </c>
      <c r="AL2" s="361"/>
      <c r="AM2" s="361">
        <v>3.67</v>
      </c>
      <c r="AN2" s="361"/>
      <c r="AO2" s="361">
        <v>5.0599999999999996</v>
      </c>
      <c r="AP2" s="361"/>
      <c r="AQ2" s="361">
        <v>5.94</v>
      </c>
      <c r="AR2" s="361"/>
      <c r="AS2" s="361">
        <v>6.85</v>
      </c>
      <c r="AT2" s="361"/>
      <c r="AU2" s="361">
        <v>7.45</v>
      </c>
      <c r="AV2" s="361"/>
      <c r="AW2" s="361">
        <v>5.13</v>
      </c>
      <c r="AX2" s="361"/>
      <c r="AY2" s="361">
        <v>4.8600000000000003</v>
      </c>
      <c r="AZ2" s="361"/>
      <c r="BA2" s="361">
        <v>5.79</v>
      </c>
      <c r="BB2" s="361"/>
      <c r="BC2" s="361">
        <v>5.3</v>
      </c>
      <c r="BD2" s="361"/>
      <c r="BE2" s="361">
        <v>3.47</v>
      </c>
      <c r="BF2" s="361"/>
      <c r="BG2" s="361">
        <v>9.42</v>
      </c>
      <c r="BH2" s="361"/>
      <c r="BI2" s="361"/>
      <c r="BJ2" s="361"/>
      <c r="BK2" s="361"/>
    </row>
    <row r="3" spans="1:74" ht="18.75" customHeight="1" x14ac:dyDescent="0.25">
      <c r="A3" s="902" t="s">
        <v>406</v>
      </c>
      <c r="B3" s="902"/>
      <c r="C3" s="903" t="s">
        <v>752</v>
      </c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519"/>
      <c r="S3" s="519"/>
      <c r="T3" s="519"/>
      <c r="U3" s="519"/>
      <c r="V3" s="520"/>
      <c r="W3" s="520"/>
      <c r="X3" s="520"/>
      <c r="Y3" s="520"/>
      <c r="Z3" s="361" t="s">
        <v>785</v>
      </c>
      <c r="AA3" s="361">
        <v>48</v>
      </c>
      <c r="AB3" s="361"/>
      <c r="AC3" s="361">
        <v>23</v>
      </c>
      <c r="AD3" s="361"/>
      <c r="AE3" s="361">
        <v>80</v>
      </c>
      <c r="AF3" s="361"/>
      <c r="AG3" s="361">
        <v>105</v>
      </c>
      <c r="AH3" s="361"/>
      <c r="AI3" s="361">
        <v>43</v>
      </c>
      <c r="AJ3" s="361"/>
      <c r="AK3" s="361">
        <v>75</v>
      </c>
      <c r="AL3" s="361"/>
      <c r="AM3" s="361">
        <v>41</v>
      </c>
      <c r="AN3" s="361"/>
      <c r="AO3" s="361">
        <v>101</v>
      </c>
      <c r="AP3" s="361"/>
      <c r="AQ3" s="361">
        <v>8</v>
      </c>
      <c r="AR3" s="361"/>
      <c r="AS3" s="361">
        <v>33</v>
      </c>
      <c r="AT3" s="361"/>
      <c r="AU3" s="361">
        <v>53</v>
      </c>
      <c r="AV3" s="361"/>
      <c r="AW3" s="361">
        <v>52</v>
      </c>
      <c r="AX3" s="361"/>
      <c r="AY3" s="361">
        <v>76</v>
      </c>
      <c r="AZ3" s="361"/>
      <c r="BA3" s="361">
        <v>82</v>
      </c>
      <c r="BB3" s="361"/>
      <c r="BC3" s="361">
        <v>104</v>
      </c>
      <c r="BD3" s="361"/>
      <c r="BE3" s="361">
        <v>147</v>
      </c>
      <c r="BF3" s="361"/>
      <c r="BG3" s="361">
        <v>54</v>
      </c>
      <c r="BH3" s="361"/>
      <c r="BI3" s="361"/>
      <c r="BJ3" s="361"/>
      <c r="BK3" s="361"/>
    </row>
    <row r="4" spans="1:74" ht="15" customHeight="1" x14ac:dyDescent="0.25">
      <c r="A4" s="902" t="s">
        <v>425</v>
      </c>
      <c r="B4" s="902"/>
      <c r="C4" s="903" t="s">
        <v>200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519"/>
      <c r="S4" s="519"/>
      <c r="T4" s="519"/>
      <c r="U4" s="519"/>
      <c r="V4" s="520"/>
      <c r="W4" s="520"/>
      <c r="X4" s="520"/>
      <c r="Y4" s="520"/>
      <c r="Z4" s="361" t="s">
        <v>786</v>
      </c>
      <c r="AA4" s="453">
        <f>AA3/1125*100</f>
        <v>4.2666666666666666</v>
      </c>
      <c r="AB4" s="453">
        <f t="shared" ref="AB4:BG4" si="0">AB3/1125*100</f>
        <v>0</v>
      </c>
      <c r="AC4" s="453">
        <f t="shared" si="0"/>
        <v>2.0444444444444447</v>
      </c>
      <c r="AD4" s="453">
        <f t="shared" si="0"/>
        <v>0</v>
      </c>
      <c r="AE4" s="453">
        <f t="shared" si="0"/>
        <v>7.1111111111111107</v>
      </c>
      <c r="AF4" s="453">
        <f t="shared" si="0"/>
        <v>0</v>
      </c>
      <c r="AG4" s="453">
        <f t="shared" si="0"/>
        <v>9.3333333333333339</v>
      </c>
      <c r="AH4" s="453">
        <f t="shared" si="0"/>
        <v>0</v>
      </c>
      <c r="AI4" s="453">
        <f t="shared" si="0"/>
        <v>3.822222222222222</v>
      </c>
      <c r="AJ4" s="453">
        <f t="shared" si="0"/>
        <v>0</v>
      </c>
      <c r="AK4" s="453">
        <f t="shared" si="0"/>
        <v>6.666666666666667</v>
      </c>
      <c r="AL4" s="453">
        <f t="shared" si="0"/>
        <v>0</v>
      </c>
      <c r="AM4" s="453">
        <f t="shared" si="0"/>
        <v>3.6444444444444448</v>
      </c>
      <c r="AN4" s="453">
        <f t="shared" si="0"/>
        <v>0</v>
      </c>
      <c r="AO4" s="453">
        <f t="shared" si="0"/>
        <v>8.9777777777777779</v>
      </c>
      <c r="AP4" s="453">
        <f t="shared" si="0"/>
        <v>0</v>
      </c>
      <c r="AQ4" s="453">
        <f t="shared" si="0"/>
        <v>0.71111111111111114</v>
      </c>
      <c r="AR4" s="453">
        <f t="shared" si="0"/>
        <v>0</v>
      </c>
      <c r="AS4" s="453">
        <f t="shared" si="0"/>
        <v>2.9333333333333331</v>
      </c>
      <c r="AT4" s="453">
        <f t="shared" si="0"/>
        <v>0</v>
      </c>
      <c r="AU4" s="453">
        <f t="shared" si="0"/>
        <v>4.7111111111111112</v>
      </c>
      <c r="AV4" s="453">
        <f t="shared" si="0"/>
        <v>0</v>
      </c>
      <c r="AW4" s="453">
        <f t="shared" si="0"/>
        <v>4.6222222222222218</v>
      </c>
      <c r="AX4" s="453">
        <f t="shared" si="0"/>
        <v>0</v>
      </c>
      <c r="AY4" s="453">
        <f t="shared" si="0"/>
        <v>6.7555555555555546</v>
      </c>
      <c r="AZ4" s="453">
        <f t="shared" si="0"/>
        <v>0</v>
      </c>
      <c r="BA4" s="453">
        <f t="shared" si="0"/>
        <v>7.2888888888888896</v>
      </c>
      <c r="BB4" s="453">
        <f t="shared" si="0"/>
        <v>0</v>
      </c>
      <c r="BC4" s="453">
        <f t="shared" si="0"/>
        <v>9.2444444444444436</v>
      </c>
      <c r="BD4" s="453">
        <f t="shared" si="0"/>
        <v>0</v>
      </c>
      <c r="BE4" s="453">
        <f t="shared" si="0"/>
        <v>13.066666666666665</v>
      </c>
      <c r="BF4" s="453">
        <f t="shared" si="0"/>
        <v>0</v>
      </c>
      <c r="BG4" s="453">
        <f t="shared" si="0"/>
        <v>4.8</v>
      </c>
      <c r="BH4" s="361"/>
      <c r="BI4" s="361"/>
      <c r="BJ4" s="361"/>
      <c r="BK4" s="361"/>
    </row>
    <row r="5" spans="1:74" ht="18" customHeight="1" x14ac:dyDescent="0.25">
      <c r="A5" s="902" t="s">
        <v>426</v>
      </c>
      <c r="B5" s="902"/>
      <c r="C5" s="903" t="s">
        <v>427</v>
      </c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519"/>
      <c r="S5" s="519"/>
      <c r="T5" s="519"/>
      <c r="U5" s="519"/>
      <c r="V5" s="520"/>
      <c r="W5" s="520"/>
      <c r="X5" s="520"/>
      <c r="Y5" s="520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</row>
    <row r="6" spans="1:74" ht="24" customHeight="1" x14ac:dyDescent="0.25">
      <c r="A6" s="905"/>
      <c r="B6" s="905"/>
      <c r="C6" s="905"/>
      <c r="D6" s="905"/>
      <c r="E6" s="909" t="s">
        <v>22</v>
      </c>
      <c r="F6" s="909"/>
      <c r="G6" s="909"/>
      <c r="H6" s="906" t="s">
        <v>402</v>
      </c>
      <c r="I6" s="907"/>
      <c r="J6" s="907"/>
      <c r="K6" s="907"/>
      <c r="L6" s="907"/>
      <c r="M6" s="907"/>
      <c r="N6" s="907"/>
      <c r="O6" s="907"/>
      <c r="P6" s="907"/>
      <c r="Q6" s="908"/>
      <c r="R6" s="893" t="s">
        <v>66</v>
      </c>
      <c r="S6" s="894"/>
      <c r="T6" s="894"/>
      <c r="U6" s="895"/>
      <c r="V6" s="889" t="s">
        <v>43</v>
      </c>
      <c r="W6" s="890"/>
      <c r="X6" s="890"/>
      <c r="Y6" s="890"/>
      <c r="Z6" s="888" t="s">
        <v>434</v>
      </c>
      <c r="AA6" s="888"/>
      <c r="AB6" s="888" t="s">
        <v>435</v>
      </c>
      <c r="AC6" s="888"/>
      <c r="AD6" s="888" t="s">
        <v>436</v>
      </c>
      <c r="AE6" s="888"/>
      <c r="AF6" s="888" t="s">
        <v>437</v>
      </c>
      <c r="AG6" s="888"/>
      <c r="AH6" s="888" t="s">
        <v>438</v>
      </c>
      <c r="AI6" s="888"/>
      <c r="AJ6" s="888" t="s">
        <v>439</v>
      </c>
      <c r="AK6" s="888"/>
      <c r="AL6" s="888" t="s">
        <v>440</v>
      </c>
      <c r="AM6" s="888"/>
      <c r="AN6" s="888" t="s">
        <v>441</v>
      </c>
      <c r="AO6" s="888"/>
      <c r="AP6" s="888" t="s">
        <v>442</v>
      </c>
      <c r="AQ6" s="888"/>
      <c r="AR6" s="888" t="s">
        <v>443</v>
      </c>
      <c r="AS6" s="888"/>
      <c r="AT6" s="888" t="s">
        <v>444</v>
      </c>
      <c r="AU6" s="888"/>
      <c r="AV6" s="888" t="s">
        <v>445</v>
      </c>
      <c r="AW6" s="888"/>
      <c r="AX6" s="888" t="s">
        <v>446</v>
      </c>
      <c r="AY6" s="888"/>
      <c r="AZ6" s="888" t="s">
        <v>447</v>
      </c>
      <c r="BA6" s="888"/>
      <c r="BB6" s="888" t="s">
        <v>448</v>
      </c>
      <c r="BC6" s="888"/>
      <c r="BD6" s="888" t="s">
        <v>449</v>
      </c>
      <c r="BE6" s="888"/>
      <c r="BF6" s="888" t="s">
        <v>450</v>
      </c>
      <c r="BG6" s="888"/>
      <c r="BH6" s="888" t="s">
        <v>451</v>
      </c>
      <c r="BI6" s="888"/>
      <c r="BJ6" s="888" t="s">
        <v>18</v>
      </c>
      <c r="BK6" s="888"/>
      <c r="BL6" s="841" t="s">
        <v>498</v>
      </c>
    </row>
    <row r="7" spans="1:74" ht="15" customHeight="1" x14ac:dyDescent="0.25">
      <c r="A7" s="426" t="s">
        <v>14</v>
      </c>
      <c r="B7" s="426" t="s">
        <v>1</v>
      </c>
      <c r="C7" s="905" t="s">
        <v>12</v>
      </c>
      <c r="D7" s="521" t="s">
        <v>15</v>
      </c>
      <c r="E7" s="522"/>
      <c r="F7" s="522"/>
      <c r="G7" s="904" t="s">
        <v>433</v>
      </c>
      <c r="H7" s="67" t="s">
        <v>457</v>
      </c>
      <c r="I7" s="67" t="s">
        <v>458</v>
      </c>
      <c r="J7" s="67" t="s">
        <v>459</v>
      </c>
      <c r="K7" s="67" t="s">
        <v>460</v>
      </c>
      <c r="L7" s="67" t="s">
        <v>461</v>
      </c>
      <c r="M7" s="67" t="s">
        <v>462</v>
      </c>
      <c r="N7" s="67" t="s">
        <v>463</v>
      </c>
      <c r="O7" s="67" t="s">
        <v>464</v>
      </c>
      <c r="P7" s="67" t="s">
        <v>465</v>
      </c>
      <c r="Q7" s="67" t="s">
        <v>466</v>
      </c>
      <c r="R7" s="896"/>
      <c r="S7" s="897"/>
      <c r="T7" s="897"/>
      <c r="U7" s="898"/>
      <c r="V7" s="891"/>
      <c r="W7" s="892"/>
      <c r="X7" s="892"/>
      <c r="Y7" s="892"/>
      <c r="Z7" s="888"/>
      <c r="AA7" s="888"/>
      <c r="AB7" s="888" t="s">
        <v>49</v>
      </c>
      <c r="AC7" s="888"/>
      <c r="AD7" s="888" t="s">
        <v>50</v>
      </c>
      <c r="AE7" s="888"/>
      <c r="AF7" s="888" t="s">
        <v>51</v>
      </c>
      <c r="AG7" s="888"/>
      <c r="AH7" s="888" t="s">
        <v>52</v>
      </c>
      <c r="AI7" s="888"/>
      <c r="AJ7" s="888" t="s">
        <v>53</v>
      </c>
      <c r="AK7" s="888"/>
      <c r="AL7" s="888" t="s">
        <v>54</v>
      </c>
      <c r="AM7" s="888"/>
      <c r="AN7" s="888" t="s">
        <v>55</v>
      </c>
      <c r="AO7" s="888"/>
      <c r="AP7" s="888" t="s">
        <v>56</v>
      </c>
      <c r="AQ7" s="888"/>
      <c r="AR7" s="888" t="s">
        <v>57</v>
      </c>
      <c r="AS7" s="888"/>
      <c r="AT7" s="888" t="s">
        <v>58</v>
      </c>
      <c r="AU7" s="888"/>
      <c r="AV7" s="888" t="s">
        <v>59</v>
      </c>
      <c r="AW7" s="888"/>
      <c r="AX7" s="888" t="s">
        <v>60</v>
      </c>
      <c r="AY7" s="888"/>
      <c r="AZ7" s="888" t="s">
        <v>61</v>
      </c>
      <c r="BA7" s="888"/>
      <c r="BB7" s="888" t="s">
        <v>45</v>
      </c>
      <c r="BC7" s="888"/>
      <c r="BD7" s="888" t="s">
        <v>42</v>
      </c>
      <c r="BE7" s="888"/>
      <c r="BF7" s="888"/>
      <c r="BG7" s="888"/>
      <c r="BH7" s="888"/>
      <c r="BI7" s="888"/>
      <c r="BJ7" s="888"/>
      <c r="BK7" s="888"/>
      <c r="BL7" s="841"/>
      <c r="BN7" s="840" t="s">
        <v>496</v>
      </c>
      <c r="BO7" s="840"/>
      <c r="BP7" s="840"/>
      <c r="BQ7" s="840"/>
      <c r="BR7" s="840"/>
      <c r="BS7" s="840" t="s">
        <v>497</v>
      </c>
      <c r="BT7" s="840"/>
      <c r="BU7" s="840"/>
      <c r="BV7" s="841" t="s">
        <v>18</v>
      </c>
    </row>
    <row r="8" spans="1:74" ht="63" x14ac:dyDescent="0.25">
      <c r="A8" s="426"/>
      <c r="B8" s="426" t="s">
        <v>2</v>
      </c>
      <c r="C8" s="905"/>
      <c r="D8" s="521"/>
      <c r="E8" s="256" t="s">
        <v>40</v>
      </c>
      <c r="F8" s="256" t="s">
        <v>24</v>
      </c>
      <c r="G8" s="904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523" t="s">
        <v>7</v>
      </c>
      <c r="S8" s="523" t="s">
        <v>8</v>
      </c>
      <c r="T8" s="523" t="s">
        <v>9</v>
      </c>
      <c r="U8" s="523" t="s">
        <v>10</v>
      </c>
      <c r="V8" s="524" t="s">
        <v>7</v>
      </c>
      <c r="W8" s="524" t="s">
        <v>8</v>
      </c>
      <c r="X8" s="524" t="s">
        <v>9</v>
      </c>
      <c r="Y8" s="525" t="s">
        <v>10</v>
      </c>
      <c r="Z8" s="499" t="s">
        <v>15</v>
      </c>
      <c r="AA8" s="526" t="s">
        <v>16</v>
      </c>
      <c r="AB8" s="499" t="s">
        <v>15</v>
      </c>
      <c r="AC8" s="526" t="s">
        <v>16</v>
      </c>
      <c r="AD8" s="499" t="s">
        <v>15</v>
      </c>
      <c r="AE8" s="526" t="s">
        <v>16</v>
      </c>
      <c r="AF8" s="499" t="s">
        <v>15</v>
      </c>
      <c r="AG8" s="526" t="s">
        <v>16</v>
      </c>
      <c r="AH8" s="499" t="s">
        <v>15</v>
      </c>
      <c r="AI8" s="526" t="s">
        <v>16</v>
      </c>
      <c r="AJ8" s="499" t="s">
        <v>15</v>
      </c>
      <c r="AK8" s="526" t="s">
        <v>16</v>
      </c>
      <c r="AL8" s="499" t="s">
        <v>15</v>
      </c>
      <c r="AM8" s="526" t="s">
        <v>16</v>
      </c>
      <c r="AN8" s="499" t="s">
        <v>15</v>
      </c>
      <c r="AO8" s="526" t="s">
        <v>16</v>
      </c>
      <c r="AP8" s="499" t="s">
        <v>15</v>
      </c>
      <c r="AQ8" s="526" t="s">
        <v>16</v>
      </c>
      <c r="AR8" s="499" t="s">
        <v>15</v>
      </c>
      <c r="AS8" s="526" t="s">
        <v>16</v>
      </c>
      <c r="AT8" s="499" t="s">
        <v>15</v>
      </c>
      <c r="AU8" s="526" t="s">
        <v>16</v>
      </c>
      <c r="AV8" s="499" t="s">
        <v>15</v>
      </c>
      <c r="AW8" s="526" t="s">
        <v>16</v>
      </c>
      <c r="AX8" s="499" t="s">
        <v>15</v>
      </c>
      <c r="AY8" s="526" t="s">
        <v>16</v>
      </c>
      <c r="AZ8" s="499" t="s">
        <v>15</v>
      </c>
      <c r="BA8" s="526" t="s">
        <v>16</v>
      </c>
      <c r="BB8" s="499" t="s">
        <v>15</v>
      </c>
      <c r="BC8" s="526" t="s">
        <v>16</v>
      </c>
      <c r="BD8" s="499" t="s">
        <v>15</v>
      </c>
      <c r="BE8" s="526" t="s">
        <v>16</v>
      </c>
      <c r="BF8" s="499" t="s">
        <v>15</v>
      </c>
      <c r="BG8" s="526" t="s">
        <v>16</v>
      </c>
      <c r="BH8" s="499" t="s">
        <v>15</v>
      </c>
      <c r="BI8" s="526" t="s">
        <v>16</v>
      </c>
      <c r="BJ8" s="499" t="s">
        <v>15</v>
      </c>
      <c r="BK8" s="526" t="s">
        <v>16</v>
      </c>
      <c r="BL8" s="841"/>
      <c r="BN8" s="527" t="s">
        <v>487</v>
      </c>
      <c r="BO8" s="528" t="s">
        <v>488</v>
      </c>
      <c r="BP8" s="528" t="s">
        <v>489</v>
      </c>
      <c r="BQ8" s="368" t="s">
        <v>490</v>
      </c>
      <c r="BR8" s="529" t="s">
        <v>491</v>
      </c>
      <c r="BS8" s="528" t="s">
        <v>492</v>
      </c>
      <c r="BT8" s="528" t="s">
        <v>493</v>
      </c>
      <c r="BU8" s="529" t="s">
        <v>494</v>
      </c>
      <c r="BV8" s="841"/>
    </row>
    <row r="9" spans="1:74" x14ac:dyDescent="0.25">
      <c r="A9" s="899" t="s">
        <v>201</v>
      </c>
      <c r="B9" s="38">
        <v>22000</v>
      </c>
      <c r="C9" s="521" t="s">
        <v>156</v>
      </c>
      <c r="D9" s="521"/>
      <c r="E9" s="256"/>
      <c r="F9" s="256"/>
      <c r="G9" s="256"/>
      <c r="H9" s="530"/>
      <c r="I9" s="530"/>
      <c r="J9" s="530"/>
      <c r="K9" s="530"/>
      <c r="L9" s="530"/>
      <c r="M9" s="530"/>
      <c r="N9" s="530"/>
      <c r="O9" s="531"/>
      <c r="P9" s="522"/>
      <c r="Q9" s="522"/>
      <c r="R9" s="523"/>
      <c r="S9" s="523"/>
      <c r="T9" s="523"/>
      <c r="U9" s="523"/>
      <c r="V9" s="524"/>
      <c r="W9" s="524"/>
      <c r="X9" s="524"/>
      <c r="Y9" s="525"/>
      <c r="Z9" s="499"/>
      <c r="AA9" s="526"/>
      <c r="AB9" s="499"/>
      <c r="AC9" s="526"/>
      <c r="AD9" s="499"/>
      <c r="AE9" s="526"/>
      <c r="AF9" s="499"/>
      <c r="AG9" s="526"/>
      <c r="AH9" s="499"/>
      <c r="AI9" s="526"/>
      <c r="AJ9" s="499"/>
      <c r="AK9" s="526"/>
      <c r="AL9" s="499"/>
      <c r="AM9" s="526"/>
      <c r="AN9" s="499"/>
      <c r="AO9" s="526"/>
      <c r="AP9" s="499"/>
      <c r="AQ9" s="526"/>
      <c r="AR9" s="499"/>
      <c r="AS9" s="526"/>
      <c r="AT9" s="499"/>
      <c r="AU9" s="526"/>
      <c r="AV9" s="499"/>
      <c r="AW9" s="526"/>
      <c r="AX9" s="499"/>
      <c r="AY9" s="526"/>
      <c r="AZ9" s="499"/>
      <c r="BA9" s="526"/>
      <c r="BB9" s="499"/>
      <c r="BC9" s="526"/>
      <c r="BD9" s="499"/>
      <c r="BE9" s="526"/>
      <c r="BF9" s="499"/>
      <c r="BG9" s="526"/>
      <c r="BH9" s="499"/>
      <c r="BI9" s="526"/>
      <c r="BJ9" s="499"/>
      <c r="BK9" s="526"/>
      <c r="BL9" s="383"/>
      <c r="BN9" s="385"/>
      <c r="BO9" s="385"/>
      <c r="BP9" s="385"/>
      <c r="BQ9" s="385"/>
      <c r="BR9" s="385"/>
      <c r="BS9" s="385"/>
      <c r="BT9" s="385"/>
      <c r="BU9" s="385"/>
      <c r="BV9" s="387">
        <f>BR9+BU9</f>
        <v>0</v>
      </c>
    </row>
    <row r="10" spans="1:74" x14ac:dyDescent="0.25">
      <c r="A10" s="900"/>
      <c r="B10" s="38">
        <v>22100</v>
      </c>
      <c r="C10" s="38" t="s">
        <v>157</v>
      </c>
      <c r="D10" s="532"/>
      <c r="E10" s="533"/>
      <c r="F10" s="533"/>
      <c r="G10" s="533"/>
      <c r="H10" s="534"/>
      <c r="I10" s="534"/>
      <c r="J10" s="534"/>
      <c r="K10" s="534"/>
      <c r="L10" s="534"/>
      <c r="M10" s="534"/>
      <c r="N10" s="534"/>
      <c r="O10" s="535"/>
      <c r="P10" s="514"/>
      <c r="Q10" s="514"/>
      <c r="R10" s="278"/>
      <c r="S10" s="278"/>
      <c r="T10" s="278"/>
      <c r="U10" s="278"/>
      <c r="V10" s="280"/>
      <c r="W10" s="280"/>
      <c r="X10" s="280"/>
      <c r="Y10" s="150"/>
      <c r="Z10" s="410"/>
      <c r="AA10" s="76">
        <f>Z10*E10</f>
        <v>0</v>
      </c>
      <c r="AB10" s="410"/>
      <c r="AC10" s="76">
        <f>AB10*E10</f>
        <v>0</v>
      </c>
      <c r="AD10" s="410"/>
      <c r="AE10" s="76">
        <f>AD10*E10</f>
        <v>0</v>
      </c>
      <c r="AF10" s="410"/>
      <c r="AG10" s="76">
        <f>AF10*E10</f>
        <v>0</v>
      </c>
      <c r="AH10" s="410"/>
      <c r="AI10" s="76">
        <f>AH10*E10</f>
        <v>0</v>
      </c>
      <c r="AJ10" s="410"/>
      <c r="AK10" s="76">
        <f>AJ10*E10</f>
        <v>0</v>
      </c>
      <c r="AL10" s="410"/>
      <c r="AM10" s="76">
        <f>AL10*E10</f>
        <v>0</v>
      </c>
      <c r="AN10" s="410"/>
      <c r="AO10" s="76">
        <f>AN10*E10</f>
        <v>0</v>
      </c>
      <c r="AP10" s="410"/>
      <c r="AQ10" s="76">
        <f>AP10*E10</f>
        <v>0</v>
      </c>
      <c r="AR10" s="410"/>
      <c r="AS10" s="76">
        <f>AR10*E10</f>
        <v>0</v>
      </c>
      <c r="AT10" s="410"/>
      <c r="AU10" s="76">
        <f>AT10*E10</f>
        <v>0</v>
      </c>
      <c r="AV10" s="410"/>
      <c r="AW10" s="76">
        <f t="shared" ref="AW10:AW16" si="1">AV10*E10</f>
        <v>0</v>
      </c>
      <c r="AX10" s="410"/>
      <c r="AY10" s="76">
        <f>AX10*E10</f>
        <v>0</v>
      </c>
      <c r="AZ10" s="410"/>
      <c r="BA10" s="76">
        <f>AZ10*E10</f>
        <v>0</v>
      </c>
      <c r="BB10" s="410"/>
      <c r="BC10" s="76">
        <f>BB10*E10</f>
        <v>0</v>
      </c>
      <c r="BD10" s="410"/>
      <c r="BE10" s="76">
        <f>BD10*E10</f>
        <v>0</v>
      </c>
      <c r="BF10" s="410"/>
      <c r="BG10" s="76">
        <f>BF10*E10</f>
        <v>0</v>
      </c>
      <c r="BH10" s="410"/>
      <c r="BI10" s="76"/>
      <c r="BJ10" s="53">
        <f t="shared" ref="BJ10:BK16" si="2">Z10+AB10+AD10+AF10+AH10+AL10+AP10+AR10+AZ10+BB10+BD10+BF10+BH10+AJ10+AT10+AV10+AX10+AN10</f>
        <v>0</v>
      </c>
      <c r="BK10" s="53">
        <f t="shared" si="2"/>
        <v>0</v>
      </c>
      <c r="BL10" s="383"/>
      <c r="BN10" s="385"/>
      <c r="BO10" s="385"/>
      <c r="BP10" s="385"/>
      <c r="BQ10" s="385"/>
      <c r="BR10" s="385">
        <f t="shared" ref="BR10:BR16" si="3">BN10+BO10+BP10+BQ10</f>
        <v>0</v>
      </c>
      <c r="BS10" s="385"/>
      <c r="BT10" s="385"/>
      <c r="BU10" s="385">
        <f t="shared" ref="BU10:BU15" si="4">BS10+BT10</f>
        <v>0</v>
      </c>
      <c r="BV10" s="387">
        <f t="shared" ref="BV10:BV34" si="5">BR10+BU10</f>
        <v>0</v>
      </c>
    </row>
    <row r="11" spans="1:74" x14ac:dyDescent="0.25">
      <c r="A11" s="900"/>
      <c r="B11" s="38">
        <v>22110</v>
      </c>
      <c r="C11" s="38" t="s">
        <v>158</v>
      </c>
      <c r="D11" s="532"/>
      <c r="E11" s="533"/>
      <c r="F11" s="533"/>
      <c r="G11" s="533"/>
      <c r="H11" s="534"/>
      <c r="I11" s="534"/>
      <c r="J11" s="534"/>
      <c r="K11" s="534"/>
      <c r="L11" s="534"/>
      <c r="M11" s="534"/>
      <c r="N11" s="534"/>
      <c r="O11" s="535"/>
      <c r="P11" s="514"/>
      <c r="Q11" s="514"/>
      <c r="R11" s="278"/>
      <c r="S11" s="278"/>
      <c r="T11" s="278"/>
      <c r="U11" s="278"/>
      <c r="V11" s="280"/>
      <c r="W11" s="280"/>
      <c r="X11" s="280"/>
      <c r="Y11" s="150"/>
      <c r="Z11" s="410"/>
      <c r="AA11" s="76">
        <f t="shared" ref="AA11:AA16" si="6">Z11*E11</f>
        <v>0</v>
      </c>
      <c r="AB11" s="410"/>
      <c r="AC11" s="76">
        <f t="shared" ref="AC11:AC16" si="7">AB11*E11</f>
        <v>0</v>
      </c>
      <c r="AD11" s="410"/>
      <c r="AE11" s="76">
        <f t="shared" ref="AE11:AE16" si="8">AD11*E11</f>
        <v>0</v>
      </c>
      <c r="AF11" s="410"/>
      <c r="AG11" s="76">
        <f t="shared" ref="AG11:AG32" si="9">AF11*E11</f>
        <v>0</v>
      </c>
      <c r="AH11" s="410"/>
      <c r="AI11" s="76">
        <f t="shared" ref="AI11:AI32" si="10">AH11*E11</f>
        <v>0</v>
      </c>
      <c r="AJ11" s="410"/>
      <c r="AK11" s="76">
        <f t="shared" ref="AK11:AK16" si="11">AJ11*E11</f>
        <v>0</v>
      </c>
      <c r="AL11" s="410"/>
      <c r="AM11" s="76">
        <f t="shared" ref="AM11:AM32" si="12">AL11*E11</f>
        <v>0</v>
      </c>
      <c r="AN11" s="410"/>
      <c r="AO11" s="76">
        <f t="shared" ref="AO11:AO16" si="13">AN11*E11</f>
        <v>0</v>
      </c>
      <c r="AP11" s="410"/>
      <c r="AQ11" s="76">
        <f t="shared" ref="AQ11:AQ32" si="14">AP11*E11</f>
        <v>0</v>
      </c>
      <c r="AR11" s="410"/>
      <c r="AS11" s="76">
        <f t="shared" ref="AS11:AS32" si="15">AR11*E11</f>
        <v>0</v>
      </c>
      <c r="AT11" s="410"/>
      <c r="AU11" s="76">
        <f t="shared" ref="AU11:AU16" si="16">AT11*E11</f>
        <v>0</v>
      </c>
      <c r="AV11" s="410"/>
      <c r="AW11" s="76">
        <f t="shared" si="1"/>
        <v>0</v>
      </c>
      <c r="AX11" s="410"/>
      <c r="AY11" s="76">
        <f t="shared" ref="AY11:AY16" si="17">AX11*E11</f>
        <v>0</v>
      </c>
      <c r="AZ11" s="410"/>
      <c r="BA11" s="76">
        <f t="shared" ref="BA11:BA32" si="18">AZ11*E11</f>
        <v>0</v>
      </c>
      <c r="BB11" s="410"/>
      <c r="BC11" s="76">
        <f t="shared" ref="BC11:BC32" si="19">BB11*E11</f>
        <v>0</v>
      </c>
      <c r="BD11" s="410"/>
      <c r="BE11" s="76">
        <f t="shared" ref="BE11:BE32" si="20">BD11*E11</f>
        <v>0</v>
      </c>
      <c r="BF11" s="410"/>
      <c r="BG11" s="76">
        <f t="shared" ref="BG11:BG32" si="21">BF11*E11</f>
        <v>0</v>
      </c>
      <c r="BH11" s="410"/>
      <c r="BI11" s="76">
        <f t="shared" ref="BI11:BI32" si="22">BH11*E11</f>
        <v>0</v>
      </c>
      <c r="BJ11" s="53">
        <f t="shared" si="2"/>
        <v>0</v>
      </c>
      <c r="BK11" s="53">
        <f t="shared" si="2"/>
        <v>0</v>
      </c>
      <c r="BL11" s="383"/>
      <c r="BN11" s="385"/>
      <c r="BO11" s="385"/>
      <c r="BP11" s="385"/>
      <c r="BQ11" s="385"/>
      <c r="BR11" s="385">
        <f t="shared" si="3"/>
        <v>0</v>
      </c>
      <c r="BS11" s="385"/>
      <c r="BT11" s="385"/>
      <c r="BU11" s="385">
        <f t="shared" si="4"/>
        <v>0</v>
      </c>
      <c r="BV11" s="387">
        <f t="shared" si="5"/>
        <v>0</v>
      </c>
    </row>
    <row r="12" spans="1:74" x14ac:dyDescent="0.25">
      <c r="A12" s="900"/>
      <c r="B12" s="38">
        <v>22111</v>
      </c>
      <c r="C12" s="38" t="s">
        <v>159</v>
      </c>
      <c r="D12" s="38" t="s">
        <v>120</v>
      </c>
      <c r="E12" s="235">
        <f>0*100000</f>
        <v>0</v>
      </c>
      <c r="F12" s="536">
        <v>0</v>
      </c>
      <c r="G12" s="237">
        <f>E12*F12</f>
        <v>0</v>
      </c>
      <c r="H12" s="237"/>
      <c r="I12" s="237"/>
      <c r="J12" s="237"/>
      <c r="K12" s="237"/>
      <c r="L12" s="237"/>
      <c r="M12" s="237"/>
      <c r="N12" s="237"/>
      <c r="O12" s="537"/>
      <c r="P12" s="537"/>
      <c r="Q12" s="537"/>
      <c r="R12" s="278"/>
      <c r="S12" s="278"/>
      <c r="T12" s="278"/>
      <c r="U12" s="278"/>
      <c r="V12" s="280"/>
      <c r="W12" s="280"/>
      <c r="X12" s="280"/>
      <c r="Y12" s="150"/>
      <c r="Z12" s="410">
        <v>0</v>
      </c>
      <c r="AA12" s="76">
        <f t="shared" si="6"/>
        <v>0</v>
      </c>
      <c r="AB12" s="410">
        <v>0</v>
      </c>
      <c r="AC12" s="76">
        <f t="shared" si="7"/>
        <v>0</v>
      </c>
      <c r="AD12" s="410">
        <v>0</v>
      </c>
      <c r="AE12" s="76">
        <f t="shared" si="8"/>
        <v>0</v>
      </c>
      <c r="AF12" s="410">
        <v>0</v>
      </c>
      <c r="AG12" s="76">
        <f t="shared" si="9"/>
        <v>0</v>
      </c>
      <c r="AH12" s="410">
        <v>0</v>
      </c>
      <c r="AI12" s="76">
        <f t="shared" si="10"/>
        <v>0</v>
      </c>
      <c r="AJ12" s="410"/>
      <c r="AK12" s="76">
        <f t="shared" si="11"/>
        <v>0</v>
      </c>
      <c r="AL12" s="410">
        <v>0</v>
      </c>
      <c r="AM12" s="76">
        <f t="shared" si="12"/>
        <v>0</v>
      </c>
      <c r="AN12" s="410"/>
      <c r="AO12" s="76">
        <f t="shared" si="13"/>
        <v>0</v>
      </c>
      <c r="AP12" s="410">
        <v>0</v>
      </c>
      <c r="AQ12" s="76">
        <f t="shared" si="14"/>
        <v>0</v>
      </c>
      <c r="AR12" s="410">
        <v>0</v>
      </c>
      <c r="AS12" s="76">
        <f t="shared" si="15"/>
        <v>0</v>
      </c>
      <c r="AT12" s="410"/>
      <c r="AU12" s="76">
        <f t="shared" si="16"/>
        <v>0</v>
      </c>
      <c r="AV12" s="410"/>
      <c r="AW12" s="76">
        <f t="shared" si="1"/>
        <v>0</v>
      </c>
      <c r="AX12" s="410"/>
      <c r="AY12" s="76">
        <f t="shared" si="17"/>
        <v>0</v>
      </c>
      <c r="AZ12" s="410">
        <v>0</v>
      </c>
      <c r="BA12" s="76">
        <f t="shared" si="18"/>
        <v>0</v>
      </c>
      <c r="BB12" s="410">
        <v>0</v>
      </c>
      <c r="BC12" s="76">
        <f t="shared" si="19"/>
        <v>0</v>
      </c>
      <c r="BD12" s="410">
        <v>0</v>
      </c>
      <c r="BE12" s="76">
        <f t="shared" si="20"/>
        <v>0</v>
      </c>
      <c r="BF12" s="410">
        <v>0</v>
      </c>
      <c r="BG12" s="76">
        <f t="shared" si="21"/>
        <v>0</v>
      </c>
      <c r="BH12" s="410">
        <v>0</v>
      </c>
      <c r="BI12" s="76">
        <f t="shared" si="22"/>
        <v>0</v>
      </c>
      <c r="BJ12" s="53">
        <f t="shared" si="2"/>
        <v>0</v>
      </c>
      <c r="BK12" s="53">
        <f t="shared" si="2"/>
        <v>0</v>
      </c>
      <c r="BL12" s="336"/>
      <c r="BN12" s="385"/>
      <c r="BO12" s="385"/>
      <c r="BP12" s="385"/>
      <c r="BQ12" s="385"/>
      <c r="BR12" s="385">
        <f t="shared" si="3"/>
        <v>0</v>
      </c>
      <c r="BS12" s="385"/>
      <c r="BT12" s="385"/>
      <c r="BU12" s="385">
        <f t="shared" si="4"/>
        <v>0</v>
      </c>
      <c r="BV12" s="387">
        <f t="shared" si="5"/>
        <v>0</v>
      </c>
    </row>
    <row r="13" spans="1:74" x14ac:dyDescent="0.25">
      <c r="A13" s="900"/>
      <c r="B13" s="38">
        <v>22112</v>
      </c>
      <c r="C13" s="38" t="s">
        <v>160</v>
      </c>
      <c r="D13" s="38" t="s">
        <v>35</v>
      </c>
      <c r="E13" s="235">
        <f>0.1*100000</f>
        <v>10000</v>
      </c>
      <c r="F13" s="538">
        <f>BJ13</f>
        <v>560</v>
      </c>
      <c r="G13" s="537">
        <f>E13*F13</f>
        <v>5600000</v>
      </c>
      <c r="H13" s="237">
        <f>G13*0.2</f>
        <v>1120000</v>
      </c>
      <c r="I13" s="537">
        <f>G13*0.8</f>
        <v>4480000</v>
      </c>
      <c r="J13" s="537"/>
      <c r="K13" s="537"/>
      <c r="L13" s="537">
        <f>G13*0</f>
        <v>0</v>
      </c>
      <c r="M13" s="537"/>
      <c r="N13" s="537"/>
      <c r="O13" s="537"/>
      <c r="P13" s="537"/>
      <c r="Q13" s="537"/>
      <c r="R13" s="278"/>
      <c r="S13" s="278">
        <f>F13</f>
        <v>560</v>
      </c>
      <c r="T13" s="278"/>
      <c r="U13" s="278"/>
      <c r="V13" s="280">
        <f>R13*10000</f>
        <v>0</v>
      </c>
      <c r="W13" s="280">
        <f>S13*E13</f>
        <v>5600000</v>
      </c>
      <c r="X13" s="280">
        <f>T13*10000</f>
        <v>0</v>
      </c>
      <c r="Y13" s="280">
        <f>U13*10000</f>
        <v>0</v>
      </c>
      <c r="Z13" s="410">
        <v>55</v>
      </c>
      <c r="AA13" s="76">
        <f t="shared" si="6"/>
        <v>550000</v>
      </c>
      <c r="AB13" s="410">
        <v>15</v>
      </c>
      <c r="AC13" s="76">
        <f t="shared" si="7"/>
        <v>150000</v>
      </c>
      <c r="AD13" s="410">
        <v>45</v>
      </c>
      <c r="AE13" s="76">
        <f t="shared" si="8"/>
        <v>450000</v>
      </c>
      <c r="AF13" s="410">
        <v>40</v>
      </c>
      <c r="AG13" s="76">
        <f t="shared" si="9"/>
        <v>400000</v>
      </c>
      <c r="AH13" s="410">
        <v>25</v>
      </c>
      <c r="AI13" s="76">
        <f t="shared" si="10"/>
        <v>250000</v>
      </c>
      <c r="AJ13" s="410">
        <v>20</v>
      </c>
      <c r="AK13" s="76">
        <f t="shared" si="11"/>
        <v>200000</v>
      </c>
      <c r="AL13" s="410">
        <v>30</v>
      </c>
      <c r="AM13" s="76">
        <f t="shared" si="12"/>
        <v>300000</v>
      </c>
      <c r="AN13" s="410">
        <v>30</v>
      </c>
      <c r="AO13" s="76">
        <f t="shared" si="13"/>
        <v>300000</v>
      </c>
      <c r="AP13" s="410">
        <v>20</v>
      </c>
      <c r="AQ13" s="76">
        <f t="shared" si="14"/>
        <v>200000</v>
      </c>
      <c r="AR13" s="410">
        <v>20</v>
      </c>
      <c r="AS13" s="76">
        <f t="shared" si="15"/>
        <v>200000</v>
      </c>
      <c r="AT13" s="410">
        <v>15</v>
      </c>
      <c r="AU13" s="76">
        <f t="shared" si="16"/>
        <v>150000</v>
      </c>
      <c r="AV13" s="410">
        <v>30</v>
      </c>
      <c r="AW13" s="76">
        <f t="shared" si="1"/>
        <v>300000</v>
      </c>
      <c r="AX13" s="410">
        <v>20</v>
      </c>
      <c r="AY13" s="76">
        <f t="shared" si="17"/>
        <v>200000</v>
      </c>
      <c r="AZ13" s="410">
        <v>30</v>
      </c>
      <c r="BA13" s="76">
        <f t="shared" si="18"/>
        <v>300000</v>
      </c>
      <c r="BB13" s="410">
        <v>50</v>
      </c>
      <c r="BC13" s="76">
        <f t="shared" si="19"/>
        <v>500000</v>
      </c>
      <c r="BD13" s="410">
        <v>60</v>
      </c>
      <c r="BE13" s="76">
        <f t="shared" si="20"/>
        <v>600000</v>
      </c>
      <c r="BF13" s="410">
        <v>55</v>
      </c>
      <c r="BG13" s="76">
        <f t="shared" si="21"/>
        <v>550000</v>
      </c>
      <c r="BH13" s="410">
        <v>0</v>
      </c>
      <c r="BI13" s="76">
        <f t="shared" si="22"/>
        <v>0</v>
      </c>
      <c r="BJ13" s="53">
        <f>Z13+AB13+AD13+AF13+AH13+AL13+AP13+AR13+AZ13+BB13+BD13+BF13+BH13+AJ13+AT13+AV13+AX13+AN13</f>
        <v>560</v>
      </c>
      <c r="BK13" s="53">
        <f t="shared" si="2"/>
        <v>5600000</v>
      </c>
      <c r="BL13" s="336" t="s">
        <v>469</v>
      </c>
      <c r="BN13" s="385"/>
      <c r="BO13" s="385">
        <f>G13</f>
        <v>5600000</v>
      </c>
      <c r="BP13" s="385"/>
      <c r="BQ13" s="385"/>
      <c r="BR13" s="385">
        <f t="shared" si="3"/>
        <v>5600000</v>
      </c>
      <c r="BS13" s="385"/>
      <c r="BT13" s="385"/>
      <c r="BU13" s="385">
        <f t="shared" si="4"/>
        <v>0</v>
      </c>
      <c r="BV13" s="387">
        <f t="shared" si="5"/>
        <v>5600000</v>
      </c>
    </row>
    <row r="14" spans="1:74" x14ac:dyDescent="0.25">
      <c r="A14" s="900"/>
      <c r="B14" s="38">
        <v>22113</v>
      </c>
      <c r="C14" s="38" t="s">
        <v>161</v>
      </c>
      <c r="D14" s="38" t="s">
        <v>102</v>
      </c>
      <c r="E14" s="235">
        <f>0.1*100000</f>
        <v>10000</v>
      </c>
      <c r="F14" s="538">
        <f>BJ14</f>
        <v>395</v>
      </c>
      <c r="G14" s="237">
        <f>E14*F14</f>
        <v>3950000</v>
      </c>
      <c r="H14" s="237">
        <f>G14*0.2</f>
        <v>790000</v>
      </c>
      <c r="I14" s="537">
        <f>G14*0.8</f>
        <v>3160000</v>
      </c>
      <c r="J14" s="237"/>
      <c r="K14" s="237"/>
      <c r="L14" s="537">
        <f>G14*0</f>
        <v>0</v>
      </c>
      <c r="M14" s="237"/>
      <c r="N14" s="237"/>
      <c r="O14" s="537"/>
      <c r="P14" s="537"/>
      <c r="Q14" s="537"/>
      <c r="R14" s="278"/>
      <c r="S14" s="278">
        <f>F14</f>
        <v>395</v>
      </c>
      <c r="T14" s="278"/>
      <c r="U14" s="278"/>
      <c r="V14" s="280">
        <f>R14*10000</f>
        <v>0</v>
      </c>
      <c r="W14" s="280">
        <f>S14*E14</f>
        <v>3950000</v>
      </c>
      <c r="X14" s="280">
        <f>T14*10000</f>
        <v>0</v>
      </c>
      <c r="Y14" s="280">
        <f>U14*10000</f>
        <v>0</v>
      </c>
      <c r="Z14" s="410">
        <v>30</v>
      </c>
      <c r="AA14" s="76">
        <f t="shared" si="6"/>
        <v>300000</v>
      </c>
      <c r="AB14" s="410">
        <v>10</v>
      </c>
      <c r="AC14" s="76">
        <f t="shared" si="7"/>
        <v>100000</v>
      </c>
      <c r="AD14" s="410">
        <v>35</v>
      </c>
      <c r="AE14" s="76">
        <f t="shared" si="8"/>
        <v>350000</v>
      </c>
      <c r="AF14" s="410">
        <v>20</v>
      </c>
      <c r="AG14" s="76">
        <f t="shared" si="9"/>
        <v>200000</v>
      </c>
      <c r="AH14" s="410">
        <v>20</v>
      </c>
      <c r="AI14" s="76">
        <f t="shared" si="10"/>
        <v>200000</v>
      </c>
      <c r="AJ14" s="410">
        <v>20</v>
      </c>
      <c r="AK14" s="76">
        <f t="shared" si="11"/>
        <v>200000</v>
      </c>
      <c r="AL14" s="536">
        <v>20</v>
      </c>
      <c r="AM14" s="76">
        <f t="shared" si="12"/>
        <v>200000</v>
      </c>
      <c r="AN14" s="410">
        <v>20</v>
      </c>
      <c r="AO14" s="76">
        <f t="shared" si="13"/>
        <v>200000</v>
      </c>
      <c r="AP14" s="410">
        <v>10</v>
      </c>
      <c r="AQ14" s="76">
        <f t="shared" si="14"/>
        <v>100000</v>
      </c>
      <c r="AR14" s="410">
        <v>20</v>
      </c>
      <c r="AS14" s="76">
        <f t="shared" si="15"/>
        <v>200000</v>
      </c>
      <c r="AT14" s="410">
        <v>30</v>
      </c>
      <c r="AU14" s="76">
        <f t="shared" si="16"/>
        <v>300000</v>
      </c>
      <c r="AV14" s="410">
        <v>30</v>
      </c>
      <c r="AW14" s="76">
        <f t="shared" si="1"/>
        <v>300000</v>
      </c>
      <c r="AX14" s="410">
        <v>20</v>
      </c>
      <c r="AY14" s="76">
        <f t="shared" si="17"/>
        <v>200000</v>
      </c>
      <c r="AZ14" s="410">
        <v>20</v>
      </c>
      <c r="BA14" s="76">
        <f t="shared" si="18"/>
        <v>200000</v>
      </c>
      <c r="BB14" s="410">
        <v>30</v>
      </c>
      <c r="BC14" s="76">
        <f t="shared" si="19"/>
        <v>300000</v>
      </c>
      <c r="BD14" s="410">
        <v>40</v>
      </c>
      <c r="BE14" s="76">
        <f t="shared" si="20"/>
        <v>400000</v>
      </c>
      <c r="BF14" s="410">
        <v>20</v>
      </c>
      <c r="BG14" s="76">
        <f t="shared" si="21"/>
        <v>200000</v>
      </c>
      <c r="BH14" s="536">
        <v>0</v>
      </c>
      <c r="BI14" s="76">
        <f t="shared" si="22"/>
        <v>0</v>
      </c>
      <c r="BJ14" s="53">
        <f>Z14+AB14+AD14+AF14+AH14+AL14+AP14+AR14+AZ14+BB14+BD14+BF14+BH14+AJ14+AT14+AV14+AX14+AN14</f>
        <v>395</v>
      </c>
      <c r="BK14" s="53">
        <f t="shared" si="2"/>
        <v>3950000</v>
      </c>
      <c r="BL14" s="336" t="s">
        <v>469</v>
      </c>
      <c r="BN14" s="385"/>
      <c r="BO14" s="385"/>
      <c r="BP14" s="385">
        <f>G14</f>
        <v>3950000</v>
      </c>
      <c r="BQ14" s="385"/>
      <c r="BR14" s="385">
        <f t="shared" si="3"/>
        <v>3950000</v>
      </c>
      <c r="BS14" s="385"/>
      <c r="BT14" s="385"/>
      <c r="BU14" s="385">
        <f t="shared" si="4"/>
        <v>0</v>
      </c>
      <c r="BV14" s="387">
        <f t="shared" si="5"/>
        <v>3950000</v>
      </c>
    </row>
    <row r="15" spans="1:74" ht="31.5" x14ac:dyDescent="0.25">
      <c r="A15" s="900"/>
      <c r="B15" s="38">
        <v>22114</v>
      </c>
      <c r="C15" s="38" t="s">
        <v>847</v>
      </c>
      <c r="D15" s="38" t="s">
        <v>771</v>
      </c>
      <c r="E15" s="237">
        <v>15000</v>
      </c>
      <c r="F15" s="538">
        <f>BJ15</f>
        <v>275</v>
      </c>
      <c r="G15" s="237">
        <f>E15*F15</f>
        <v>4125000</v>
      </c>
      <c r="H15" s="237">
        <f>G15*0.2</f>
        <v>825000</v>
      </c>
      <c r="I15" s="537">
        <f>G15*0.8</f>
        <v>3300000</v>
      </c>
      <c r="J15" s="237"/>
      <c r="K15" s="237"/>
      <c r="L15" s="537">
        <f>G15*0</f>
        <v>0</v>
      </c>
      <c r="M15" s="237"/>
      <c r="N15" s="237"/>
      <c r="O15" s="537"/>
      <c r="P15" s="537"/>
      <c r="Q15" s="537"/>
      <c r="R15" s="278"/>
      <c r="S15" s="278">
        <f>F15</f>
        <v>275</v>
      </c>
      <c r="T15" s="278"/>
      <c r="U15" s="278"/>
      <c r="V15" s="280">
        <f>R15*5000</f>
        <v>0</v>
      </c>
      <c r="W15" s="280">
        <f>S15*E15</f>
        <v>4125000</v>
      </c>
      <c r="X15" s="280">
        <f>T15*5000</f>
        <v>0</v>
      </c>
      <c r="Y15" s="280">
        <f>U15*5000</f>
        <v>0</v>
      </c>
      <c r="Z15" s="410">
        <v>15</v>
      </c>
      <c r="AA15" s="76">
        <f t="shared" si="6"/>
        <v>225000</v>
      </c>
      <c r="AB15" s="410">
        <v>20</v>
      </c>
      <c r="AC15" s="76">
        <f t="shared" si="7"/>
        <v>300000</v>
      </c>
      <c r="AD15" s="410">
        <v>15</v>
      </c>
      <c r="AE15" s="76">
        <f t="shared" si="8"/>
        <v>225000</v>
      </c>
      <c r="AF15" s="410">
        <v>10</v>
      </c>
      <c r="AG15" s="76">
        <f t="shared" si="9"/>
        <v>150000</v>
      </c>
      <c r="AH15" s="410">
        <v>20</v>
      </c>
      <c r="AI15" s="76">
        <f t="shared" si="10"/>
        <v>300000</v>
      </c>
      <c r="AJ15" s="410">
        <v>10</v>
      </c>
      <c r="AK15" s="76">
        <f t="shared" si="11"/>
        <v>150000</v>
      </c>
      <c r="AL15" s="410">
        <v>30</v>
      </c>
      <c r="AM15" s="76">
        <f t="shared" si="12"/>
        <v>450000</v>
      </c>
      <c r="AN15" s="410">
        <v>10</v>
      </c>
      <c r="AO15" s="76">
        <f t="shared" si="13"/>
        <v>150000</v>
      </c>
      <c r="AP15" s="410">
        <v>5</v>
      </c>
      <c r="AQ15" s="76">
        <f t="shared" si="14"/>
        <v>75000</v>
      </c>
      <c r="AR15" s="410">
        <v>20</v>
      </c>
      <c r="AS15" s="76">
        <f t="shared" si="15"/>
        <v>300000</v>
      </c>
      <c r="AT15" s="410">
        <v>20</v>
      </c>
      <c r="AU15" s="76">
        <f t="shared" si="16"/>
        <v>300000</v>
      </c>
      <c r="AV15" s="410">
        <v>10</v>
      </c>
      <c r="AW15" s="76">
        <f t="shared" si="1"/>
        <v>150000</v>
      </c>
      <c r="AX15" s="410">
        <v>10</v>
      </c>
      <c r="AY15" s="76">
        <f t="shared" si="17"/>
        <v>150000</v>
      </c>
      <c r="AZ15" s="410">
        <v>20</v>
      </c>
      <c r="BA15" s="76">
        <f t="shared" si="18"/>
        <v>300000</v>
      </c>
      <c r="BB15" s="410">
        <v>30</v>
      </c>
      <c r="BC15" s="76">
        <f t="shared" si="19"/>
        <v>450000</v>
      </c>
      <c r="BD15" s="410">
        <v>10</v>
      </c>
      <c r="BE15" s="76">
        <f t="shared" si="20"/>
        <v>150000</v>
      </c>
      <c r="BF15" s="410">
        <v>20</v>
      </c>
      <c r="BG15" s="76">
        <f t="shared" si="21"/>
        <v>300000</v>
      </c>
      <c r="BH15" s="410">
        <v>0</v>
      </c>
      <c r="BI15" s="76">
        <f t="shared" si="22"/>
        <v>0</v>
      </c>
      <c r="BJ15" s="53">
        <f>Z15+AB15+AD15+AF15+AH15+AL15+AP15+AR15+AZ15+BB15+BD15+BF15+BH15+AJ15+AT15+AV15+AX15+AN15</f>
        <v>275</v>
      </c>
      <c r="BK15" s="53">
        <f t="shared" si="2"/>
        <v>4125000</v>
      </c>
      <c r="BL15" s="336" t="s">
        <v>469</v>
      </c>
      <c r="BN15" s="385"/>
      <c r="BO15" s="385"/>
      <c r="BP15" s="385">
        <f>G15</f>
        <v>4125000</v>
      </c>
      <c r="BQ15" s="385"/>
      <c r="BR15" s="385">
        <f t="shared" si="3"/>
        <v>4125000</v>
      </c>
      <c r="BS15" s="385"/>
      <c r="BT15" s="385"/>
      <c r="BU15" s="385">
        <f t="shared" si="4"/>
        <v>0</v>
      </c>
      <c r="BV15" s="387">
        <f t="shared" si="5"/>
        <v>4125000</v>
      </c>
    </row>
    <row r="16" spans="1:74" x14ac:dyDescent="0.25">
      <c r="A16" s="900"/>
      <c r="B16" s="38"/>
      <c r="C16" s="38" t="s">
        <v>844</v>
      </c>
      <c r="D16" s="38"/>
      <c r="E16" s="237">
        <v>300000</v>
      </c>
      <c r="F16" s="538">
        <f>BJ16</f>
        <v>17</v>
      </c>
      <c r="G16" s="237">
        <f>E16*F16</f>
        <v>5100000</v>
      </c>
      <c r="H16" s="237">
        <f>G16*0.2</f>
        <v>1020000</v>
      </c>
      <c r="I16" s="537">
        <f>G16*0.8</f>
        <v>4080000</v>
      </c>
      <c r="J16" s="237"/>
      <c r="K16" s="237"/>
      <c r="L16" s="537"/>
      <c r="M16" s="237"/>
      <c r="N16" s="237"/>
      <c r="O16" s="537"/>
      <c r="P16" s="537"/>
      <c r="Q16" s="537"/>
      <c r="R16" s="278"/>
      <c r="S16" s="278"/>
      <c r="T16" s="278"/>
      <c r="U16" s="278"/>
      <c r="V16" s="280"/>
      <c r="W16" s="280"/>
      <c r="X16" s="280"/>
      <c r="Y16" s="280"/>
      <c r="Z16" s="410">
        <v>1</v>
      </c>
      <c r="AA16" s="76">
        <f t="shared" si="6"/>
        <v>300000</v>
      </c>
      <c r="AB16" s="410">
        <v>1</v>
      </c>
      <c r="AC16" s="76">
        <f t="shared" si="7"/>
        <v>300000</v>
      </c>
      <c r="AD16" s="410">
        <v>1</v>
      </c>
      <c r="AE16" s="76">
        <f t="shared" si="8"/>
        <v>300000</v>
      </c>
      <c r="AF16" s="410">
        <v>1</v>
      </c>
      <c r="AG16" s="76">
        <f t="shared" si="9"/>
        <v>300000</v>
      </c>
      <c r="AH16" s="410">
        <v>1</v>
      </c>
      <c r="AI16" s="76">
        <f t="shared" si="10"/>
        <v>300000</v>
      </c>
      <c r="AJ16" s="410">
        <v>1</v>
      </c>
      <c r="AK16" s="76">
        <f t="shared" si="11"/>
        <v>300000</v>
      </c>
      <c r="AL16" s="410">
        <v>1</v>
      </c>
      <c r="AM16" s="76">
        <f t="shared" si="12"/>
        <v>300000</v>
      </c>
      <c r="AN16" s="410">
        <v>1</v>
      </c>
      <c r="AO16" s="76">
        <f t="shared" si="13"/>
        <v>300000</v>
      </c>
      <c r="AP16" s="410">
        <v>1</v>
      </c>
      <c r="AQ16" s="76">
        <f t="shared" si="14"/>
        <v>300000</v>
      </c>
      <c r="AR16" s="410">
        <v>1</v>
      </c>
      <c r="AS16" s="76">
        <f t="shared" si="15"/>
        <v>300000</v>
      </c>
      <c r="AT16" s="410">
        <v>1</v>
      </c>
      <c r="AU16" s="76">
        <f t="shared" si="16"/>
        <v>300000</v>
      </c>
      <c r="AV16" s="410">
        <v>1</v>
      </c>
      <c r="AW16" s="76">
        <f t="shared" si="1"/>
        <v>300000</v>
      </c>
      <c r="AX16" s="410">
        <v>1</v>
      </c>
      <c r="AY16" s="76">
        <f t="shared" si="17"/>
        <v>300000</v>
      </c>
      <c r="AZ16" s="410">
        <v>1</v>
      </c>
      <c r="BA16" s="76">
        <f t="shared" si="18"/>
        <v>300000</v>
      </c>
      <c r="BB16" s="410">
        <v>1</v>
      </c>
      <c r="BC16" s="76">
        <f t="shared" si="19"/>
        <v>300000</v>
      </c>
      <c r="BD16" s="410">
        <v>1</v>
      </c>
      <c r="BE16" s="76">
        <f t="shared" si="20"/>
        <v>300000</v>
      </c>
      <c r="BF16" s="410">
        <v>1</v>
      </c>
      <c r="BG16" s="76">
        <f t="shared" si="21"/>
        <v>300000</v>
      </c>
      <c r="BH16" s="410">
        <v>0</v>
      </c>
      <c r="BI16" s="76">
        <f t="shared" si="22"/>
        <v>0</v>
      </c>
      <c r="BJ16" s="53">
        <f>Z16+AB16+AD16+AF16+AH16+AL16+AP16+AR16+AZ16+BB16+BD16+BF16+BH16+AJ16+AT16+AV16+AX16+AN16</f>
        <v>17</v>
      </c>
      <c r="BK16" s="53">
        <f t="shared" si="2"/>
        <v>5100000</v>
      </c>
      <c r="BL16" s="336"/>
      <c r="BN16" s="385">
        <f>G16</f>
        <v>5100000</v>
      </c>
      <c r="BO16" s="385"/>
      <c r="BP16" s="385"/>
      <c r="BQ16" s="385"/>
      <c r="BR16" s="385">
        <f t="shared" si="3"/>
        <v>5100000</v>
      </c>
      <c r="BS16" s="385"/>
      <c r="BT16" s="385"/>
      <c r="BU16" s="385"/>
      <c r="BV16" s="387">
        <f t="shared" si="5"/>
        <v>5100000</v>
      </c>
    </row>
    <row r="17" spans="1:74" x14ac:dyDescent="0.25">
      <c r="A17" s="900"/>
      <c r="B17" s="288"/>
      <c r="C17" s="288"/>
      <c r="D17" s="288"/>
      <c r="E17" s="402"/>
      <c r="F17" s="539">
        <f>SUM(F13:F16)</f>
        <v>1247</v>
      </c>
      <c r="G17" s="539">
        <f t="shared" ref="G17:BK17" si="23">SUM(G13:G16)</f>
        <v>18775000</v>
      </c>
      <c r="H17" s="539">
        <f t="shared" si="23"/>
        <v>3755000</v>
      </c>
      <c r="I17" s="539">
        <f t="shared" si="23"/>
        <v>15020000</v>
      </c>
      <c r="J17" s="539">
        <f t="shared" si="23"/>
        <v>0</v>
      </c>
      <c r="K17" s="539">
        <f t="shared" si="23"/>
        <v>0</v>
      </c>
      <c r="L17" s="539">
        <f t="shared" si="23"/>
        <v>0</v>
      </c>
      <c r="M17" s="539">
        <f t="shared" si="23"/>
        <v>0</v>
      </c>
      <c r="N17" s="539">
        <f t="shared" si="23"/>
        <v>0</v>
      </c>
      <c r="O17" s="539">
        <f t="shared" si="23"/>
        <v>0</v>
      </c>
      <c r="P17" s="539">
        <f t="shared" si="23"/>
        <v>0</v>
      </c>
      <c r="Q17" s="539">
        <f t="shared" si="23"/>
        <v>0</v>
      </c>
      <c r="R17" s="539">
        <f t="shared" si="23"/>
        <v>0</v>
      </c>
      <c r="S17" s="539">
        <f t="shared" si="23"/>
        <v>1230</v>
      </c>
      <c r="T17" s="539">
        <f t="shared" si="23"/>
        <v>0</v>
      </c>
      <c r="U17" s="539">
        <f t="shared" si="23"/>
        <v>0</v>
      </c>
      <c r="V17" s="539">
        <f t="shared" si="23"/>
        <v>0</v>
      </c>
      <c r="W17" s="539">
        <f t="shared" si="23"/>
        <v>13675000</v>
      </c>
      <c r="X17" s="539">
        <f t="shared" si="23"/>
        <v>0</v>
      </c>
      <c r="Y17" s="539">
        <f t="shared" si="23"/>
        <v>0</v>
      </c>
      <c r="Z17" s="539">
        <f t="shared" si="23"/>
        <v>101</v>
      </c>
      <c r="AA17" s="539">
        <f t="shared" si="23"/>
        <v>1375000</v>
      </c>
      <c r="AB17" s="539">
        <f t="shared" si="23"/>
        <v>46</v>
      </c>
      <c r="AC17" s="539">
        <f t="shared" si="23"/>
        <v>850000</v>
      </c>
      <c r="AD17" s="539">
        <f t="shared" si="23"/>
        <v>96</v>
      </c>
      <c r="AE17" s="539">
        <f t="shared" si="23"/>
        <v>1325000</v>
      </c>
      <c r="AF17" s="539">
        <f t="shared" si="23"/>
        <v>71</v>
      </c>
      <c r="AG17" s="539">
        <f t="shared" si="23"/>
        <v>1050000</v>
      </c>
      <c r="AH17" s="539">
        <f t="shared" si="23"/>
        <v>66</v>
      </c>
      <c r="AI17" s="539">
        <f t="shared" si="23"/>
        <v>1050000</v>
      </c>
      <c r="AJ17" s="539">
        <f t="shared" si="23"/>
        <v>51</v>
      </c>
      <c r="AK17" s="539">
        <f t="shared" si="23"/>
        <v>850000</v>
      </c>
      <c r="AL17" s="539">
        <f t="shared" si="23"/>
        <v>81</v>
      </c>
      <c r="AM17" s="539">
        <f t="shared" si="23"/>
        <v>1250000</v>
      </c>
      <c r="AN17" s="539">
        <f t="shared" si="23"/>
        <v>61</v>
      </c>
      <c r="AO17" s="539">
        <f t="shared" si="23"/>
        <v>950000</v>
      </c>
      <c r="AP17" s="539">
        <f t="shared" si="23"/>
        <v>36</v>
      </c>
      <c r="AQ17" s="539">
        <f t="shared" si="23"/>
        <v>675000</v>
      </c>
      <c r="AR17" s="539">
        <f t="shared" si="23"/>
        <v>61</v>
      </c>
      <c r="AS17" s="539">
        <f t="shared" si="23"/>
        <v>1000000</v>
      </c>
      <c r="AT17" s="539">
        <f t="shared" si="23"/>
        <v>66</v>
      </c>
      <c r="AU17" s="539">
        <f t="shared" si="23"/>
        <v>1050000</v>
      </c>
      <c r="AV17" s="539">
        <f t="shared" si="23"/>
        <v>71</v>
      </c>
      <c r="AW17" s="539">
        <f t="shared" si="23"/>
        <v>1050000</v>
      </c>
      <c r="AX17" s="539">
        <f t="shared" si="23"/>
        <v>51</v>
      </c>
      <c r="AY17" s="539">
        <f t="shared" si="23"/>
        <v>850000</v>
      </c>
      <c r="AZ17" s="539">
        <f t="shared" si="23"/>
        <v>71</v>
      </c>
      <c r="BA17" s="539">
        <f t="shared" si="23"/>
        <v>1100000</v>
      </c>
      <c r="BB17" s="539">
        <f t="shared" si="23"/>
        <v>111</v>
      </c>
      <c r="BC17" s="539">
        <f t="shared" si="23"/>
        <v>1550000</v>
      </c>
      <c r="BD17" s="539">
        <f t="shared" si="23"/>
        <v>111</v>
      </c>
      <c r="BE17" s="539">
        <f t="shared" si="23"/>
        <v>1450000</v>
      </c>
      <c r="BF17" s="539">
        <f t="shared" si="23"/>
        <v>96</v>
      </c>
      <c r="BG17" s="539">
        <f t="shared" si="23"/>
        <v>1350000</v>
      </c>
      <c r="BH17" s="539">
        <f t="shared" si="23"/>
        <v>0</v>
      </c>
      <c r="BI17" s="539">
        <f t="shared" si="23"/>
        <v>0</v>
      </c>
      <c r="BJ17" s="539">
        <f t="shared" si="23"/>
        <v>1247</v>
      </c>
      <c r="BK17" s="539">
        <f t="shared" si="23"/>
        <v>18775000</v>
      </c>
      <c r="BL17" s="383"/>
      <c r="BN17" s="507">
        <f>SUM(BN10:BN16)</f>
        <v>5100000</v>
      </c>
      <c r="BO17" s="507">
        <f t="shared" ref="BO17:BU17" si="24">SUM(BO12:BO15)</f>
        <v>5600000</v>
      </c>
      <c r="BP17" s="507">
        <f t="shared" si="24"/>
        <v>8075000</v>
      </c>
      <c r="BQ17" s="507">
        <f t="shared" si="24"/>
        <v>0</v>
      </c>
      <c r="BR17" s="507">
        <f>SUM(BR10:BR16)</f>
        <v>18775000</v>
      </c>
      <c r="BS17" s="507">
        <f t="shared" si="24"/>
        <v>0</v>
      </c>
      <c r="BT17" s="507">
        <f t="shared" si="24"/>
        <v>0</v>
      </c>
      <c r="BU17" s="507">
        <f t="shared" si="24"/>
        <v>0</v>
      </c>
      <c r="BV17" s="540">
        <f t="shared" si="5"/>
        <v>18775000</v>
      </c>
    </row>
    <row r="18" spans="1:74" ht="15" customHeight="1" x14ac:dyDescent="0.25">
      <c r="A18" s="900"/>
      <c r="B18" s="38">
        <v>22120</v>
      </c>
      <c r="C18" s="171" t="s">
        <v>162</v>
      </c>
      <c r="D18" s="541"/>
      <c r="E18" s="542"/>
      <c r="F18" s="542"/>
      <c r="G18" s="542"/>
      <c r="H18" s="543"/>
      <c r="I18" s="543"/>
      <c r="J18" s="543"/>
      <c r="K18" s="543"/>
      <c r="L18" s="543"/>
      <c r="M18" s="543"/>
      <c r="N18" s="543"/>
      <c r="O18" s="543"/>
      <c r="P18" s="542"/>
      <c r="Q18" s="542"/>
      <c r="R18" s="544"/>
      <c r="S18" s="544"/>
      <c r="T18" s="544"/>
      <c r="U18" s="544"/>
      <c r="V18" s="545"/>
      <c r="W18" s="545"/>
      <c r="X18" s="545"/>
      <c r="Y18" s="546"/>
      <c r="Z18" s="410"/>
      <c r="AA18" s="76"/>
      <c r="AB18" s="410"/>
      <c r="AC18" s="76"/>
      <c r="AD18" s="410"/>
      <c r="AE18" s="76"/>
      <c r="AF18" s="410"/>
      <c r="AG18" s="76">
        <f t="shared" si="9"/>
        <v>0</v>
      </c>
      <c r="AH18" s="410"/>
      <c r="AI18" s="76">
        <f t="shared" si="10"/>
        <v>0</v>
      </c>
      <c r="AJ18" s="410"/>
      <c r="AK18" s="76">
        <f>AJ18*E18</f>
        <v>0</v>
      </c>
      <c r="AL18" s="410"/>
      <c r="AM18" s="76">
        <f t="shared" si="12"/>
        <v>0</v>
      </c>
      <c r="AN18" s="410"/>
      <c r="AO18" s="76">
        <f>AN18*G18</f>
        <v>0</v>
      </c>
      <c r="AP18" s="410"/>
      <c r="AQ18" s="76">
        <f t="shared" si="14"/>
        <v>0</v>
      </c>
      <c r="AR18" s="410"/>
      <c r="AS18" s="76">
        <f t="shared" si="15"/>
        <v>0</v>
      </c>
      <c r="AT18" s="410"/>
      <c r="AU18" s="76">
        <f>AT18*E18</f>
        <v>0</v>
      </c>
      <c r="AV18" s="410"/>
      <c r="AW18" s="76">
        <f>AV18*E18</f>
        <v>0</v>
      </c>
      <c r="AX18" s="410"/>
      <c r="AY18" s="76">
        <f>AX18*E18</f>
        <v>0</v>
      </c>
      <c r="AZ18" s="410"/>
      <c r="BA18" s="76">
        <f t="shared" si="18"/>
        <v>0</v>
      </c>
      <c r="BB18" s="410"/>
      <c r="BC18" s="76">
        <f t="shared" si="19"/>
        <v>0</v>
      </c>
      <c r="BD18" s="410"/>
      <c r="BE18" s="76">
        <f t="shared" si="20"/>
        <v>0</v>
      </c>
      <c r="BF18" s="410"/>
      <c r="BG18" s="76">
        <f t="shared" si="21"/>
        <v>0</v>
      </c>
      <c r="BH18" s="410"/>
      <c r="BI18" s="76">
        <f t="shared" si="22"/>
        <v>0</v>
      </c>
      <c r="BJ18" s="53">
        <f t="shared" ref="BJ18:BK20" si="25">Z18+AB18+AD18+AF18+AH18+AL18+AP18+AR18+AZ18+BB18+BD18+BF18+BH18+AJ18+AT18+AV18+AX18+AN18</f>
        <v>0</v>
      </c>
      <c r="BK18" s="53">
        <f t="shared" si="25"/>
        <v>0</v>
      </c>
      <c r="BL18" s="383"/>
      <c r="BN18" s="385"/>
      <c r="BO18" s="385"/>
      <c r="BP18" s="385"/>
      <c r="BQ18" s="385"/>
      <c r="BR18" s="385"/>
      <c r="BS18" s="385"/>
      <c r="BT18" s="385"/>
      <c r="BU18" s="385"/>
      <c r="BV18" s="387">
        <f t="shared" si="5"/>
        <v>0</v>
      </c>
    </row>
    <row r="19" spans="1:74" ht="30.75" customHeight="1" x14ac:dyDescent="0.25">
      <c r="A19" s="900"/>
      <c r="B19" s="514"/>
      <c r="C19" s="171" t="s">
        <v>879</v>
      </c>
      <c r="D19" s="38" t="s">
        <v>164</v>
      </c>
      <c r="E19" s="235">
        <v>7000</v>
      </c>
      <c r="F19" s="538">
        <f>BJ19</f>
        <v>547</v>
      </c>
      <c r="G19" s="237">
        <f>E19*F19</f>
        <v>3829000</v>
      </c>
      <c r="H19" s="237">
        <f>G19*0.2</f>
        <v>765800</v>
      </c>
      <c r="I19" s="537">
        <f>G19*0.8</f>
        <v>3063200</v>
      </c>
      <c r="J19" s="237">
        <f>G19*0</f>
        <v>0</v>
      </c>
      <c r="K19" s="237">
        <f>G19*0</f>
        <v>0</v>
      </c>
      <c r="L19" s="237">
        <f>H19*0</f>
        <v>0</v>
      </c>
      <c r="M19" s="237">
        <f>G19*0</f>
        <v>0</v>
      </c>
      <c r="N19" s="237">
        <f>G19*0</f>
        <v>0</v>
      </c>
      <c r="O19" s="537">
        <f>G19*0</f>
        <v>0</v>
      </c>
      <c r="P19" s="537">
        <f>G19*0</f>
        <v>0</v>
      </c>
      <c r="Q19" s="537">
        <f>G19*0</f>
        <v>0</v>
      </c>
      <c r="R19" s="278"/>
      <c r="S19" s="278">
        <f>F19</f>
        <v>547</v>
      </c>
      <c r="T19" s="278"/>
      <c r="U19" s="278"/>
      <c r="V19" s="280">
        <f>R19*1000</f>
        <v>0</v>
      </c>
      <c r="W19" s="280">
        <f>S19*E19</f>
        <v>3829000</v>
      </c>
      <c r="X19" s="280">
        <f>T19*1000</f>
        <v>0</v>
      </c>
      <c r="Y19" s="280">
        <f>U19*1000</f>
        <v>0</v>
      </c>
      <c r="Z19" s="410">
        <v>25</v>
      </c>
      <c r="AA19" s="76">
        <f t="shared" ref="AA19:AA32" si="26">Z19*E19</f>
        <v>175000</v>
      </c>
      <c r="AB19" s="410">
        <v>12</v>
      </c>
      <c r="AC19" s="76">
        <f t="shared" ref="AC19:AC32" si="27">AB19*E19</f>
        <v>84000</v>
      </c>
      <c r="AD19" s="410">
        <v>40</v>
      </c>
      <c r="AE19" s="76">
        <f t="shared" ref="AE19:AE32" si="28">AD19*E19</f>
        <v>280000</v>
      </c>
      <c r="AF19" s="410">
        <v>50</v>
      </c>
      <c r="AG19" s="76">
        <f t="shared" si="9"/>
        <v>350000</v>
      </c>
      <c r="AH19" s="410">
        <v>20</v>
      </c>
      <c r="AI19" s="76">
        <f t="shared" si="10"/>
        <v>140000</v>
      </c>
      <c r="AJ19" s="410">
        <v>35</v>
      </c>
      <c r="AK19" s="76">
        <f>AJ19*E19</f>
        <v>245000</v>
      </c>
      <c r="AL19" s="410">
        <v>20</v>
      </c>
      <c r="AM19" s="76">
        <f t="shared" si="12"/>
        <v>140000</v>
      </c>
      <c r="AN19" s="410">
        <v>50</v>
      </c>
      <c r="AO19" s="76">
        <f>AN19*E19</f>
        <v>350000</v>
      </c>
      <c r="AP19" s="410">
        <v>5</v>
      </c>
      <c r="AQ19" s="76">
        <f t="shared" si="14"/>
        <v>35000</v>
      </c>
      <c r="AR19" s="410">
        <v>15</v>
      </c>
      <c r="AS19" s="76">
        <f t="shared" si="15"/>
        <v>105000</v>
      </c>
      <c r="AT19" s="410">
        <v>25</v>
      </c>
      <c r="AU19" s="76">
        <f>AT19*E19</f>
        <v>175000</v>
      </c>
      <c r="AV19" s="410">
        <v>25</v>
      </c>
      <c r="AW19" s="76">
        <f>AV19*E19</f>
        <v>175000</v>
      </c>
      <c r="AX19" s="410">
        <v>35</v>
      </c>
      <c r="AY19" s="76">
        <f>AX19*E19</f>
        <v>245000</v>
      </c>
      <c r="AZ19" s="410">
        <v>40</v>
      </c>
      <c r="BA19" s="76">
        <f t="shared" si="18"/>
        <v>280000</v>
      </c>
      <c r="BB19" s="410">
        <v>50</v>
      </c>
      <c r="BC19" s="76">
        <f t="shared" si="19"/>
        <v>350000</v>
      </c>
      <c r="BD19" s="410">
        <v>50</v>
      </c>
      <c r="BE19" s="76">
        <f t="shared" si="20"/>
        <v>350000</v>
      </c>
      <c r="BF19" s="410">
        <v>50</v>
      </c>
      <c r="BG19" s="76">
        <f t="shared" si="21"/>
        <v>350000</v>
      </c>
      <c r="BH19" s="410">
        <v>0</v>
      </c>
      <c r="BI19" s="76">
        <f t="shared" si="22"/>
        <v>0</v>
      </c>
      <c r="BJ19" s="53">
        <f t="shared" si="25"/>
        <v>547</v>
      </c>
      <c r="BK19" s="53">
        <f t="shared" si="25"/>
        <v>3829000</v>
      </c>
      <c r="BL19" s="336" t="s">
        <v>469</v>
      </c>
      <c r="BN19" s="385"/>
      <c r="BO19" s="385">
        <f>G19</f>
        <v>3829000</v>
      </c>
      <c r="BP19" s="385"/>
      <c r="BQ19" s="385"/>
      <c r="BR19" s="385">
        <f>BN19+BO19+BP19+BQ19</f>
        <v>3829000</v>
      </c>
      <c r="BS19" s="385"/>
      <c r="BT19" s="385"/>
      <c r="BU19" s="385">
        <f>BS19+BT19</f>
        <v>0</v>
      </c>
      <c r="BV19" s="387">
        <f t="shared" si="5"/>
        <v>3829000</v>
      </c>
    </row>
    <row r="20" spans="1:74" x14ac:dyDescent="0.25">
      <c r="A20" s="900"/>
      <c r="B20" s="514"/>
      <c r="C20" s="171" t="s">
        <v>163</v>
      </c>
      <c r="D20" s="38" t="s">
        <v>165</v>
      </c>
      <c r="E20" s="235">
        <v>0</v>
      </c>
      <c r="F20" s="538">
        <f>BJ20</f>
        <v>0</v>
      </c>
      <c r="G20" s="237">
        <f>E20*F20</f>
        <v>0</v>
      </c>
      <c r="H20" s="237">
        <f>G20*0.2</f>
        <v>0</v>
      </c>
      <c r="I20" s="237">
        <f>G20*0.8</f>
        <v>0</v>
      </c>
      <c r="J20" s="237">
        <f>G20*0</f>
        <v>0</v>
      </c>
      <c r="K20" s="237">
        <f>G20*0</f>
        <v>0</v>
      </c>
      <c r="L20" s="237">
        <f>H20*0</f>
        <v>0</v>
      </c>
      <c r="M20" s="237">
        <f>G20*0</f>
        <v>0</v>
      </c>
      <c r="N20" s="237">
        <f>G20*0</f>
        <v>0</v>
      </c>
      <c r="O20" s="537">
        <f>G20*0</f>
        <v>0</v>
      </c>
      <c r="P20" s="537">
        <f>G20*0</f>
        <v>0</v>
      </c>
      <c r="Q20" s="537">
        <f>G20*0</f>
        <v>0</v>
      </c>
      <c r="R20" s="278">
        <f>F20*0</f>
        <v>0</v>
      </c>
      <c r="S20" s="278">
        <f>F20*0</f>
        <v>0</v>
      </c>
      <c r="T20" s="278">
        <f>F20*0</f>
        <v>0</v>
      </c>
      <c r="U20" s="278"/>
      <c r="V20" s="280">
        <f>R20*E20</f>
        <v>0</v>
      </c>
      <c r="W20" s="280">
        <f>S20*E20</f>
        <v>0</v>
      </c>
      <c r="X20" s="280">
        <f>T20*E20</f>
        <v>0</v>
      </c>
      <c r="Y20" s="280">
        <f>U20*2000</f>
        <v>0</v>
      </c>
      <c r="Z20" s="410">
        <v>0</v>
      </c>
      <c r="AA20" s="76">
        <f t="shared" si="26"/>
        <v>0</v>
      </c>
      <c r="AB20" s="410">
        <v>0</v>
      </c>
      <c r="AC20" s="76">
        <f t="shared" si="27"/>
        <v>0</v>
      </c>
      <c r="AD20" s="410">
        <v>0</v>
      </c>
      <c r="AE20" s="76">
        <f t="shared" si="28"/>
        <v>0</v>
      </c>
      <c r="AF20" s="410">
        <v>0</v>
      </c>
      <c r="AG20" s="76">
        <f t="shared" si="9"/>
        <v>0</v>
      </c>
      <c r="AH20" s="410">
        <v>0</v>
      </c>
      <c r="AI20" s="76">
        <f t="shared" si="10"/>
        <v>0</v>
      </c>
      <c r="AJ20" s="410">
        <v>0</v>
      </c>
      <c r="AK20" s="76">
        <f>AJ20*E20</f>
        <v>0</v>
      </c>
      <c r="AL20" s="410">
        <v>0</v>
      </c>
      <c r="AM20" s="76">
        <f t="shared" si="12"/>
        <v>0</v>
      </c>
      <c r="AN20" s="410">
        <v>0</v>
      </c>
      <c r="AO20" s="76">
        <f>AN20*E20</f>
        <v>0</v>
      </c>
      <c r="AP20" s="410">
        <v>0</v>
      </c>
      <c r="AQ20" s="76">
        <f t="shared" si="14"/>
        <v>0</v>
      </c>
      <c r="AR20" s="410">
        <v>0</v>
      </c>
      <c r="AS20" s="76">
        <f t="shared" si="15"/>
        <v>0</v>
      </c>
      <c r="AT20" s="410">
        <v>0</v>
      </c>
      <c r="AU20" s="76">
        <f>AT20*E20</f>
        <v>0</v>
      </c>
      <c r="AV20" s="410">
        <v>0</v>
      </c>
      <c r="AW20" s="76">
        <f>AV20*E20</f>
        <v>0</v>
      </c>
      <c r="AX20" s="410">
        <v>0</v>
      </c>
      <c r="AY20" s="76">
        <f>AX20*E20</f>
        <v>0</v>
      </c>
      <c r="AZ20" s="410">
        <v>0</v>
      </c>
      <c r="BA20" s="76">
        <f t="shared" si="18"/>
        <v>0</v>
      </c>
      <c r="BB20" s="410">
        <v>0</v>
      </c>
      <c r="BC20" s="76">
        <f t="shared" si="19"/>
        <v>0</v>
      </c>
      <c r="BD20" s="410">
        <v>0</v>
      </c>
      <c r="BE20" s="76">
        <f t="shared" si="20"/>
        <v>0</v>
      </c>
      <c r="BF20" s="410">
        <v>0</v>
      </c>
      <c r="BG20" s="76">
        <f t="shared" si="21"/>
        <v>0</v>
      </c>
      <c r="BH20" s="410">
        <v>0</v>
      </c>
      <c r="BI20" s="76">
        <f t="shared" si="22"/>
        <v>0</v>
      </c>
      <c r="BJ20" s="53">
        <f t="shared" si="25"/>
        <v>0</v>
      </c>
      <c r="BK20" s="53">
        <f t="shared" si="25"/>
        <v>0</v>
      </c>
      <c r="BL20" s="336" t="s">
        <v>469</v>
      </c>
      <c r="BN20" s="385"/>
      <c r="BO20" s="385">
        <f>G20</f>
        <v>0</v>
      </c>
      <c r="BP20" s="385"/>
      <c r="BQ20" s="385"/>
      <c r="BR20" s="385">
        <f>BN20+BO20+BP20+BQ20</f>
        <v>0</v>
      </c>
      <c r="BS20" s="385"/>
      <c r="BT20" s="385"/>
      <c r="BU20" s="385">
        <f>BS20+BT20</f>
        <v>0</v>
      </c>
      <c r="BV20" s="387">
        <f t="shared" si="5"/>
        <v>0</v>
      </c>
    </row>
    <row r="21" spans="1:74" x14ac:dyDescent="0.25">
      <c r="A21" s="900"/>
      <c r="B21" s="288"/>
      <c r="C21" s="288"/>
      <c r="D21" s="288"/>
      <c r="E21" s="402"/>
      <c r="F21" s="402">
        <f>SUM(F19:F20)</f>
        <v>547</v>
      </c>
      <c r="G21" s="507">
        <f>SUM(G19:G20)</f>
        <v>3829000</v>
      </c>
      <c r="H21" s="507">
        <f t="shared" ref="H21:Q21" si="29">SUM(H19:H20)</f>
        <v>765800</v>
      </c>
      <c r="I21" s="507">
        <f t="shared" si="29"/>
        <v>3063200</v>
      </c>
      <c r="J21" s="507">
        <f t="shared" si="29"/>
        <v>0</v>
      </c>
      <c r="K21" s="507">
        <f t="shared" si="29"/>
        <v>0</v>
      </c>
      <c r="L21" s="507">
        <f t="shared" si="29"/>
        <v>0</v>
      </c>
      <c r="M21" s="507">
        <f t="shared" si="29"/>
        <v>0</v>
      </c>
      <c r="N21" s="507">
        <f t="shared" si="29"/>
        <v>0</v>
      </c>
      <c r="O21" s="507">
        <f t="shared" si="29"/>
        <v>0</v>
      </c>
      <c r="P21" s="507">
        <f t="shared" si="29"/>
        <v>0</v>
      </c>
      <c r="Q21" s="507">
        <f t="shared" si="29"/>
        <v>0</v>
      </c>
      <c r="R21" s="402">
        <f t="shared" ref="R21:BK21" si="30">SUM(R19:R20)</f>
        <v>0</v>
      </c>
      <c r="S21" s="402">
        <f t="shared" si="30"/>
        <v>547</v>
      </c>
      <c r="T21" s="402">
        <f t="shared" si="30"/>
        <v>0</v>
      </c>
      <c r="U21" s="402">
        <f t="shared" si="30"/>
        <v>0</v>
      </c>
      <c r="V21" s="507">
        <f t="shared" si="30"/>
        <v>0</v>
      </c>
      <c r="W21" s="507">
        <f t="shared" si="30"/>
        <v>3829000</v>
      </c>
      <c r="X21" s="507">
        <f t="shared" si="30"/>
        <v>0</v>
      </c>
      <c r="Y21" s="507">
        <f t="shared" si="30"/>
        <v>0</v>
      </c>
      <c r="Z21" s="402">
        <f t="shared" si="30"/>
        <v>25</v>
      </c>
      <c r="AA21" s="402">
        <f t="shared" si="30"/>
        <v>175000</v>
      </c>
      <c r="AB21" s="402">
        <f t="shared" si="30"/>
        <v>12</v>
      </c>
      <c r="AC21" s="402">
        <f t="shared" si="30"/>
        <v>84000</v>
      </c>
      <c r="AD21" s="402">
        <f t="shared" si="30"/>
        <v>40</v>
      </c>
      <c r="AE21" s="402">
        <f t="shared" si="30"/>
        <v>280000</v>
      </c>
      <c r="AF21" s="402">
        <f t="shared" si="30"/>
        <v>50</v>
      </c>
      <c r="AG21" s="402">
        <f t="shared" si="30"/>
        <v>350000</v>
      </c>
      <c r="AH21" s="402">
        <f t="shared" si="30"/>
        <v>20</v>
      </c>
      <c r="AI21" s="402">
        <f t="shared" si="30"/>
        <v>140000</v>
      </c>
      <c r="AJ21" s="402">
        <f t="shared" si="30"/>
        <v>35</v>
      </c>
      <c r="AK21" s="402">
        <f t="shared" si="30"/>
        <v>245000</v>
      </c>
      <c r="AL21" s="402">
        <f t="shared" si="30"/>
        <v>20</v>
      </c>
      <c r="AM21" s="402">
        <f t="shared" si="30"/>
        <v>140000</v>
      </c>
      <c r="AN21" s="402">
        <f t="shared" si="30"/>
        <v>50</v>
      </c>
      <c r="AO21" s="402">
        <f t="shared" si="30"/>
        <v>350000</v>
      </c>
      <c r="AP21" s="402">
        <f t="shared" si="30"/>
        <v>5</v>
      </c>
      <c r="AQ21" s="402">
        <f t="shared" si="30"/>
        <v>35000</v>
      </c>
      <c r="AR21" s="402">
        <f t="shared" si="30"/>
        <v>15</v>
      </c>
      <c r="AS21" s="402">
        <f t="shared" si="30"/>
        <v>105000</v>
      </c>
      <c r="AT21" s="402">
        <f t="shared" si="30"/>
        <v>25</v>
      </c>
      <c r="AU21" s="402">
        <f t="shared" si="30"/>
        <v>175000</v>
      </c>
      <c r="AV21" s="402">
        <f t="shared" si="30"/>
        <v>25</v>
      </c>
      <c r="AW21" s="402">
        <f t="shared" si="30"/>
        <v>175000</v>
      </c>
      <c r="AX21" s="402">
        <f t="shared" si="30"/>
        <v>35</v>
      </c>
      <c r="AY21" s="402">
        <f t="shared" si="30"/>
        <v>245000</v>
      </c>
      <c r="AZ21" s="402">
        <f t="shared" si="30"/>
        <v>40</v>
      </c>
      <c r="BA21" s="402">
        <f t="shared" si="30"/>
        <v>280000</v>
      </c>
      <c r="BB21" s="402">
        <f t="shared" si="30"/>
        <v>50</v>
      </c>
      <c r="BC21" s="402">
        <f t="shared" si="30"/>
        <v>350000</v>
      </c>
      <c r="BD21" s="402">
        <f t="shared" si="30"/>
        <v>50</v>
      </c>
      <c r="BE21" s="402">
        <f t="shared" si="30"/>
        <v>350000</v>
      </c>
      <c r="BF21" s="402">
        <f t="shared" si="30"/>
        <v>50</v>
      </c>
      <c r="BG21" s="402">
        <f t="shared" si="30"/>
        <v>350000</v>
      </c>
      <c r="BH21" s="402">
        <f t="shared" si="30"/>
        <v>0</v>
      </c>
      <c r="BI21" s="402">
        <f t="shared" si="30"/>
        <v>0</v>
      </c>
      <c r="BJ21" s="402">
        <f t="shared" si="30"/>
        <v>547</v>
      </c>
      <c r="BK21" s="402">
        <f t="shared" si="30"/>
        <v>3829000</v>
      </c>
      <c r="BL21" s="383"/>
      <c r="BN21" s="507">
        <f t="shared" ref="BN21:BU21" si="31">SUM(BN19:BN20)</f>
        <v>0</v>
      </c>
      <c r="BO21" s="507">
        <f t="shared" si="31"/>
        <v>3829000</v>
      </c>
      <c r="BP21" s="507">
        <f t="shared" si="31"/>
        <v>0</v>
      </c>
      <c r="BQ21" s="507">
        <f t="shared" si="31"/>
        <v>0</v>
      </c>
      <c r="BR21" s="507">
        <f t="shared" si="31"/>
        <v>3829000</v>
      </c>
      <c r="BS21" s="507">
        <f t="shared" si="31"/>
        <v>0</v>
      </c>
      <c r="BT21" s="507">
        <f t="shared" si="31"/>
        <v>0</v>
      </c>
      <c r="BU21" s="507">
        <f t="shared" si="31"/>
        <v>0</v>
      </c>
      <c r="BV21" s="540">
        <f t="shared" si="5"/>
        <v>3829000</v>
      </c>
    </row>
    <row r="22" spans="1:74" ht="31.5" x14ac:dyDescent="0.25">
      <c r="A22" s="900"/>
      <c r="B22" s="38">
        <v>22130</v>
      </c>
      <c r="C22" s="38" t="s">
        <v>166</v>
      </c>
      <c r="D22" s="383"/>
      <c r="E22" s="410"/>
      <c r="F22" s="410"/>
      <c r="G22" s="410"/>
      <c r="Z22" s="410"/>
      <c r="AA22" s="76">
        <f t="shared" si="26"/>
        <v>0</v>
      </c>
      <c r="AB22" s="410"/>
      <c r="AC22" s="76">
        <f t="shared" si="27"/>
        <v>0</v>
      </c>
      <c r="AD22" s="410"/>
      <c r="AE22" s="76">
        <f t="shared" si="28"/>
        <v>0</v>
      </c>
      <c r="AF22" s="410"/>
      <c r="AG22" s="76">
        <f t="shared" si="9"/>
        <v>0</v>
      </c>
      <c r="AH22" s="410"/>
      <c r="AI22" s="76">
        <f t="shared" si="10"/>
        <v>0</v>
      </c>
      <c r="AJ22" s="410"/>
      <c r="AK22" s="76">
        <f>AJ22*E22</f>
        <v>0</v>
      </c>
      <c r="AL22" s="410"/>
      <c r="AM22" s="76">
        <f t="shared" si="12"/>
        <v>0</v>
      </c>
      <c r="AN22" s="410"/>
      <c r="AO22" s="76">
        <f>AN22*E22</f>
        <v>0</v>
      </c>
      <c r="AP22" s="410"/>
      <c r="AQ22" s="76">
        <f t="shared" si="14"/>
        <v>0</v>
      </c>
      <c r="AR22" s="410"/>
      <c r="AS22" s="76">
        <f t="shared" si="15"/>
        <v>0</v>
      </c>
      <c r="AT22" s="410"/>
      <c r="AU22" s="76">
        <f>AT22*E22</f>
        <v>0</v>
      </c>
      <c r="AV22" s="410"/>
      <c r="AW22" s="76">
        <f>AV22*E22</f>
        <v>0</v>
      </c>
      <c r="AX22" s="410"/>
      <c r="AY22" s="76">
        <f>AX22*E22</f>
        <v>0</v>
      </c>
      <c r="AZ22" s="410"/>
      <c r="BA22" s="76">
        <f t="shared" si="18"/>
        <v>0</v>
      </c>
      <c r="BB22" s="410"/>
      <c r="BC22" s="76">
        <f t="shared" si="19"/>
        <v>0</v>
      </c>
      <c r="BD22" s="410"/>
      <c r="BE22" s="76">
        <f t="shared" si="20"/>
        <v>0</v>
      </c>
      <c r="BF22" s="410"/>
      <c r="BG22" s="76">
        <f t="shared" si="21"/>
        <v>0</v>
      </c>
      <c r="BH22" s="410"/>
      <c r="BI22" s="76">
        <f t="shared" si="22"/>
        <v>0</v>
      </c>
      <c r="BJ22" s="53">
        <f t="shared" ref="BJ22:BK24" si="32">Z22+AB22+AD22+AF22+AH22+AL22+AP22+AR22+AZ22+BB22+BD22+BF22+BH22+AJ22+AT22+AV22+AX22+AN22</f>
        <v>0</v>
      </c>
      <c r="BK22" s="53">
        <f t="shared" si="32"/>
        <v>0</v>
      </c>
      <c r="BL22" s="383"/>
      <c r="BN22" s="385"/>
      <c r="BO22" s="385"/>
      <c r="BP22" s="385"/>
      <c r="BQ22" s="385"/>
      <c r="BR22" s="385"/>
      <c r="BS22" s="385"/>
      <c r="BT22" s="385"/>
      <c r="BU22" s="385"/>
      <c r="BV22" s="387">
        <f t="shared" si="5"/>
        <v>0</v>
      </c>
    </row>
    <row r="23" spans="1:74" ht="31.5" x14ac:dyDescent="0.25">
      <c r="A23" s="900"/>
      <c r="B23" s="410"/>
      <c r="C23" s="38" t="s">
        <v>167</v>
      </c>
      <c r="D23" s="38" t="s">
        <v>17</v>
      </c>
      <c r="E23" s="235">
        <f>75*100000</f>
        <v>7500000</v>
      </c>
      <c r="F23" s="538">
        <f>BJ23</f>
        <v>0</v>
      </c>
      <c r="G23" s="237">
        <f>E23*F23</f>
        <v>0</v>
      </c>
      <c r="H23" s="237">
        <f>G23*0</f>
        <v>0</v>
      </c>
      <c r="I23" s="237">
        <f>G23*0.826</f>
        <v>0</v>
      </c>
      <c r="J23" s="237">
        <f>G23*0.007</f>
        <v>0</v>
      </c>
      <c r="K23" s="237">
        <f>G23*0.076</f>
        <v>0</v>
      </c>
      <c r="L23" s="237">
        <f>G23*0.091</f>
        <v>0</v>
      </c>
      <c r="M23" s="237">
        <f>G23*0</f>
        <v>0</v>
      </c>
      <c r="N23" s="237">
        <f>G23*0</f>
        <v>0</v>
      </c>
      <c r="O23" s="537">
        <f>G23*0</f>
        <v>0</v>
      </c>
      <c r="P23" s="537">
        <f>G23*0</f>
        <v>0</v>
      </c>
      <c r="Q23" s="537">
        <f>G23*0</f>
        <v>0</v>
      </c>
      <c r="R23" s="273">
        <v>0</v>
      </c>
      <c r="S23" s="273">
        <v>0</v>
      </c>
      <c r="T23" s="273">
        <v>0</v>
      </c>
      <c r="U23" s="273">
        <v>0</v>
      </c>
      <c r="V23" s="76">
        <f>R23*7500000</f>
        <v>0</v>
      </c>
      <c r="W23" s="280">
        <f>S23*E23</f>
        <v>0</v>
      </c>
      <c r="X23" s="280">
        <f>T23*E23</f>
        <v>0</v>
      </c>
      <c r="Y23" s="76">
        <f>U23*7500000</f>
        <v>0</v>
      </c>
      <c r="Z23" s="410">
        <v>0</v>
      </c>
      <c r="AA23" s="76">
        <f t="shared" si="26"/>
        <v>0</v>
      </c>
      <c r="AB23" s="410">
        <v>0</v>
      </c>
      <c r="AC23" s="76">
        <f t="shared" si="27"/>
        <v>0</v>
      </c>
      <c r="AD23" s="410">
        <v>0</v>
      </c>
      <c r="AE23" s="76">
        <f>AD23*E23</f>
        <v>0</v>
      </c>
      <c r="AF23" s="410">
        <v>0</v>
      </c>
      <c r="AG23" s="76">
        <f t="shared" si="9"/>
        <v>0</v>
      </c>
      <c r="AH23" s="410">
        <v>0</v>
      </c>
      <c r="AI23" s="76">
        <f t="shared" si="10"/>
        <v>0</v>
      </c>
      <c r="AJ23" s="410"/>
      <c r="AK23" s="76">
        <f>AJ23*E23</f>
        <v>0</v>
      </c>
      <c r="AL23" s="410">
        <v>0</v>
      </c>
      <c r="AM23" s="76">
        <f t="shared" si="12"/>
        <v>0</v>
      </c>
      <c r="AN23" s="410"/>
      <c r="AO23" s="76">
        <f>AN23*E23</f>
        <v>0</v>
      </c>
      <c r="AP23" s="410">
        <v>0</v>
      </c>
      <c r="AQ23" s="76">
        <f t="shared" si="14"/>
        <v>0</v>
      </c>
      <c r="AR23" s="410">
        <v>0</v>
      </c>
      <c r="AS23" s="76">
        <f t="shared" si="15"/>
        <v>0</v>
      </c>
      <c r="AT23" s="410"/>
      <c r="AU23" s="76">
        <f>AT23*E23</f>
        <v>0</v>
      </c>
      <c r="AV23" s="410"/>
      <c r="AW23" s="76">
        <f>AV23*E23</f>
        <v>0</v>
      </c>
      <c r="AX23" s="410"/>
      <c r="AY23" s="76">
        <f>AX23*E23</f>
        <v>0</v>
      </c>
      <c r="AZ23" s="410">
        <v>0</v>
      </c>
      <c r="BA23" s="76">
        <f t="shared" si="18"/>
        <v>0</v>
      </c>
      <c r="BB23" s="410">
        <v>0</v>
      </c>
      <c r="BC23" s="76">
        <f t="shared" si="19"/>
        <v>0</v>
      </c>
      <c r="BD23" s="410">
        <v>0</v>
      </c>
      <c r="BE23" s="76">
        <f t="shared" si="20"/>
        <v>0</v>
      </c>
      <c r="BF23" s="410">
        <v>0</v>
      </c>
      <c r="BG23" s="76">
        <f t="shared" si="21"/>
        <v>0</v>
      </c>
      <c r="BH23" s="410">
        <v>0</v>
      </c>
      <c r="BI23" s="76">
        <f t="shared" si="22"/>
        <v>0</v>
      </c>
      <c r="BJ23" s="53">
        <f t="shared" si="32"/>
        <v>0</v>
      </c>
      <c r="BK23" s="53">
        <f t="shared" si="32"/>
        <v>0</v>
      </c>
      <c r="BL23" s="336" t="s">
        <v>471</v>
      </c>
      <c r="BN23" s="385"/>
      <c r="BO23" s="385"/>
      <c r="BP23" s="385"/>
      <c r="BQ23" s="385"/>
      <c r="BR23" s="385">
        <f>BN23+BO23+BP23+BQ23</f>
        <v>0</v>
      </c>
      <c r="BS23" s="385"/>
      <c r="BT23" s="385"/>
      <c r="BU23" s="385">
        <f>BS23+BT23</f>
        <v>0</v>
      </c>
      <c r="BV23" s="387">
        <f t="shared" si="5"/>
        <v>0</v>
      </c>
    </row>
    <row r="24" spans="1:74" x14ac:dyDescent="0.25">
      <c r="A24" s="900"/>
      <c r="B24" s="410"/>
      <c r="C24" s="38" t="s">
        <v>168</v>
      </c>
      <c r="D24" s="38" t="s">
        <v>169</v>
      </c>
      <c r="E24" s="235">
        <f>0.1*100000</f>
        <v>10000</v>
      </c>
      <c r="F24" s="538">
        <f>BJ24</f>
        <v>495</v>
      </c>
      <c r="G24" s="237">
        <f>E24*F24</f>
        <v>4950000</v>
      </c>
      <c r="H24" s="237">
        <f>G24*0.2</f>
        <v>990000</v>
      </c>
      <c r="I24" s="237">
        <f>G24*0.8</f>
        <v>3960000</v>
      </c>
      <c r="J24" s="237">
        <f>G24*0</f>
        <v>0</v>
      </c>
      <c r="K24" s="237">
        <f>G24*0</f>
        <v>0</v>
      </c>
      <c r="L24" s="237">
        <f>G24*0</f>
        <v>0</v>
      </c>
      <c r="M24" s="237">
        <f>G24*0</f>
        <v>0</v>
      </c>
      <c r="N24" s="237">
        <f>G24*0</f>
        <v>0</v>
      </c>
      <c r="O24" s="537">
        <f>G24*0</f>
        <v>0</v>
      </c>
      <c r="P24" s="537">
        <f>G24*0</f>
        <v>0</v>
      </c>
      <c r="Q24" s="537">
        <f>G24*0</f>
        <v>0</v>
      </c>
      <c r="R24" s="278"/>
      <c r="S24" s="278">
        <f>F24*0.5</f>
        <v>247.5</v>
      </c>
      <c r="T24" s="278">
        <f>F24*0.5</f>
        <v>247.5</v>
      </c>
      <c r="U24" s="278">
        <v>0</v>
      </c>
      <c r="V24" s="280">
        <f>R24*10000</f>
        <v>0</v>
      </c>
      <c r="W24" s="280">
        <f>S24*E24</f>
        <v>2475000</v>
      </c>
      <c r="X24" s="280">
        <f>T24*E24</f>
        <v>2475000</v>
      </c>
      <c r="Y24" s="280">
        <f>U24*10000</f>
        <v>0</v>
      </c>
      <c r="Z24" s="410">
        <v>25</v>
      </c>
      <c r="AA24" s="76">
        <f t="shared" si="26"/>
        <v>250000</v>
      </c>
      <c r="AB24" s="410">
        <v>20</v>
      </c>
      <c r="AC24" s="76">
        <f t="shared" si="27"/>
        <v>200000</v>
      </c>
      <c r="AD24" s="410">
        <v>20</v>
      </c>
      <c r="AE24" s="76">
        <f t="shared" si="28"/>
        <v>200000</v>
      </c>
      <c r="AF24" s="410">
        <v>60</v>
      </c>
      <c r="AG24" s="76">
        <f t="shared" si="9"/>
        <v>600000</v>
      </c>
      <c r="AH24" s="410">
        <v>30</v>
      </c>
      <c r="AI24" s="76">
        <f t="shared" si="10"/>
        <v>300000</v>
      </c>
      <c r="AJ24" s="410">
        <v>40</v>
      </c>
      <c r="AK24" s="76">
        <f>AJ24*E24</f>
        <v>400000</v>
      </c>
      <c r="AL24" s="410">
        <v>20</v>
      </c>
      <c r="AM24" s="76">
        <f t="shared" si="12"/>
        <v>200000</v>
      </c>
      <c r="AN24" s="410">
        <v>50</v>
      </c>
      <c r="AO24" s="76">
        <f>AN24*E24</f>
        <v>500000</v>
      </c>
      <c r="AP24" s="410">
        <v>10</v>
      </c>
      <c r="AQ24" s="76">
        <f t="shared" si="14"/>
        <v>100000</v>
      </c>
      <c r="AR24" s="410">
        <v>30</v>
      </c>
      <c r="AS24" s="76">
        <f t="shared" si="15"/>
        <v>300000</v>
      </c>
      <c r="AT24" s="410">
        <v>20</v>
      </c>
      <c r="AU24" s="76">
        <f>AT24*E24</f>
        <v>200000</v>
      </c>
      <c r="AV24" s="410">
        <v>25</v>
      </c>
      <c r="AW24" s="76">
        <f>AV24*E24</f>
        <v>250000</v>
      </c>
      <c r="AX24" s="410">
        <v>10</v>
      </c>
      <c r="AY24" s="76">
        <f>AX24*E24</f>
        <v>100000</v>
      </c>
      <c r="AZ24" s="410">
        <v>50</v>
      </c>
      <c r="BA24" s="76">
        <f t="shared" si="18"/>
        <v>500000</v>
      </c>
      <c r="BB24" s="410">
        <v>60</v>
      </c>
      <c r="BC24" s="76">
        <f t="shared" si="19"/>
        <v>600000</v>
      </c>
      <c r="BD24" s="410">
        <v>15</v>
      </c>
      <c r="BE24" s="76">
        <f t="shared" si="20"/>
        <v>150000</v>
      </c>
      <c r="BF24" s="410">
        <v>10</v>
      </c>
      <c r="BG24" s="76">
        <f t="shared" si="21"/>
        <v>100000</v>
      </c>
      <c r="BH24" s="410">
        <v>0</v>
      </c>
      <c r="BI24" s="76">
        <f t="shared" si="22"/>
        <v>0</v>
      </c>
      <c r="BJ24" s="53">
        <f t="shared" si="32"/>
        <v>495</v>
      </c>
      <c r="BK24" s="53">
        <f t="shared" si="32"/>
        <v>4950000</v>
      </c>
      <c r="BL24" s="336" t="s">
        <v>469</v>
      </c>
      <c r="BN24" s="385"/>
      <c r="BO24" s="385">
        <f>G24</f>
        <v>4950000</v>
      </c>
      <c r="BP24" s="385"/>
      <c r="BQ24" s="385"/>
      <c r="BR24" s="385">
        <f>BN24+BO24+BP24+BQ24</f>
        <v>4950000</v>
      </c>
      <c r="BS24" s="385"/>
      <c r="BT24" s="385"/>
      <c r="BU24" s="385">
        <f>BS24+BT24</f>
        <v>0</v>
      </c>
      <c r="BV24" s="387">
        <f t="shared" si="5"/>
        <v>4950000</v>
      </c>
    </row>
    <row r="25" spans="1:74" x14ac:dyDescent="0.25">
      <c r="A25" s="900"/>
      <c r="B25" s="288"/>
      <c r="C25" s="288" t="s">
        <v>37</v>
      </c>
      <c r="D25" s="288"/>
      <c r="E25" s="402"/>
      <c r="F25" s="402">
        <f>SUM(F23:F24)</f>
        <v>495</v>
      </c>
      <c r="G25" s="507">
        <f>SUM(G23:G24)</f>
        <v>4950000</v>
      </c>
      <c r="H25" s="507">
        <f t="shared" ref="H25:Q25" si="33">SUM(H23:H24)</f>
        <v>990000</v>
      </c>
      <c r="I25" s="507">
        <f t="shared" si="33"/>
        <v>3960000</v>
      </c>
      <c r="J25" s="507">
        <f t="shared" si="33"/>
        <v>0</v>
      </c>
      <c r="K25" s="507">
        <f t="shared" si="33"/>
        <v>0</v>
      </c>
      <c r="L25" s="507">
        <f t="shared" si="33"/>
        <v>0</v>
      </c>
      <c r="M25" s="507">
        <f t="shared" si="33"/>
        <v>0</v>
      </c>
      <c r="N25" s="507">
        <f t="shared" si="33"/>
        <v>0</v>
      </c>
      <c r="O25" s="507">
        <f t="shared" si="33"/>
        <v>0</v>
      </c>
      <c r="P25" s="507">
        <f t="shared" si="33"/>
        <v>0</v>
      </c>
      <c r="Q25" s="507">
        <f t="shared" si="33"/>
        <v>0</v>
      </c>
      <c r="R25" s="402">
        <f t="shared" ref="R25:BK25" si="34">SUM(R23:R24)</f>
        <v>0</v>
      </c>
      <c r="S25" s="402">
        <f t="shared" si="34"/>
        <v>247.5</v>
      </c>
      <c r="T25" s="402">
        <f t="shared" si="34"/>
        <v>247.5</v>
      </c>
      <c r="U25" s="402">
        <f t="shared" si="34"/>
        <v>0</v>
      </c>
      <c r="V25" s="507">
        <f t="shared" si="34"/>
        <v>0</v>
      </c>
      <c r="W25" s="507">
        <f t="shared" si="34"/>
        <v>2475000</v>
      </c>
      <c r="X25" s="507">
        <f t="shared" si="34"/>
        <v>2475000</v>
      </c>
      <c r="Y25" s="507">
        <f t="shared" si="34"/>
        <v>0</v>
      </c>
      <c r="Z25" s="402">
        <f t="shared" si="34"/>
        <v>25</v>
      </c>
      <c r="AA25" s="402">
        <f t="shared" si="34"/>
        <v>250000</v>
      </c>
      <c r="AB25" s="402">
        <f t="shared" si="34"/>
        <v>20</v>
      </c>
      <c r="AC25" s="402">
        <f t="shared" si="34"/>
        <v>200000</v>
      </c>
      <c r="AD25" s="402">
        <f t="shared" si="34"/>
        <v>20</v>
      </c>
      <c r="AE25" s="402">
        <f t="shared" si="34"/>
        <v>200000</v>
      </c>
      <c r="AF25" s="402">
        <f t="shared" si="34"/>
        <v>60</v>
      </c>
      <c r="AG25" s="402">
        <f t="shared" si="34"/>
        <v>600000</v>
      </c>
      <c r="AH25" s="402">
        <f t="shared" si="34"/>
        <v>30</v>
      </c>
      <c r="AI25" s="402">
        <f t="shared" si="34"/>
        <v>300000</v>
      </c>
      <c r="AJ25" s="402">
        <f t="shared" si="34"/>
        <v>40</v>
      </c>
      <c r="AK25" s="402">
        <f t="shared" si="34"/>
        <v>400000</v>
      </c>
      <c r="AL25" s="402">
        <f t="shared" si="34"/>
        <v>20</v>
      </c>
      <c r="AM25" s="402">
        <f t="shared" si="34"/>
        <v>200000</v>
      </c>
      <c r="AN25" s="402">
        <f t="shared" si="34"/>
        <v>50</v>
      </c>
      <c r="AO25" s="402">
        <f t="shared" si="34"/>
        <v>500000</v>
      </c>
      <c r="AP25" s="402">
        <f t="shared" si="34"/>
        <v>10</v>
      </c>
      <c r="AQ25" s="402">
        <f t="shared" si="34"/>
        <v>100000</v>
      </c>
      <c r="AR25" s="402">
        <f t="shared" si="34"/>
        <v>30</v>
      </c>
      <c r="AS25" s="402">
        <f t="shared" si="34"/>
        <v>300000</v>
      </c>
      <c r="AT25" s="402">
        <f t="shared" si="34"/>
        <v>20</v>
      </c>
      <c r="AU25" s="402">
        <f t="shared" si="34"/>
        <v>200000</v>
      </c>
      <c r="AV25" s="402">
        <f t="shared" si="34"/>
        <v>25</v>
      </c>
      <c r="AW25" s="402">
        <f t="shared" si="34"/>
        <v>250000</v>
      </c>
      <c r="AX25" s="402">
        <f t="shared" si="34"/>
        <v>10</v>
      </c>
      <c r="AY25" s="402">
        <f t="shared" si="34"/>
        <v>100000</v>
      </c>
      <c r="AZ25" s="402">
        <f t="shared" si="34"/>
        <v>50</v>
      </c>
      <c r="BA25" s="402">
        <f t="shared" si="34"/>
        <v>500000</v>
      </c>
      <c r="BB25" s="402">
        <f t="shared" si="34"/>
        <v>60</v>
      </c>
      <c r="BC25" s="402">
        <f t="shared" si="34"/>
        <v>600000</v>
      </c>
      <c r="BD25" s="402">
        <f t="shared" si="34"/>
        <v>15</v>
      </c>
      <c r="BE25" s="402">
        <f t="shared" si="34"/>
        <v>150000</v>
      </c>
      <c r="BF25" s="402">
        <f t="shared" si="34"/>
        <v>10</v>
      </c>
      <c r="BG25" s="402">
        <f t="shared" si="34"/>
        <v>100000</v>
      </c>
      <c r="BH25" s="402">
        <f t="shared" si="34"/>
        <v>0</v>
      </c>
      <c r="BI25" s="402">
        <f t="shared" si="34"/>
        <v>0</v>
      </c>
      <c r="BJ25" s="402">
        <f t="shared" si="34"/>
        <v>495</v>
      </c>
      <c r="BK25" s="402">
        <f t="shared" si="34"/>
        <v>4950000</v>
      </c>
      <c r="BL25" s="383"/>
      <c r="BN25" s="507">
        <f t="shared" ref="BN25:BU25" si="35">SUM(BN23:BN24)</f>
        <v>0</v>
      </c>
      <c r="BO25" s="507">
        <f t="shared" si="35"/>
        <v>4950000</v>
      </c>
      <c r="BP25" s="507">
        <f t="shared" si="35"/>
        <v>0</v>
      </c>
      <c r="BQ25" s="507">
        <f t="shared" si="35"/>
        <v>0</v>
      </c>
      <c r="BR25" s="507">
        <f t="shared" si="35"/>
        <v>4950000</v>
      </c>
      <c r="BS25" s="507">
        <f t="shared" si="35"/>
        <v>0</v>
      </c>
      <c r="BT25" s="507">
        <f t="shared" si="35"/>
        <v>0</v>
      </c>
      <c r="BU25" s="507">
        <f t="shared" si="35"/>
        <v>0</v>
      </c>
      <c r="BV25" s="387">
        <f t="shared" si="5"/>
        <v>4950000</v>
      </c>
    </row>
    <row r="26" spans="1:74" x14ac:dyDescent="0.25">
      <c r="A26" s="900"/>
      <c r="B26" s="38">
        <v>22200</v>
      </c>
      <c r="C26" s="38" t="s">
        <v>170</v>
      </c>
      <c r="D26" s="38"/>
      <c r="E26" s="235"/>
      <c r="F26" s="536"/>
      <c r="G26" s="76"/>
      <c r="H26" s="548"/>
      <c r="I26" s="548"/>
      <c r="J26" s="548"/>
      <c r="K26" s="548"/>
      <c r="L26" s="548"/>
      <c r="M26" s="548"/>
      <c r="N26" s="548"/>
      <c r="O26" s="548"/>
      <c r="P26" s="76"/>
      <c r="Q26" s="76"/>
      <c r="R26" s="273"/>
      <c r="S26" s="273"/>
      <c r="T26" s="273"/>
      <c r="U26" s="273"/>
      <c r="V26" s="76"/>
      <c r="W26" s="76"/>
      <c r="X26" s="76"/>
      <c r="Y26" s="122"/>
      <c r="Z26" s="54"/>
      <c r="AA26" s="76">
        <f t="shared" si="26"/>
        <v>0</v>
      </c>
      <c r="AB26" s="54"/>
      <c r="AC26" s="76">
        <f t="shared" si="27"/>
        <v>0</v>
      </c>
      <c r="AD26" s="54"/>
      <c r="AE26" s="76">
        <f t="shared" si="28"/>
        <v>0</v>
      </c>
      <c r="AF26" s="54"/>
      <c r="AG26" s="76">
        <f t="shared" si="9"/>
        <v>0</v>
      </c>
      <c r="AH26" s="54"/>
      <c r="AI26" s="76">
        <f t="shared" si="10"/>
        <v>0</v>
      </c>
      <c r="AJ26" s="410"/>
      <c r="AK26" s="76">
        <f>AJ26*E26</f>
        <v>0</v>
      </c>
      <c r="AL26" s="54"/>
      <c r="AM26" s="76">
        <f t="shared" si="12"/>
        <v>0</v>
      </c>
      <c r="AN26" s="410"/>
      <c r="AO26" s="76">
        <f>AN26*E26</f>
        <v>0</v>
      </c>
      <c r="AP26" s="54"/>
      <c r="AQ26" s="76">
        <f t="shared" si="14"/>
        <v>0</v>
      </c>
      <c r="AR26" s="54"/>
      <c r="AS26" s="76">
        <f t="shared" si="15"/>
        <v>0</v>
      </c>
      <c r="AT26" s="410"/>
      <c r="AU26" s="76">
        <f>AT26*E26</f>
        <v>0</v>
      </c>
      <c r="AV26" s="410"/>
      <c r="AW26" s="76">
        <f>AV26*E26</f>
        <v>0</v>
      </c>
      <c r="AX26" s="410"/>
      <c r="AY26" s="76">
        <f>AX26*E26</f>
        <v>0</v>
      </c>
      <c r="AZ26" s="54"/>
      <c r="BA26" s="76">
        <f t="shared" si="18"/>
        <v>0</v>
      </c>
      <c r="BB26" s="54"/>
      <c r="BC26" s="76">
        <f t="shared" si="19"/>
        <v>0</v>
      </c>
      <c r="BD26" s="54"/>
      <c r="BE26" s="76">
        <f t="shared" si="20"/>
        <v>0</v>
      </c>
      <c r="BF26" s="54"/>
      <c r="BG26" s="76">
        <f t="shared" si="21"/>
        <v>0</v>
      </c>
      <c r="BH26" s="54"/>
      <c r="BI26" s="76">
        <f t="shared" si="22"/>
        <v>0</v>
      </c>
      <c r="BJ26" s="53">
        <f t="shared" ref="BJ26:BK30" si="36">Z26+AB26+AD26+AF26+AH26+AL26+AP26+AR26+AZ26+BB26+BD26+BF26+BH26+AJ26+AT26+AV26+AX26+AN26</f>
        <v>0</v>
      </c>
      <c r="BK26" s="53">
        <f t="shared" si="36"/>
        <v>0</v>
      </c>
      <c r="BL26" s="383"/>
      <c r="BN26" s="385"/>
      <c r="BO26" s="385"/>
      <c r="BP26" s="385"/>
      <c r="BQ26" s="385"/>
      <c r="BR26" s="385"/>
      <c r="BS26" s="385"/>
      <c r="BT26" s="385"/>
      <c r="BU26" s="385"/>
      <c r="BV26" s="387">
        <f t="shared" si="5"/>
        <v>0</v>
      </c>
    </row>
    <row r="27" spans="1:74" ht="31.5" x14ac:dyDescent="0.25">
      <c r="A27" s="900"/>
      <c r="B27" s="38">
        <v>22210</v>
      </c>
      <c r="C27" s="38" t="s">
        <v>171</v>
      </c>
      <c r="D27" s="38"/>
      <c r="E27" s="235"/>
      <c r="F27" s="538">
        <f>BJ27</f>
        <v>0</v>
      </c>
      <c r="G27" s="237">
        <f>E27*F27</f>
        <v>0</v>
      </c>
      <c r="H27" s="548"/>
      <c r="I27" s="548"/>
      <c r="J27" s="548"/>
      <c r="K27" s="548"/>
      <c r="L27" s="548"/>
      <c r="M27" s="548"/>
      <c r="N27" s="548"/>
      <c r="O27" s="548"/>
      <c r="P27" s="76"/>
      <c r="Q27" s="76"/>
      <c r="R27" s="273"/>
      <c r="S27" s="273"/>
      <c r="T27" s="273"/>
      <c r="U27" s="273"/>
      <c r="V27" s="76"/>
      <c r="W27" s="76"/>
      <c r="X27" s="76"/>
      <c r="Y27" s="122"/>
      <c r="Z27" s="54"/>
      <c r="AA27" s="76">
        <f t="shared" si="26"/>
        <v>0</v>
      </c>
      <c r="AB27" s="54"/>
      <c r="AC27" s="76">
        <f t="shared" si="27"/>
        <v>0</v>
      </c>
      <c r="AD27" s="54"/>
      <c r="AE27" s="76">
        <f t="shared" si="28"/>
        <v>0</v>
      </c>
      <c r="AF27" s="54"/>
      <c r="AG27" s="76">
        <f t="shared" si="9"/>
        <v>0</v>
      </c>
      <c r="AH27" s="54"/>
      <c r="AI27" s="76">
        <f t="shared" si="10"/>
        <v>0</v>
      </c>
      <c r="AJ27" s="410"/>
      <c r="AK27" s="76">
        <f>AJ27*E27</f>
        <v>0</v>
      </c>
      <c r="AL27" s="54"/>
      <c r="AM27" s="76">
        <f t="shared" si="12"/>
        <v>0</v>
      </c>
      <c r="AN27" s="410"/>
      <c r="AO27" s="76">
        <f>AN27*E27</f>
        <v>0</v>
      </c>
      <c r="AP27" s="54"/>
      <c r="AQ27" s="76">
        <f t="shared" si="14"/>
        <v>0</v>
      </c>
      <c r="AR27" s="54"/>
      <c r="AS27" s="76">
        <f t="shared" si="15"/>
        <v>0</v>
      </c>
      <c r="AT27" s="410"/>
      <c r="AU27" s="76">
        <f>AT27*E27</f>
        <v>0</v>
      </c>
      <c r="AV27" s="410"/>
      <c r="AW27" s="76">
        <f>AV27*E27</f>
        <v>0</v>
      </c>
      <c r="AX27" s="410"/>
      <c r="AY27" s="76">
        <f>AX27*E27</f>
        <v>0</v>
      </c>
      <c r="AZ27" s="54"/>
      <c r="BA27" s="76">
        <f t="shared" si="18"/>
        <v>0</v>
      </c>
      <c r="BB27" s="54"/>
      <c r="BC27" s="76">
        <f t="shared" si="19"/>
        <v>0</v>
      </c>
      <c r="BD27" s="54"/>
      <c r="BE27" s="76">
        <f t="shared" si="20"/>
        <v>0</v>
      </c>
      <c r="BF27" s="54"/>
      <c r="BG27" s="76">
        <f t="shared" si="21"/>
        <v>0</v>
      </c>
      <c r="BH27" s="54"/>
      <c r="BI27" s="76">
        <f t="shared" si="22"/>
        <v>0</v>
      </c>
      <c r="BJ27" s="53">
        <f t="shared" si="36"/>
        <v>0</v>
      </c>
      <c r="BK27" s="53">
        <f t="shared" si="36"/>
        <v>0</v>
      </c>
      <c r="BL27" s="383"/>
      <c r="BN27" s="385"/>
      <c r="BO27" s="385"/>
      <c r="BP27" s="385"/>
      <c r="BQ27" s="385"/>
      <c r="BR27" s="385"/>
      <c r="BS27" s="385"/>
      <c r="BT27" s="385"/>
      <c r="BU27" s="385"/>
      <c r="BV27" s="387">
        <f t="shared" si="5"/>
        <v>0</v>
      </c>
    </row>
    <row r="28" spans="1:74" x14ac:dyDescent="0.25">
      <c r="A28" s="900"/>
      <c r="B28" s="500"/>
      <c r="C28" s="38" t="s">
        <v>172</v>
      </c>
      <c r="D28" s="38" t="s">
        <v>129</v>
      </c>
      <c r="E28" s="235">
        <f>5*100000</f>
        <v>500000</v>
      </c>
      <c r="F28" s="538">
        <f>BJ28</f>
        <v>0</v>
      </c>
      <c r="G28" s="237">
        <f>E28*F28</f>
        <v>0</v>
      </c>
      <c r="H28" s="237">
        <f>G28*0</f>
        <v>0</v>
      </c>
      <c r="I28" s="237">
        <f>G28*0.826</f>
        <v>0</v>
      </c>
      <c r="J28" s="237">
        <f>G28*0.007</f>
        <v>0</v>
      </c>
      <c r="K28" s="237">
        <f>G28*0.076</f>
        <v>0</v>
      </c>
      <c r="L28" s="237">
        <f>G28*0.091</f>
        <v>0</v>
      </c>
      <c r="M28" s="237">
        <f>G28*0</f>
        <v>0</v>
      </c>
      <c r="N28" s="237">
        <f>G28*0</f>
        <v>0</v>
      </c>
      <c r="O28" s="537">
        <f>G28*0</f>
        <v>0</v>
      </c>
      <c r="P28" s="537">
        <f>G28*0</f>
        <v>0</v>
      </c>
      <c r="Q28" s="537">
        <f>G28*0</f>
        <v>0</v>
      </c>
      <c r="R28" s="273"/>
      <c r="S28" s="273"/>
      <c r="T28" s="273"/>
      <c r="U28" s="273"/>
      <c r="V28" s="76">
        <f t="shared" ref="V28:Y29" si="37">R28*500000</f>
        <v>0</v>
      </c>
      <c r="W28" s="76">
        <f t="shared" si="37"/>
        <v>0</v>
      </c>
      <c r="X28" s="76">
        <f t="shared" si="37"/>
        <v>0</v>
      </c>
      <c r="Y28" s="76">
        <f t="shared" si="37"/>
        <v>0</v>
      </c>
      <c r="Z28" s="536">
        <v>0</v>
      </c>
      <c r="AA28" s="76">
        <f t="shared" si="26"/>
        <v>0</v>
      </c>
      <c r="AB28" s="536">
        <v>0</v>
      </c>
      <c r="AC28" s="76">
        <f t="shared" si="27"/>
        <v>0</v>
      </c>
      <c r="AD28" s="536">
        <v>0</v>
      </c>
      <c r="AE28" s="76">
        <f t="shared" si="28"/>
        <v>0</v>
      </c>
      <c r="AF28" s="536">
        <v>0</v>
      </c>
      <c r="AG28" s="76">
        <f t="shared" si="9"/>
        <v>0</v>
      </c>
      <c r="AH28" s="536">
        <v>0</v>
      </c>
      <c r="AI28" s="76">
        <f t="shared" si="10"/>
        <v>0</v>
      </c>
      <c r="AJ28" s="410"/>
      <c r="AK28" s="76">
        <f>AJ28*E28</f>
        <v>0</v>
      </c>
      <c r="AL28" s="536">
        <v>0</v>
      </c>
      <c r="AM28" s="76">
        <f t="shared" si="12"/>
        <v>0</v>
      </c>
      <c r="AN28" s="410"/>
      <c r="AO28" s="76">
        <f>AN28*E28</f>
        <v>0</v>
      </c>
      <c r="AP28" s="536">
        <v>0</v>
      </c>
      <c r="AQ28" s="76">
        <f t="shared" si="14"/>
        <v>0</v>
      </c>
      <c r="AR28" s="536">
        <v>0</v>
      </c>
      <c r="AS28" s="76">
        <f t="shared" si="15"/>
        <v>0</v>
      </c>
      <c r="AT28" s="410"/>
      <c r="AU28" s="76">
        <f>AT28*E28</f>
        <v>0</v>
      </c>
      <c r="AV28" s="410"/>
      <c r="AW28" s="76">
        <f>AV28*E28</f>
        <v>0</v>
      </c>
      <c r="AX28" s="410"/>
      <c r="AY28" s="76">
        <f>AX28*E28</f>
        <v>0</v>
      </c>
      <c r="AZ28" s="536">
        <v>0</v>
      </c>
      <c r="BA28" s="76">
        <f t="shared" si="18"/>
        <v>0</v>
      </c>
      <c r="BB28" s="536">
        <v>0</v>
      </c>
      <c r="BC28" s="76">
        <f t="shared" si="19"/>
        <v>0</v>
      </c>
      <c r="BD28" s="536">
        <v>0</v>
      </c>
      <c r="BE28" s="76">
        <f t="shared" si="20"/>
        <v>0</v>
      </c>
      <c r="BF28" s="536">
        <v>0</v>
      </c>
      <c r="BG28" s="76">
        <f t="shared" si="21"/>
        <v>0</v>
      </c>
      <c r="BH28" s="536">
        <v>0</v>
      </c>
      <c r="BI28" s="76">
        <f t="shared" si="22"/>
        <v>0</v>
      </c>
      <c r="BJ28" s="53">
        <f t="shared" si="36"/>
        <v>0</v>
      </c>
      <c r="BK28" s="53">
        <f t="shared" si="36"/>
        <v>0</v>
      </c>
      <c r="BL28" s="336" t="s">
        <v>469</v>
      </c>
      <c r="BN28" s="385"/>
      <c r="BO28" s="385"/>
      <c r="BP28" s="385"/>
      <c r="BQ28" s="385"/>
      <c r="BR28" s="385">
        <f>BN28+BO28+BP28+BQ28</f>
        <v>0</v>
      </c>
      <c r="BS28" s="385"/>
      <c r="BT28" s="385"/>
      <c r="BU28" s="385">
        <f>BS28+BT28</f>
        <v>0</v>
      </c>
      <c r="BV28" s="387">
        <f t="shared" si="5"/>
        <v>0</v>
      </c>
    </row>
    <row r="29" spans="1:74" ht="56.25" customHeight="1" x14ac:dyDescent="0.25">
      <c r="A29" s="900"/>
      <c r="B29" s="500"/>
      <c r="C29" s="38" t="s">
        <v>173</v>
      </c>
      <c r="D29" s="38" t="s">
        <v>129</v>
      </c>
      <c r="E29" s="235">
        <f>5*100000</f>
        <v>500000</v>
      </c>
      <c r="F29" s="538">
        <f>BJ29</f>
        <v>0</v>
      </c>
      <c r="G29" s="237">
        <f>E29*F29</f>
        <v>0</v>
      </c>
      <c r="H29" s="237">
        <f>G29*0</f>
        <v>0</v>
      </c>
      <c r="I29" s="237">
        <f>G29*0.826</f>
        <v>0</v>
      </c>
      <c r="J29" s="237">
        <f>G29*0.007</f>
        <v>0</v>
      </c>
      <c r="K29" s="237">
        <f>G29*0.076</f>
        <v>0</v>
      </c>
      <c r="L29" s="237">
        <f>G29*0.091</f>
        <v>0</v>
      </c>
      <c r="M29" s="237">
        <f>G29*0</f>
        <v>0</v>
      </c>
      <c r="N29" s="237">
        <f>G29*0</f>
        <v>0</v>
      </c>
      <c r="O29" s="537">
        <f>G29*0</f>
        <v>0</v>
      </c>
      <c r="P29" s="537">
        <f>G29*0</f>
        <v>0</v>
      </c>
      <c r="Q29" s="537">
        <f>G29*0</f>
        <v>0</v>
      </c>
      <c r="R29" s="273"/>
      <c r="S29" s="273"/>
      <c r="T29" s="273"/>
      <c r="U29" s="273"/>
      <c r="V29" s="76">
        <f t="shared" si="37"/>
        <v>0</v>
      </c>
      <c r="W29" s="76">
        <f t="shared" si="37"/>
        <v>0</v>
      </c>
      <c r="X29" s="76">
        <f t="shared" si="37"/>
        <v>0</v>
      </c>
      <c r="Y29" s="76">
        <f t="shared" si="37"/>
        <v>0</v>
      </c>
      <c r="Z29" s="536">
        <v>0</v>
      </c>
      <c r="AA29" s="76">
        <f t="shared" si="26"/>
        <v>0</v>
      </c>
      <c r="AB29" s="536">
        <v>0</v>
      </c>
      <c r="AC29" s="76">
        <f t="shared" si="27"/>
        <v>0</v>
      </c>
      <c r="AD29" s="536">
        <v>0</v>
      </c>
      <c r="AE29" s="76">
        <f t="shared" si="28"/>
        <v>0</v>
      </c>
      <c r="AF29" s="536">
        <v>0</v>
      </c>
      <c r="AG29" s="76">
        <f t="shared" si="9"/>
        <v>0</v>
      </c>
      <c r="AH29" s="536">
        <v>0</v>
      </c>
      <c r="AI29" s="76">
        <f t="shared" si="10"/>
        <v>0</v>
      </c>
      <c r="AJ29" s="410"/>
      <c r="AK29" s="76">
        <f>AJ29*E29</f>
        <v>0</v>
      </c>
      <c r="AL29" s="536">
        <v>0</v>
      </c>
      <c r="AM29" s="76">
        <f t="shared" si="12"/>
        <v>0</v>
      </c>
      <c r="AN29" s="410"/>
      <c r="AO29" s="76">
        <f>AN29*E29</f>
        <v>0</v>
      </c>
      <c r="AP29" s="536">
        <v>0</v>
      </c>
      <c r="AQ29" s="76">
        <f t="shared" si="14"/>
        <v>0</v>
      </c>
      <c r="AR29" s="536">
        <v>0</v>
      </c>
      <c r="AS29" s="76">
        <f t="shared" si="15"/>
        <v>0</v>
      </c>
      <c r="AT29" s="410"/>
      <c r="AU29" s="76">
        <f>AT29*E29</f>
        <v>0</v>
      </c>
      <c r="AV29" s="410"/>
      <c r="AW29" s="76">
        <f>AV29*E29</f>
        <v>0</v>
      </c>
      <c r="AX29" s="410"/>
      <c r="AY29" s="76">
        <f>AX29*E29</f>
        <v>0</v>
      </c>
      <c r="AZ29" s="536">
        <v>0</v>
      </c>
      <c r="BA29" s="76">
        <f t="shared" si="18"/>
        <v>0</v>
      </c>
      <c r="BB29" s="536">
        <v>0</v>
      </c>
      <c r="BC29" s="76">
        <f t="shared" si="19"/>
        <v>0</v>
      </c>
      <c r="BD29" s="536">
        <v>0</v>
      </c>
      <c r="BE29" s="76">
        <f t="shared" si="20"/>
        <v>0</v>
      </c>
      <c r="BF29" s="536">
        <v>0</v>
      </c>
      <c r="BG29" s="76">
        <f t="shared" si="21"/>
        <v>0</v>
      </c>
      <c r="BH29" s="536">
        <v>0</v>
      </c>
      <c r="BI29" s="76">
        <f t="shared" si="22"/>
        <v>0</v>
      </c>
      <c r="BJ29" s="53">
        <f t="shared" si="36"/>
        <v>0</v>
      </c>
      <c r="BK29" s="53">
        <f t="shared" si="36"/>
        <v>0</v>
      </c>
      <c r="BL29" s="336" t="s">
        <v>469</v>
      </c>
      <c r="BN29" s="385"/>
      <c r="BO29" s="385"/>
      <c r="BP29" s="385"/>
      <c r="BQ29" s="385"/>
      <c r="BR29" s="385">
        <f>BN29+BO29+BP29+BQ29</f>
        <v>0</v>
      </c>
      <c r="BS29" s="385"/>
      <c r="BT29" s="385"/>
      <c r="BU29" s="385">
        <f>BS29+BT29</f>
        <v>0</v>
      </c>
      <c r="BV29" s="387">
        <f t="shared" si="5"/>
        <v>0</v>
      </c>
    </row>
    <row r="30" spans="1:74" ht="47.25" x14ac:dyDescent="0.25">
      <c r="A30" s="900"/>
      <c r="B30" s="500"/>
      <c r="C30" s="38" t="s">
        <v>883</v>
      </c>
      <c r="D30" s="38" t="s">
        <v>169</v>
      </c>
      <c r="E30" s="235">
        <f>0.05*100000</f>
        <v>5000</v>
      </c>
      <c r="F30" s="538">
        <f>BJ30</f>
        <v>2520</v>
      </c>
      <c r="G30" s="237">
        <f>E30*F30</f>
        <v>12600000</v>
      </c>
      <c r="H30" s="237">
        <f>G30*0</f>
        <v>0</v>
      </c>
      <c r="I30" s="237">
        <f>G30*0.8</f>
        <v>10080000</v>
      </c>
      <c r="J30" s="237">
        <f>G30*0.2</f>
        <v>2520000</v>
      </c>
      <c r="K30" s="237">
        <f>G30*0</f>
        <v>0</v>
      </c>
      <c r="L30" s="237">
        <f>G30*0</f>
        <v>0</v>
      </c>
      <c r="M30" s="237">
        <f>G30*0</f>
        <v>0</v>
      </c>
      <c r="N30" s="237">
        <f>G30*0</f>
        <v>0</v>
      </c>
      <c r="O30" s="537">
        <f>G30*0</f>
        <v>0</v>
      </c>
      <c r="P30" s="537">
        <f>G30*0</f>
        <v>0</v>
      </c>
      <c r="Q30" s="537">
        <f>G30*0</f>
        <v>0</v>
      </c>
      <c r="R30" s="273"/>
      <c r="S30" s="273">
        <f>F30</f>
        <v>2520</v>
      </c>
      <c r="T30" s="273"/>
      <c r="U30" s="273"/>
      <c r="V30" s="76">
        <f>R30*2500</f>
        <v>0</v>
      </c>
      <c r="W30" s="76">
        <f>S30*E30</f>
        <v>12600000</v>
      </c>
      <c r="X30" s="76">
        <f>T30*2500</f>
        <v>0</v>
      </c>
      <c r="Y30" s="76">
        <f>U30*2500</f>
        <v>0</v>
      </c>
      <c r="Z30" s="54">
        <v>100</v>
      </c>
      <c r="AA30" s="76">
        <f t="shared" si="26"/>
        <v>500000</v>
      </c>
      <c r="AB30" s="54">
        <v>50</v>
      </c>
      <c r="AC30" s="76">
        <f t="shared" si="27"/>
        <v>250000</v>
      </c>
      <c r="AD30" s="54">
        <v>160</v>
      </c>
      <c r="AE30" s="76">
        <f t="shared" si="28"/>
        <v>800000</v>
      </c>
      <c r="AF30" s="54">
        <v>210</v>
      </c>
      <c r="AG30" s="76">
        <f t="shared" si="9"/>
        <v>1050000</v>
      </c>
      <c r="AH30" s="54">
        <v>90</v>
      </c>
      <c r="AI30" s="76">
        <f t="shared" si="10"/>
        <v>450000</v>
      </c>
      <c r="AJ30" s="410">
        <v>150</v>
      </c>
      <c r="AK30" s="76">
        <f>AJ30*E30</f>
        <v>750000</v>
      </c>
      <c r="AL30" s="54">
        <v>90</v>
      </c>
      <c r="AM30" s="76">
        <f t="shared" si="12"/>
        <v>450000</v>
      </c>
      <c r="AN30" s="410">
        <v>350</v>
      </c>
      <c r="AO30" s="76">
        <f>AN30*E30</f>
        <v>1750000</v>
      </c>
      <c r="AP30" s="54">
        <v>20</v>
      </c>
      <c r="AQ30" s="76">
        <f t="shared" si="14"/>
        <v>100000</v>
      </c>
      <c r="AR30" s="54">
        <v>80</v>
      </c>
      <c r="AS30" s="76">
        <f t="shared" si="15"/>
        <v>400000</v>
      </c>
      <c r="AT30" s="654">
        <v>200</v>
      </c>
      <c r="AU30" s="76">
        <f>AT30*E30</f>
        <v>1000000</v>
      </c>
      <c r="AV30" s="410">
        <v>100</v>
      </c>
      <c r="AW30" s="76">
        <f>AV30*E30</f>
        <v>500000</v>
      </c>
      <c r="AX30" s="410">
        <v>150</v>
      </c>
      <c r="AY30" s="76">
        <f>AX30*E30</f>
        <v>750000</v>
      </c>
      <c r="AZ30" s="54">
        <v>170</v>
      </c>
      <c r="BA30" s="76">
        <f t="shared" si="18"/>
        <v>850000</v>
      </c>
      <c r="BB30" s="54">
        <v>200</v>
      </c>
      <c r="BC30" s="76">
        <f t="shared" si="19"/>
        <v>1000000</v>
      </c>
      <c r="BD30" s="54">
        <v>200</v>
      </c>
      <c r="BE30" s="76">
        <f t="shared" si="20"/>
        <v>1000000</v>
      </c>
      <c r="BF30" s="54">
        <v>200</v>
      </c>
      <c r="BG30" s="76">
        <f t="shared" si="21"/>
        <v>1000000</v>
      </c>
      <c r="BH30" s="54">
        <v>0</v>
      </c>
      <c r="BI30" s="76">
        <f t="shared" si="22"/>
        <v>0</v>
      </c>
      <c r="BJ30" s="53">
        <f t="shared" si="36"/>
        <v>2520</v>
      </c>
      <c r="BK30" s="53">
        <f t="shared" si="36"/>
        <v>12600000</v>
      </c>
      <c r="BL30" s="336" t="s">
        <v>480</v>
      </c>
      <c r="BN30" s="385"/>
      <c r="BO30" s="385"/>
      <c r="BP30" s="385">
        <f>G30</f>
        <v>12600000</v>
      </c>
      <c r="BQ30" s="385"/>
      <c r="BR30" s="385">
        <f>BN30+BO30+BP30+BQ30</f>
        <v>12600000</v>
      </c>
      <c r="BS30" s="385"/>
      <c r="BT30" s="385"/>
      <c r="BU30" s="385">
        <f>BS30+BT30</f>
        <v>0</v>
      </c>
      <c r="BV30" s="387">
        <f t="shared" si="5"/>
        <v>12600000</v>
      </c>
    </row>
    <row r="31" spans="1:74" s="275" customFormat="1" x14ac:dyDescent="0.25">
      <c r="A31" s="900"/>
      <c r="B31" s="288"/>
      <c r="C31" s="288"/>
      <c r="D31" s="288"/>
      <c r="E31" s="402"/>
      <c r="F31" s="402">
        <f>SUM(F28:F30)</f>
        <v>2520</v>
      </c>
      <c r="G31" s="507">
        <f>SUM(G26:G30)</f>
        <v>12600000</v>
      </c>
      <c r="H31" s="507">
        <f t="shared" ref="H31:Q31" si="38">SUM(H28:H30)</f>
        <v>0</v>
      </c>
      <c r="I31" s="507">
        <f t="shared" si="38"/>
        <v>10080000</v>
      </c>
      <c r="J31" s="507">
        <f t="shared" si="38"/>
        <v>2520000</v>
      </c>
      <c r="K31" s="507">
        <f t="shared" si="38"/>
        <v>0</v>
      </c>
      <c r="L31" s="507">
        <f t="shared" si="38"/>
        <v>0</v>
      </c>
      <c r="M31" s="507">
        <f t="shared" si="38"/>
        <v>0</v>
      </c>
      <c r="N31" s="507">
        <f t="shared" si="38"/>
        <v>0</v>
      </c>
      <c r="O31" s="507">
        <f t="shared" si="38"/>
        <v>0</v>
      </c>
      <c r="P31" s="507">
        <f t="shared" si="38"/>
        <v>0</v>
      </c>
      <c r="Q31" s="507">
        <f t="shared" si="38"/>
        <v>0</v>
      </c>
      <c r="R31" s="402">
        <f t="shared" ref="R31:Y31" si="39">SUM(R28:R30)</f>
        <v>0</v>
      </c>
      <c r="S31" s="402">
        <f t="shared" si="39"/>
        <v>2520</v>
      </c>
      <c r="T31" s="402">
        <f t="shared" si="39"/>
        <v>0</v>
      </c>
      <c r="U31" s="402">
        <f t="shared" si="39"/>
        <v>0</v>
      </c>
      <c r="V31" s="507">
        <f t="shared" si="39"/>
        <v>0</v>
      </c>
      <c r="W31" s="507">
        <f t="shared" si="39"/>
        <v>12600000</v>
      </c>
      <c r="X31" s="507">
        <f t="shared" si="39"/>
        <v>0</v>
      </c>
      <c r="Y31" s="507">
        <f t="shared" si="39"/>
        <v>0</v>
      </c>
      <c r="Z31" s="549">
        <f>SUM(Z26:Z30)</f>
        <v>100</v>
      </c>
      <c r="AA31" s="549">
        <f t="shared" ref="AA31:BK31" si="40">SUM(AA26:AA30)</f>
        <v>500000</v>
      </c>
      <c r="AB31" s="549">
        <f t="shared" si="40"/>
        <v>50</v>
      </c>
      <c r="AC31" s="549">
        <f t="shared" si="40"/>
        <v>250000</v>
      </c>
      <c r="AD31" s="549">
        <f t="shared" si="40"/>
        <v>160</v>
      </c>
      <c r="AE31" s="549">
        <f t="shared" si="40"/>
        <v>800000</v>
      </c>
      <c r="AF31" s="549">
        <f t="shared" si="40"/>
        <v>210</v>
      </c>
      <c r="AG31" s="549">
        <f t="shared" si="40"/>
        <v>1050000</v>
      </c>
      <c r="AH31" s="549">
        <f t="shared" si="40"/>
        <v>90</v>
      </c>
      <c r="AI31" s="549">
        <f t="shared" si="40"/>
        <v>450000</v>
      </c>
      <c r="AJ31" s="549">
        <f t="shared" si="40"/>
        <v>150</v>
      </c>
      <c r="AK31" s="549">
        <f t="shared" si="40"/>
        <v>750000</v>
      </c>
      <c r="AL31" s="549">
        <f t="shared" si="40"/>
        <v>90</v>
      </c>
      <c r="AM31" s="549">
        <f t="shared" si="40"/>
        <v>450000</v>
      </c>
      <c r="AN31" s="549">
        <f t="shared" si="40"/>
        <v>350</v>
      </c>
      <c r="AO31" s="549">
        <f t="shared" si="40"/>
        <v>1750000</v>
      </c>
      <c r="AP31" s="549">
        <f t="shared" si="40"/>
        <v>20</v>
      </c>
      <c r="AQ31" s="549">
        <f t="shared" si="40"/>
        <v>100000</v>
      </c>
      <c r="AR31" s="549">
        <f t="shared" si="40"/>
        <v>80</v>
      </c>
      <c r="AS31" s="549">
        <f t="shared" si="40"/>
        <v>400000</v>
      </c>
      <c r="AT31" s="549">
        <f t="shared" si="40"/>
        <v>200</v>
      </c>
      <c r="AU31" s="549">
        <f t="shared" si="40"/>
        <v>1000000</v>
      </c>
      <c r="AV31" s="549">
        <f t="shared" si="40"/>
        <v>100</v>
      </c>
      <c r="AW31" s="549">
        <f t="shared" si="40"/>
        <v>500000</v>
      </c>
      <c r="AX31" s="549">
        <f t="shared" si="40"/>
        <v>150</v>
      </c>
      <c r="AY31" s="549">
        <f t="shared" si="40"/>
        <v>750000</v>
      </c>
      <c r="AZ31" s="549">
        <f t="shared" si="40"/>
        <v>170</v>
      </c>
      <c r="BA31" s="549">
        <f t="shared" si="40"/>
        <v>850000</v>
      </c>
      <c r="BB31" s="549">
        <f t="shared" si="40"/>
        <v>200</v>
      </c>
      <c r="BC31" s="549">
        <f t="shared" si="40"/>
        <v>1000000</v>
      </c>
      <c r="BD31" s="549">
        <f t="shared" si="40"/>
        <v>200</v>
      </c>
      <c r="BE31" s="549">
        <f t="shared" si="40"/>
        <v>1000000</v>
      </c>
      <c r="BF31" s="549">
        <f t="shared" si="40"/>
        <v>200</v>
      </c>
      <c r="BG31" s="549">
        <f t="shared" si="40"/>
        <v>1000000</v>
      </c>
      <c r="BH31" s="549">
        <f t="shared" si="40"/>
        <v>0</v>
      </c>
      <c r="BI31" s="549">
        <f t="shared" si="40"/>
        <v>0</v>
      </c>
      <c r="BJ31" s="549">
        <f>SUM(BJ26:BJ30)</f>
        <v>2520</v>
      </c>
      <c r="BK31" s="549">
        <f t="shared" si="40"/>
        <v>12600000</v>
      </c>
      <c r="BL31" s="421"/>
      <c r="BN31" s="507">
        <f t="shared" ref="BN31:BU31" si="41">SUM(BN28:BN30)</f>
        <v>0</v>
      </c>
      <c r="BO31" s="507">
        <f t="shared" si="41"/>
        <v>0</v>
      </c>
      <c r="BP31" s="507">
        <f t="shared" si="41"/>
        <v>12600000</v>
      </c>
      <c r="BQ31" s="507">
        <f t="shared" si="41"/>
        <v>0</v>
      </c>
      <c r="BR31" s="507">
        <f t="shared" si="41"/>
        <v>12600000</v>
      </c>
      <c r="BS31" s="507">
        <f t="shared" si="41"/>
        <v>0</v>
      </c>
      <c r="BT31" s="507">
        <f t="shared" si="41"/>
        <v>0</v>
      </c>
      <c r="BU31" s="507">
        <f t="shared" si="41"/>
        <v>0</v>
      </c>
      <c r="BV31" s="481">
        <f t="shared" si="5"/>
        <v>12600000</v>
      </c>
    </row>
    <row r="32" spans="1:74" x14ac:dyDescent="0.25">
      <c r="A32" s="900"/>
      <c r="B32" s="38">
        <v>22220</v>
      </c>
      <c r="C32" s="38" t="s">
        <v>738</v>
      </c>
      <c r="D32" s="38" t="s">
        <v>17</v>
      </c>
      <c r="E32" s="235">
        <v>0</v>
      </c>
      <c r="F32" s="536">
        <v>0</v>
      </c>
      <c r="G32" s="237">
        <f>E32*F32</f>
        <v>0</v>
      </c>
      <c r="H32" s="237">
        <f>G32*0</f>
        <v>0</v>
      </c>
      <c r="I32" s="237">
        <f>G32*0.8</f>
        <v>0</v>
      </c>
      <c r="J32" s="237">
        <f>G32*0</f>
        <v>0</v>
      </c>
      <c r="K32" s="237">
        <f>G32*0.2</f>
        <v>0</v>
      </c>
      <c r="L32" s="237">
        <f>G32*0</f>
        <v>0</v>
      </c>
      <c r="M32" s="237">
        <f>G32*0</f>
        <v>0</v>
      </c>
      <c r="N32" s="237">
        <f>G32*0</f>
        <v>0</v>
      </c>
      <c r="O32" s="537">
        <f>G32*0</f>
        <v>0</v>
      </c>
      <c r="P32" s="537">
        <f>G32*0</f>
        <v>0</v>
      </c>
      <c r="Q32" s="537">
        <f>G32*0</f>
        <v>0</v>
      </c>
      <c r="R32" s="273"/>
      <c r="S32" s="273">
        <f>F32*0.4</f>
        <v>0</v>
      </c>
      <c r="T32" s="273">
        <f>F32*0.3</f>
        <v>0</v>
      </c>
      <c r="U32" s="273">
        <f>F32*0.3</f>
        <v>0</v>
      </c>
      <c r="V32" s="76">
        <f>R32*12500</f>
        <v>0</v>
      </c>
      <c r="W32" s="76">
        <f>S32*12500</f>
        <v>0</v>
      </c>
      <c r="X32" s="76">
        <f>T32*12500</f>
        <v>0</v>
      </c>
      <c r="Y32" s="76">
        <f>U32*12500</f>
        <v>0</v>
      </c>
      <c r="Z32" s="54">
        <v>0</v>
      </c>
      <c r="AA32" s="76">
        <f t="shared" si="26"/>
        <v>0</v>
      </c>
      <c r="AB32" s="54">
        <v>0</v>
      </c>
      <c r="AC32" s="76">
        <f t="shared" si="27"/>
        <v>0</v>
      </c>
      <c r="AD32" s="54">
        <v>0</v>
      </c>
      <c r="AE32" s="76">
        <f t="shared" si="28"/>
        <v>0</v>
      </c>
      <c r="AF32" s="54">
        <v>0</v>
      </c>
      <c r="AG32" s="76">
        <f t="shared" si="9"/>
        <v>0</v>
      </c>
      <c r="AH32" s="54">
        <v>0</v>
      </c>
      <c r="AI32" s="76">
        <f t="shared" si="10"/>
        <v>0</v>
      </c>
      <c r="AJ32" s="410"/>
      <c r="AK32" s="76">
        <f>AJ32*E32</f>
        <v>0</v>
      </c>
      <c r="AL32" s="54">
        <v>0</v>
      </c>
      <c r="AM32" s="76">
        <f t="shared" si="12"/>
        <v>0</v>
      </c>
      <c r="AN32" s="410"/>
      <c r="AO32" s="76">
        <f>AN32*G32</f>
        <v>0</v>
      </c>
      <c r="AP32" s="54">
        <v>0</v>
      </c>
      <c r="AQ32" s="76">
        <f t="shared" si="14"/>
        <v>0</v>
      </c>
      <c r="AR32" s="54">
        <v>0</v>
      </c>
      <c r="AS32" s="76">
        <f t="shared" si="15"/>
        <v>0</v>
      </c>
      <c r="AT32" s="410"/>
      <c r="AU32" s="76">
        <f>AT32*E32</f>
        <v>0</v>
      </c>
      <c r="AV32" s="410"/>
      <c r="AW32" s="76">
        <f>AV32*E32</f>
        <v>0</v>
      </c>
      <c r="AX32" s="410"/>
      <c r="AY32" s="76">
        <f>AX32*E32</f>
        <v>0</v>
      </c>
      <c r="AZ32" s="54">
        <v>0</v>
      </c>
      <c r="BA32" s="76">
        <f t="shared" si="18"/>
        <v>0</v>
      </c>
      <c r="BB32" s="54">
        <v>0</v>
      </c>
      <c r="BC32" s="76">
        <f t="shared" si="19"/>
        <v>0</v>
      </c>
      <c r="BD32" s="54">
        <v>0</v>
      </c>
      <c r="BE32" s="76">
        <f t="shared" si="20"/>
        <v>0</v>
      </c>
      <c r="BF32" s="54">
        <v>0</v>
      </c>
      <c r="BG32" s="76">
        <f t="shared" si="21"/>
        <v>0</v>
      </c>
      <c r="BH32" s="54">
        <v>0</v>
      </c>
      <c r="BI32" s="76">
        <f t="shared" si="22"/>
        <v>0</v>
      </c>
      <c r="BJ32" s="53">
        <f>Z32+AB32+AD32+AF32+AH32+AL32+AP32+AR32+AZ32+BB32+BD32+BF32+BH32+AJ32+AT32+AV32+AX32+AN32</f>
        <v>0</v>
      </c>
      <c r="BK32" s="53">
        <f>AA32+AC32+AE32+AG32+AI32+AM32+AQ32+AS32+BA32+BC32+BE32+BG32+BI32+AK32+AU32+AW32+AY32+AO32</f>
        <v>0</v>
      </c>
      <c r="BL32" s="336" t="s">
        <v>471</v>
      </c>
      <c r="BN32" s="385"/>
      <c r="BO32" s="385"/>
      <c r="BP32" s="385">
        <f>G32</f>
        <v>0</v>
      </c>
      <c r="BQ32" s="385"/>
      <c r="BR32" s="385">
        <f>BN32+BO32+BP32+BQ32</f>
        <v>0</v>
      </c>
      <c r="BS32" s="385"/>
      <c r="BT32" s="385"/>
      <c r="BU32" s="385">
        <f>BS32+BT32</f>
        <v>0</v>
      </c>
      <c r="BV32" s="387">
        <f t="shared" si="5"/>
        <v>0</v>
      </c>
    </row>
    <row r="33" spans="1:74" s="275" customFormat="1" x14ac:dyDescent="0.25">
      <c r="A33" s="900"/>
      <c r="B33" s="288"/>
      <c r="C33" s="288"/>
      <c r="D33" s="288"/>
      <c r="E33" s="402"/>
      <c r="F33" s="402">
        <f>SUM(F32)</f>
        <v>0</v>
      </c>
      <c r="G33" s="507">
        <f>SUM(G32)</f>
        <v>0</v>
      </c>
      <c r="H33" s="507">
        <f t="shared" ref="H33:Q33" si="42">SUM(H32)</f>
        <v>0</v>
      </c>
      <c r="I33" s="507">
        <f t="shared" si="42"/>
        <v>0</v>
      </c>
      <c r="J33" s="507">
        <f t="shared" si="42"/>
        <v>0</v>
      </c>
      <c r="K33" s="507">
        <f t="shared" si="42"/>
        <v>0</v>
      </c>
      <c r="L33" s="507">
        <f t="shared" si="42"/>
        <v>0</v>
      </c>
      <c r="M33" s="507">
        <f t="shared" si="42"/>
        <v>0</v>
      </c>
      <c r="N33" s="507">
        <f t="shared" si="42"/>
        <v>0</v>
      </c>
      <c r="O33" s="507">
        <f t="shared" si="42"/>
        <v>0</v>
      </c>
      <c r="P33" s="507">
        <f t="shared" si="42"/>
        <v>0</v>
      </c>
      <c r="Q33" s="507">
        <f t="shared" si="42"/>
        <v>0</v>
      </c>
      <c r="R33" s="402">
        <f t="shared" ref="R33:Y33" si="43">SUM(R32)</f>
        <v>0</v>
      </c>
      <c r="S33" s="402">
        <f t="shared" si="43"/>
        <v>0</v>
      </c>
      <c r="T33" s="402">
        <f t="shared" si="43"/>
        <v>0</v>
      </c>
      <c r="U33" s="402">
        <f t="shared" si="43"/>
        <v>0</v>
      </c>
      <c r="V33" s="507">
        <f t="shared" si="43"/>
        <v>0</v>
      </c>
      <c r="W33" s="507">
        <f t="shared" si="43"/>
        <v>0</v>
      </c>
      <c r="X33" s="507">
        <f t="shared" si="43"/>
        <v>0</v>
      </c>
      <c r="Y33" s="507">
        <f t="shared" si="43"/>
        <v>0</v>
      </c>
      <c r="Z33" s="402">
        <f t="shared" ref="Z33:BK33" si="44">SUM(Z32)</f>
        <v>0</v>
      </c>
      <c r="AA33" s="402">
        <f t="shared" si="44"/>
        <v>0</v>
      </c>
      <c r="AB33" s="402">
        <f t="shared" si="44"/>
        <v>0</v>
      </c>
      <c r="AC33" s="402">
        <f t="shared" si="44"/>
        <v>0</v>
      </c>
      <c r="AD33" s="402">
        <f t="shared" si="44"/>
        <v>0</v>
      </c>
      <c r="AE33" s="402">
        <f t="shared" si="44"/>
        <v>0</v>
      </c>
      <c r="AF33" s="402">
        <f t="shared" si="44"/>
        <v>0</v>
      </c>
      <c r="AG33" s="402">
        <f t="shared" si="44"/>
        <v>0</v>
      </c>
      <c r="AH33" s="402">
        <f t="shared" si="44"/>
        <v>0</v>
      </c>
      <c r="AI33" s="402">
        <f t="shared" si="44"/>
        <v>0</v>
      </c>
      <c r="AJ33" s="402">
        <f t="shared" si="44"/>
        <v>0</v>
      </c>
      <c r="AK33" s="402">
        <f t="shared" si="44"/>
        <v>0</v>
      </c>
      <c r="AL33" s="402">
        <f t="shared" si="44"/>
        <v>0</v>
      </c>
      <c r="AM33" s="402">
        <f t="shared" si="44"/>
        <v>0</v>
      </c>
      <c r="AN33" s="402">
        <f t="shared" si="44"/>
        <v>0</v>
      </c>
      <c r="AO33" s="402">
        <f t="shared" si="44"/>
        <v>0</v>
      </c>
      <c r="AP33" s="402">
        <f t="shared" si="44"/>
        <v>0</v>
      </c>
      <c r="AQ33" s="402">
        <f t="shared" si="44"/>
        <v>0</v>
      </c>
      <c r="AR33" s="402">
        <f t="shared" si="44"/>
        <v>0</v>
      </c>
      <c r="AS33" s="402">
        <f t="shared" si="44"/>
        <v>0</v>
      </c>
      <c r="AT33" s="402">
        <f t="shared" si="44"/>
        <v>0</v>
      </c>
      <c r="AU33" s="402">
        <f t="shared" si="44"/>
        <v>0</v>
      </c>
      <c r="AV33" s="402">
        <f t="shared" si="44"/>
        <v>0</v>
      </c>
      <c r="AW33" s="402">
        <f t="shared" si="44"/>
        <v>0</v>
      </c>
      <c r="AX33" s="402">
        <f t="shared" si="44"/>
        <v>0</v>
      </c>
      <c r="AY33" s="402">
        <f t="shared" si="44"/>
        <v>0</v>
      </c>
      <c r="AZ33" s="402">
        <f t="shared" si="44"/>
        <v>0</v>
      </c>
      <c r="BA33" s="402">
        <f t="shared" si="44"/>
        <v>0</v>
      </c>
      <c r="BB33" s="402">
        <f t="shared" si="44"/>
        <v>0</v>
      </c>
      <c r="BC33" s="402">
        <f t="shared" si="44"/>
        <v>0</v>
      </c>
      <c r="BD33" s="402">
        <f t="shared" si="44"/>
        <v>0</v>
      </c>
      <c r="BE33" s="402">
        <f t="shared" si="44"/>
        <v>0</v>
      </c>
      <c r="BF33" s="402">
        <f t="shared" si="44"/>
        <v>0</v>
      </c>
      <c r="BG33" s="402">
        <f t="shared" si="44"/>
        <v>0</v>
      </c>
      <c r="BH33" s="402">
        <f t="shared" si="44"/>
        <v>0</v>
      </c>
      <c r="BI33" s="402">
        <f t="shared" si="44"/>
        <v>0</v>
      </c>
      <c r="BJ33" s="402">
        <f t="shared" si="44"/>
        <v>0</v>
      </c>
      <c r="BK33" s="402">
        <f t="shared" si="44"/>
        <v>0</v>
      </c>
      <c r="BL33" s="421"/>
      <c r="BN33" s="507">
        <f t="shared" ref="BN33:BU33" si="45">SUM(BN32)</f>
        <v>0</v>
      </c>
      <c r="BO33" s="507">
        <f t="shared" si="45"/>
        <v>0</v>
      </c>
      <c r="BP33" s="507">
        <f t="shared" si="45"/>
        <v>0</v>
      </c>
      <c r="BQ33" s="507">
        <f t="shared" si="45"/>
        <v>0</v>
      </c>
      <c r="BR33" s="507">
        <f t="shared" si="45"/>
        <v>0</v>
      </c>
      <c r="BS33" s="507">
        <f t="shared" si="45"/>
        <v>0</v>
      </c>
      <c r="BT33" s="507">
        <f t="shared" si="45"/>
        <v>0</v>
      </c>
      <c r="BU33" s="507">
        <f t="shared" si="45"/>
        <v>0</v>
      </c>
      <c r="BV33" s="481">
        <f t="shared" si="5"/>
        <v>0</v>
      </c>
    </row>
    <row r="34" spans="1:74" s="275" customFormat="1" x14ac:dyDescent="0.25">
      <c r="A34" s="901"/>
      <c r="B34" s="426"/>
      <c r="C34" s="550" t="s">
        <v>13</v>
      </c>
      <c r="D34" s="550"/>
      <c r="E34" s="490"/>
      <c r="F34" s="551">
        <f>F33+F31+F25+F21+F17</f>
        <v>4809</v>
      </c>
      <c r="G34" s="551">
        <f>G33+G31+G25+G21+G17</f>
        <v>40154000</v>
      </c>
      <c r="H34" s="551">
        <f t="shared" ref="H34:Y34" si="46">H33+H31+H25+H21+H17</f>
        <v>5510800</v>
      </c>
      <c r="I34" s="551">
        <f t="shared" si="46"/>
        <v>32123200</v>
      </c>
      <c r="J34" s="551">
        <f t="shared" si="46"/>
        <v>2520000</v>
      </c>
      <c r="K34" s="551">
        <f t="shared" si="46"/>
        <v>0</v>
      </c>
      <c r="L34" s="551">
        <f t="shared" si="46"/>
        <v>0</v>
      </c>
      <c r="M34" s="551">
        <f t="shared" si="46"/>
        <v>0</v>
      </c>
      <c r="N34" s="551">
        <f t="shared" si="46"/>
        <v>0</v>
      </c>
      <c r="O34" s="551">
        <f t="shared" si="46"/>
        <v>0</v>
      </c>
      <c r="P34" s="551">
        <f t="shared" si="46"/>
        <v>0</v>
      </c>
      <c r="Q34" s="551">
        <f t="shared" si="46"/>
        <v>0</v>
      </c>
      <c r="R34" s="551">
        <f t="shared" si="46"/>
        <v>0</v>
      </c>
      <c r="S34" s="551">
        <f t="shared" si="46"/>
        <v>4544.5</v>
      </c>
      <c r="T34" s="551">
        <f t="shared" si="46"/>
        <v>247.5</v>
      </c>
      <c r="U34" s="551">
        <f t="shared" si="46"/>
        <v>0</v>
      </c>
      <c r="V34" s="551">
        <f t="shared" si="46"/>
        <v>0</v>
      </c>
      <c r="W34" s="551">
        <f t="shared" si="46"/>
        <v>32579000</v>
      </c>
      <c r="X34" s="551">
        <f t="shared" si="46"/>
        <v>2475000</v>
      </c>
      <c r="Y34" s="551">
        <f t="shared" si="46"/>
        <v>0</v>
      </c>
      <c r="Z34" s="551">
        <f>Z33+Z31+Z25+Z21+Z17</f>
        <v>251</v>
      </c>
      <c r="AA34" s="551">
        <f t="shared" ref="AA34:BK34" si="47">AA33+AA31+AA25+AA21+AA17</f>
        <v>2300000</v>
      </c>
      <c r="AB34" s="551">
        <f t="shared" si="47"/>
        <v>128</v>
      </c>
      <c r="AC34" s="551">
        <f t="shared" si="47"/>
        <v>1384000</v>
      </c>
      <c r="AD34" s="551">
        <f t="shared" si="47"/>
        <v>316</v>
      </c>
      <c r="AE34" s="551">
        <f t="shared" si="47"/>
        <v>2605000</v>
      </c>
      <c r="AF34" s="551">
        <f t="shared" si="47"/>
        <v>391</v>
      </c>
      <c r="AG34" s="551">
        <f t="shared" si="47"/>
        <v>3050000</v>
      </c>
      <c r="AH34" s="551">
        <f t="shared" si="47"/>
        <v>206</v>
      </c>
      <c r="AI34" s="551">
        <f t="shared" si="47"/>
        <v>1940000</v>
      </c>
      <c r="AJ34" s="551">
        <f t="shared" si="47"/>
        <v>276</v>
      </c>
      <c r="AK34" s="551">
        <f t="shared" si="47"/>
        <v>2245000</v>
      </c>
      <c r="AL34" s="551">
        <f t="shared" si="47"/>
        <v>211</v>
      </c>
      <c r="AM34" s="551">
        <f t="shared" si="47"/>
        <v>2040000</v>
      </c>
      <c r="AN34" s="551">
        <f t="shared" si="47"/>
        <v>511</v>
      </c>
      <c r="AO34" s="551">
        <f t="shared" si="47"/>
        <v>3550000</v>
      </c>
      <c r="AP34" s="551">
        <f t="shared" si="47"/>
        <v>71</v>
      </c>
      <c r="AQ34" s="551">
        <f t="shared" si="47"/>
        <v>910000</v>
      </c>
      <c r="AR34" s="551">
        <f t="shared" si="47"/>
        <v>186</v>
      </c>
      <c r="AS34" s="551">
        <f t="shared" si="47"/>
        <v>1805000</v>
      </c>
      <c r="AT34" s="551">
        <f t="shared" si="47"/>
        <v>311</v>
      </c>
      <c r="AU34" s="551">
        <f t="shared" si="47"/>
        <v>2425000</v>
      </c>
      <c r="AV34" s="551">
        <f t="shared" si="47"/>
        <v>221</v>
      </c>
      <c r="AW34" s="551">
        <f t="shared" si="47"/>
        <v>1975000</v>
      </c>
      <c r="AX34" s="551">
        <f t="shared" si="47"/>
        <v>246</v>
      </c>
      <c r="AY34" s="551">
        <f t="shared" si="47"/>
        <v>1945000</v>
      </c>
      <c r="AZ34" s="551">
        <f t="shared" si="47"/>
        <v>331</v>
      </c>
      <c r="BA34" s="551">
        <f t="shared" si="47"/>
        <v>2730000</v>
      </c>
      <c r="BB34" s="551">
        <f t="shared" si="47"/>
        <v>421</v>
      </c>
      <c r="BC34" s="551">
        <f t="shared" si="47"/>
        <v>3500000</v>
      </c>
      <c r="BD34" s="551">
        <f t="shared" si="47"/>
        <v>376</v>
      </c>
      <c r="BE34" s="551">
        <f t="shared" si="47"/>
        <v>2950000</v>
      </c>
      <c r="BF34" s="551">
        <f t="shared" si="47"/>
        <v>356</v>
      </c>
      <c r="BG34" s="551">
        <f t="shared" si="47"/>
        <v>2800000</v>
      </c>
      <c r="BH34" s="551">
        <f t="shared" si="47"/>
        <v>0</v>
      </c>
      <c r="BI34" s="551">
        <f t="shared" si="47"/>
        <v>0</v>
      </c>
      <c r="BJ34" s="551">
        <f t="shared" si="47"/>
        <v>4809</v>
      </c>
      <c r="BK34" s="551">
        <f t="shared" si="47"/>
        <v>40154000</v>
      </c>
      <c r="BL34" s="421"/>
      <c r="BN34" s="490">
        <f t="shared" ref="BN34:BU34" si="48">BN33+BN31+BN25+BN21+BN17</f>
        <v>5100000</v>
      </c>
      <c r="BO34" s="490">
        <f t="shared" si="48"/>
        <v>14379000</v>
      </c>
      <c r="BP34" s="490">
        <f t="shared" si="48"/>
        <v>20675000</v>
      </c>
      <c r="BQ34" s="490">
        <f t="shared" si="48"/>
        <v>0</v>
      </c>
      <c r="BR34" s="490">
        <f t="shared" si="48"/>
        <v>40154000</v>
      </c>
      <c r="BS34" s="490">
        <f t="shared" si="48"/>
        <v>0</v>
      </c>
      <c r="BT34" s="490">
        <f t="shared" si="48"/>
        <v>0</v>
      </c>
      <c r="BU34" s="490">
        <f t="shared" si="48"/>
        <v>0</v>
      </c>
      <c r="BV34" s="387">
        <f t="shared" si="5"/>
        <v>40154000</v>
      </c>
    </row>
    <row r="35" spans="1:74" x14ac:dyDescent="0.25">
      <c r="C35" s="39" t="s">
        <v>507</v>
      </c>
      <c r="AB35" s="461"/>
      <c r="AD35" s="461"/>
      <c r="AF35" s="461"/>
      <c r="AH35" s="461"/>
      <c r="AJ35" s="461"/>
      <c r="AL35" s="461"/>
      <c r="AN35" s="461"/>
      <c r="AP35" s="461"/>
      <c r="AR35" s="461"/>
      <c r="AT35" s="461"/>
      <c r="AV35" s="461"/>
      <c r="AX35" s="461"/>
      <c r="AZ35" s="461"/>
      <c r="BB35" s="461"/>
      <c r="BD35" s="461"/>
      <c r="BF35" s="461"/>
      <c r="BH35" s="461"/>
      <c r="BJ35" s="461"/>
    </row>
    <row r="36" spans="1:74" x14ac:dyDescent="0.25">
      <c r="C36" s="39" t="s">
        <v>546</v>
      </c>
    </row>
    <row r="37" spans="1:74" x14ac:dyDescent="0.25">
      <c r="C37" s="39" t="s">
        <v>547</v>
      </c>
    </row>
    <row r="38" spans="1:74" x14ac:dyDescent="0.25">
      <c r="C38" s="39" t="s">
        <v>859</v>
      </c>
    </row>
    <row r="39" spans="1:74" x14ac:dyDescent="0.25">
      <c r="C39" s="39" t="s">
        <v>548</v>
      </c>
    </row>
    <row r="40" spans="1:74" x14ac:dyDescent="0.25">
      <c r="C40" s="39" t="s">
        <v>549</v>
      </c>
    </row>
    <row r="41" spans="1:74" x14ac:dyDescent="0.25">
      <c r="C41" s="39" t="s">
        <v>550</v>
      </c>
    </row>
    <row r="42" spans="1:74" x14ac:dyDescent="0.25">
      <c r="C42" s="39" t="s">
        <v>858</v>
      </c>
    </row>
    <row r="43" spans="1:74" x14ac:dyDescent="0.25">
      <c r="C43" s="39" t="s">
        <v>551</v>
      </c>
    </row>
    <row r="44" spans="1:74" x14ac:dyDescent="0.25">
      <c r="C44" s="39"/>
    </row>
  </sheetData>
  <mergeCells count="41">
    <mergeCell ref="BV7:BV8"/>
    <mergeCell ref="BF6:BG7"/>
    <mergeCell ref="BH6:BI7"/>
    <mergeCell ref="BJ6:BK7"/>
    <mergeCell ref="BB6:BC7"/>
    <mergeCell ref="BL6:BL8"/>
    <mergeCell ref="BN7:BR7"/>
    <mergeCell ref="BS7:BU7"/>
    <mergeCell ref="BD6:BE7"/>
    <mergeCell ref="A1:B1"/>
    <mergeCell ref="C1:Q1"/>
    <mergeCell ref="A2:B2"/>
    <mergeCell ref="C2:Q2"/>
    <mergeCell ref="G7:G8"/>
    <mergeCell ref="A6:D6"/>
    <mergeCell ref="H6:Q6"/>
    <mergeCell ref="A3:B3"/>
    <mergeCell ref="C3:Q3"/>
    <mergeCell ref="A4:B4"/>
    <mergeCell ref="C4:Q4"/>
    <mergeCell ref="A5:B5"/>
    <mergeCell ref="C7:C8"/>
    <mergeCell ref="C5:Q5"/>
    <mergeCell ref="E6:G6"/>
    <mergeCell ref="A9:A34"/>
    <mergeCell ref="AT6:AU7"/>
    <mergeCell ref="AV6:AW7"/>
    <mergeCell ref="AX6:AY7"/>
    <mergeCell ref="AF6:AG7"/>
    <mergeCell ref="AR6:AS7"/>
    <mergeCell ref="AZ6:BA7"/>
    <mergeCell ref="AH6:AI7"/>
    <mergeCell ref="AN6:AO7"/>
    <mergeCell ref="V6:Y7"/>
    <mergeCell ref="R6:U7"/>
    <mergeCell ref="AJ6:AK7"/>
    <mergeCell ref="AL6:AM7"/>
    <mergeCell ref="Z6:AA7"/>
    <mergeCell ref="AB6:AC7"/>
    <mergeCell ref="AD6:AE7"/>
    <mergeCell ref="AP6:AQ7"/>
  </mergeCells>
  <pageMargins left="0.27" right="0.38" top="0.75" bottom="0.75" header="0.3" footer="0.3"/>
  <pageSetup paperSize="9"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CB70"/>
  <sheetViews>
    <sheetView zoomScale="80" zoomScaleNormal="80" workbookViewId="0">
      <pane xSplit="7" ySplit="8" topLeftCell="H42" activePane="bottomRight" state="frozen"/>
      <selection pane="topRight" activeCell="H1" sqref="H1"/>
      <selection pane="bottomLeft" activeCell="A9" sqref="A9"/>
      <selection pane="bottomRight" activeCell="F22" sqref="F22"/>
    </sheetView>
  </sheetViews>
  <sheetFormatPr defaultRowHeight="15.75" x14ac:dyDescent="0.25"/>
  <cols>
    <col min="1" max="1" width="9.28515625" style="106" customWidth="1"/>
    <col min="2" max="2" width="9" style="106" customWidth="1"/>
    <col min="3" max="3" width="42" style="106" customWidth="1"/>
    <col min="4" max="4" width="11.85546875" style="106" customWidth="1"/>
    <col min="5" max="5" width="15.28515625" style="106" bestFit="1" customWidth="1"/>
    <col min="6" max="6" width="11.28515625" style="106" customWidth="1"/>
    <col min="7" max="9" width="17.140625" style="460" bestFit="1" customWidth="1"/>
    <col min="10" max="10" width="15.28515625" style="460" bestFit="1" customWidth="1"/>
    <col min="11" max="11" width="9.85546875" style="460" customWidth="1"/>
    <col min="12" max="12" width="15.85546875" style="460" customWidth="1"/>
    <col min="13" max="13" width="7" style="460" customWidth="1"/>
    <col min="14" max="14" width="5.5703125" style="460" customWidth="1"/>
    <col min="15" max="15" width="7.140625" style="460" customWidth="1"/>
    <col min="16" max="16" width="15.28515625" style="460" bestFit="1" customWidth="1"/>
    <col min="17" max="17" width="18.140625" style="460" customWidth="1"/>
    <col min="18" max="18" width="8.140625" style="106" customWidth="1"/>
    <col min="19" max="19" width="10.85546875" style="106" customWidth="1"/>
    <col min="20" max="20" width="11.28515625" style="106" customWidth="1"/>
    <col min="21" max="21" width="10.28515625" style="106" customWidth="1"/>
    <col min="22" max="24" width="17.140625" style="106" bestFit="1" customWidth="1"/>
    <col min="25" max="25" width="17.140625" style="106" customWidth="1"/>
    <col min="26" max="26" width="8" style="106" bestFit="1" customWidth="1"/>
    <col min="27" max="27" width="14.28515625" style="413" bestFit="1" customWidth="1"/>
    <col min="28" max="28" width="5.5703125" style="106" bestFit="1" customWidth="1"/>
    <col min="29" max="29" width="14.28515625" style="106" bestFit="1" customWidth="1"/>
    <col min="30" max="30" width="5.5703125" style="106" customWidth="1"/>
    <col min="31" max="31" width="14.28515625" style="106" bestFit="1" customWidth="1"/>
    <col min="32" max="32" width="5.5703125" style="106" bestFit="1" customWidth="1"/>
    <col min="33" max="33" width="14.28515625" style="106" bestFit="1" customWidth="1"/>
    <col min="34" max="34" width="5.5703125" style="106" bestFit="1" customWidth="1"/>
    <col min="35" max="35" width="14.28515625" style="106" customWidth="1"/>
    <col min="36" max="36" width="5.5703125" style="106" bestFit="1" customWidth="1"/>
    <col min="37" max="37" width="14.28515625" style="106" bestFit="1" customWidth="1"/>
    <col min="38" max="38" width="5.5703125" style="106" bestFit="1" customWidth="1"/>
    <col min="39" max="39" width="14.28515625" style="106" bestFit="1" customWidth="1"/>
    <col min="40" max="40" width="5.5703125" style="106" bestFit="1" customWidth="1"/>
    <col min="41" max="41" width="14.28515625" style="106" bestFit="1" customWidth="1"/>
    <col min="42" max="42" width="5.5703125" style="106" bestFit="1" customWidth="1"/>
    <col min="43" max="43" width="12.85546875" style="106" bestFit="1" customWidth="1"/>
    <col min="44" max="44" width="5.5703125" style="106" bestFit="1" customWidth="1"/>
    <col min="45" max="45" width="14.28515625" style="106" bestFit="1" customWidth="1"/>
    <col min="46" max="46" width="5.5703125" style="106" bestFit="1" customWidth="1"/>
    <col min="47" max="47" width="14.28515625" style="106" bestFit="1" customWidth="1"/>
    <col min="48" max="48" width="5.5703125" style="106" bestFit="1" customWidth="1"/>
    <col min="49" max="49" width="14.28515625" style="106" bestFit="1" customWidth="1"/>
    <col min="50" max="50" width="5.5703125" style="106" bestFit="1" customWidth="1"/>
    <col min="51" max="51" width="14.28515625" style="106" bestFit="1" customWidth="1"/>
    <col min="52" max="52" width="5.5703125" style="106" bestFit="1" customWidth="1"/>
    <col min="53" max="53" width="14.28515625" style="106" bestFit="1" customWidth="1"/>
    <col min="54" max="54" width="5.5703125" style="106" bestFit="1" customWidth="1"/>
    <col min="55" max="55" width="14.28515625" style="106" bestFit="1" customWidth="1"/>
    <col min="56" max="56" width="5.5703125" style="106" bestFit="1" customWidth="1"/>
    <col min="57" max="57" width="14.28515625" style="106" bestFit="1" customWidth="1"/>
    <col min="58" max="58" width="5.5703125" style="106" bestFit="1" customWidth="1"/>
    <col min="59" max="59" width="14.28515625" style="106" bestFit="1" customWidth="1"/>
    <col min="60" max="60" width="8.7109375" style="106" customWidth="1"/>
    <col min="61" max="61" width="14.28515625" style="106" bestFit="1" customWidth="1"/>
    <col min="62" max="62" width="9.5703125" style="106" customWidth="1"/>
    <col min="63" max="63" width="16" style="106" bestFit="1" customWidth="1"/>
    <col min="64" max="64" width="28.7109375" style="493" customWidth="1"/>
    <col min="65" max="65" width="9.140625" style="106" customWidth="1"/>
    <col min="66" max="66" width="20.42578125" style="106" customWidth="1"/>
    <col min="67" max="67" width="17.42578125" style="106" bestFit="1" customWidth="1"/>
    <col min="68" max="68" width="18.85546875" style="106" bestFit="1" customWidth="1"/>
    <col min="69" max="69" width="16.42578125" style="106" customWidth="1"/>
    <col min="70" max="70" width="18.42578125" style="106" customWidth="1"/>
    <col min="71" max="73" width="9.140625" style="106" customWidth="1"/>
    <col min="74" max="74" width="19.85546875" style="106" customWidth="1"/>
    <col min="75" max="16384" width="9.140625" style="106"/>
  </cols>
  <sheetData>
    <row r="1" spans="1:74" ht="18.75" customHeight="1" x14ac:dyDescent="0.25">
      <c r="A1" s="902" t="s">
        <v>409</v>
      </c>
      <c r="B1" s="902"/>
      <c r="C1" s="903" t="s">
        <v>403</v>
      </c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275"/>
      <c r="S1" s="275"/>
      <c r="T1" s="275"/>
      <c r="U1" s="275"/>
      <c r="V1" s="275"/>
      <c r="W1" s="275"/>
      <c r="X1" s="275"/>
      <c r="Y1" s="275"/>
    </row>
    <row r="2" spans="1:74" ht="15" customHeight="1" x14ac:dyDescent="0.25">
      <c r="A2" s="902" t="s">
        <v>405</v>
      </c>
      <c r="B2" s="902"/>
      <c r="C2" s="903" t="s">
        <v>404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275"/>
      <c r="S2" s="275"/>
      <c r="T2" s="275"/>
      <c r="U2" s="275"/>
      <c r="V2" s="275"/>
      <c r="W2" s="275"/>
      <c r="X2" s="275"/>
      <c r="Y2" s="275"/>
      <c r="Z2" s="361" t="s">
        <v>787</v>
      </c>
      <c r="AA2" s="361">
        <v>8.34</v>
      </c>
      <c r="AB2" s="361"/>
      <c r="AC2" s="361">
        <v>2.85</v>
      </c>
      <c r="AD2" s="361"/>
      <c r="AE2" s="361">
        <v>8.3800000000000008</v>
      </c>
      <c r="AF2" s="361"/>
      <c r="AG2" s="361">
        <v>7.49</v>
      </c>
      <c r="AH2" s="361"/>
      <c r="AI2" s="361">
        <v>3.33</v>
      </c>
      <c r="AJ2" s="361"/>
      <c r="AK2" s="361">
        <v>6.64</v>
      </c>
      <c r="AL2" s="361"/>
      <c r="AM2" s="361">
        <v>3.67</v>
      </c>
      <c r="AN2" s="361"/>
      <c r="AO2" s="361">
        <v>5.0599999999999996</v>
      </c>
      <c r="AP2" s="361"/>
      <c r="AQ2" s="361">
        <v>5.94</v>
      </c>
      <c r="AR2" s="361"/>
      <c r="AS2" s="361">
        <v>6.85</v>
      </c>
      <c r="AT2" s="361"/>
      <c r="AU2" s="361">
        <v>7.45</v>
      </c>
      <c r="AV2" s="361"/>
      <c r="AW2" s="361">
        <v>5.13</v>
      </c>
      <c r="AX2" s="361"/>
      <c r="AY2" s="361">
        <v>4.8600000000000003</v>
      </c>
      <c r="AZ2" s="361"/>
      <c r="BA2" s="361">
        <v>5.79</v>
      </c>
      <c r="BB2" s="361"/>
      <c r="BC2" s="361">
        <v>5.3</v>
      </c>
      <c r="BD2" s="361"/>
      <c r="BE2" s="361">
        <v>3.47</v>
      </c>
      <c r="BF2" s="361"/>
      <c r="BG2" s="361">
        <v>9.42</v>
      </c>
      <c r="BH2" s="361"/>
      <c r="BI2" s="361"/>
      <c r="BJ2" s="361"/>
      <c r="BK2" s="361"/>
    </row>
    <row r="3" spans="1:74" ht="17.25" customHeight="1" x14ac:dyDescent="0.25">
      <c r="A3" s="902" t="s">
        <v>406</v>
      </c>
      <c r="B3" s="902"/>
      <c r="C3" s="903" t="s">
        <v>752</v>
      </c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275"/>
      <c r="S3" s="275"/>
      <c r="T3" s="275"/>
      <c r="U3" s="275"/>
      <c r="V3" s="275"/>
      <c r="W3" s="275"/>
      <c r="X3" s="275"/>
      <c r="Y3" s="275"/>
      <c r="Z3" s="361" t="s">
        <v>785</v>
      </c>
      <c r="AA3" s="361">
        <v>48</v>
      </c>
      <c r="AB3" s="361"/>
      <c r="AC3" s="361">
        <v>23</v>
      </c>
      <c r="AD3" s="361"/>
      <c r="AE3" s="361">
        <v>80</v>
      </c>
      <c r="AF3" s="361"/>
      <c r="AG3" s="361">
        <v>105</v>
      </c>
      <c r="AH3" s="361"/>
      <c r="AI3" s="361">
        <v>43</v>
      </c>
      <c r="AJ3" s="361"/>
      <c r="AK3" s="361">
        <v>75</v>
      </c>
      <c r="AL3" s="361"/>
      <c r="AM3" s="361">
        <v>41</v>
      </c>
      <c r="AN3" s="361"/>
      <c r="AO3" s="361">
        <v>101</v>
      </c>
      <c r="AP3" s="361"/>
      <c r="AQ3" s="361">
        <v>8</v>
      </c>
      <c r="AR3" s="361"/>
      <c r="AS3" s="361">
        <v>33</v>
      </c>
      <c r="AT3" s="361"/>
      <c r="AU3" s="361">
        <v>53</v>
      </c>
      <c r="AV3" s="361"/>
      <c r="AW3" s="361">
        <v>52</v>
      </c>
      <c r="AX3" s="361"/>
      <c r="AY3" s="361">
        <v>76</v>
      </c>
      <c r="AZ3" s="361"/>
      <c r="BA3" s="361">
        <v>82</v>
      </c>
      <c r="BB3" s="361"/>
      <c r="BC3" s="361">
        <v>104</v>
      </c>
      <c r="BD3" s="361"/>
      <c r="BE3" s="361">
        <v>147</v>
      </c>
      <c r="BF3" s="361"/>
      <c r="BG3" s="361">
        <v>54</v>
      </c>
      <c r="BH3" s="361"/>
      <c r="BI3" s="361"/>
      <c r="BJ3" s="361"/>
      <c r="BK3" s="361"/>
    </row>
    <row r="4" spans="1:74" ht="17.25" customHeight="1" x14ac:dyDescent="0.25">
      <c r="A4" s="902" t="s">
        <v>422</v>
      </c>
      <c r="B4" s="902"/>
      <c r="C4" s="903" t="s">
        <v>200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275"/>
      <c r="S4" s="275"/>
      <c r="T4" s="275"/>
      <c r="U4" s="275"/>
      <c r="V4" s="275"/>
      <c r="W4" s="275"/>
      <c r="X4" s="275"/>
      <c r="Y4" s="275"/>
      <c r="Z4" s="361" t="s">
        <v>786</v>
      </c>
      <c r="AA4" s="453">
        <f>AA3/1125*100</f>
        <v>4.2666666666666666</v>
      </c>
      <c r="AB4" s="453">
        <f t="shared" ref="AB4:BG4" si="0">AB3/1125*100</f>
        <v>0</v>
      </c>
      <c r="AC4" s="453">
        <f t="shared" si="0"/>
        <v>2.0444444444444447</v>
      </c>
      <c r="AD4" s="453">
        <f t="shared" si="0"/>
        <v>0</v>
      </c>
      <c r="AE4" s="453">
        <f t="shared" si="0"/>
        <v>7.1111111111111107</v>
      </c>
      <c r="AF4" s="453">
        <f t="shared" si="0"/>
        <v>0</v>
      </c>
      <c r="AG4" s="453">
        <f t="shared" si="0"/>
        <v>9.3333333333333339</v>
      </c>
      <c r="AH4" s="453">
        <f t="shared" si="0"/>
        <v>0</v>
      </c>
      <c r="AI4" s="453">
        <f t="shared" si="0"/>
        <v>3.822222222222222</v>
      </c>
      <c r="AJ4" s="453">
        <f t="shared" si="0"/>
        <v>0</v>
      </c>
      <c r="AK4" s="453">
        <f t="shared" si="0"/>
        <v>6.666666666666667</v>
      </c>
      <c r="AL4" s="453">
        <f t="shared" si="0"/>
        <v>0</v>
      </c>
      <c r="AM4" s="453">
        <f t="shared" si="0"/>
        <v>3.6444444444444448</v>
      </c>
      <c r="AN4" s="453">
        <f t="shared" si="0"/>
        <v>0</v>
      </c>
      <c r="AO4" s="453">
        <f t="shared" si="0"/>
        <v>8.9777777777777779</v>
      </c>
      <c r="AP4" s="453">
        <f t="shared" si="0"/>
        <v>0</v>
      </c>
      <c r="AQ4" s="453">
        <f t="shared" si="0"/>
        <v>0.71111111111111114</v>
      </c>
      <c r="AR4" s="453">
        <f t="shared" si="0"/>
        <v>0</v>
      </c>
      <c r="AS4" s="453">
        <f t="shared" si="0"/>
        <v>2.9333333333333331</v>
      </c>
      <c r="AT4" s="453">
        <f t="shared" si="0"/>
        <v>0</v>
      </c>
      <c r="AU4" s="453">
        <f t="shared" si="0"/>
        <v>4.7111111111111112</v>
      </c>
      <c r="AV4" s="453">
        <f t="shared" si="0"/>
        <v>0</v>
      </c>
      <c r="AW4" s="453">
        <f t="shared" si="0"/>
        <v>4.6222222222222218</v>
      </c>
      <c r="AX4" s="453">
        <f t="shared" si="0"/>
        <v>0</v>
      </c>
      <c r="AY4" s="453">
        <f t="shared" si="0"/>
        <v>6.7555555555555546</v>
      </c>
      <c r="AZ4" s="453">
        <f t="shared" si="0"/>
        <v>0</v>
      </c>
      <c r="BA4" s="453">
        <f t="shared" si="0"/>
        <v>7.2888888888888896</v>
      </c>
      <c r="BB4" s="453">
        <f t="shared" si="0"/>
        <v>0</v>
      </c>
      <c r="BC4" s="453">
        <f t="shared" si="0"/>
        <v>9.2444444444444436</v>
      </c>
      <c r="BD4" s="453">
        <f t="shared" si="0"/>
        <v>0</v>
      </c>
      <c r="BE4" s="453">
        <f t="shared" si="0"/>
        <v>13.066666666666665</v>
      </c>
      <c r="BF4" s="453">
        <f t="shared" si="0"/>
        <v>0</v>
      </c>
      <c r="BG4" s="453">
        <f t="shared" si="0"/>
        <v>4.8</v>
      </c>
      <c r="BH4" s="361"/>
      <c r="BI4" s="361"/>
      <c r="BJ4" s="361"/>
      <c r="BK4" s="361"/>
    </row>
    <row r="5" spans="1:74" ht="22.5" customHeight="1" x14ac:dyDescent="0.25">
      <c r="A5" s="902" t="s">
        <v>424</v>
      </c>
      <c r="B5" s="902"/>
      <c r="C5" s="903" t="s">
        <v>423</v>
      </c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275"/>
      <c r="S5" s="275"/>
      <c r="T5" s="275"/>
      <c r="U5" s="275"/>
      <c r="V5" s="275"/>
      <c r="W5" s="275"/>
      <c r="X5" s="275"/>
      <c r="Y5" s="275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</row>
    <row r="6" spans="1:74" ht="21" customHeight="1" x14ac:dyDescent="0.25">
      <c r="A6" s="931"/>
      <c r="B6" s="932"/>
      <c r="C6" s="932"/>
      <c r="D6" s="933"/>
      <c r="E6" s="494"/>
      <c r="F6" s="931" t="s">
        <v>22</v>
      </c>
      <c r="G6" s="933"/>
      <c r="H6" s="906" t="s">
        <v>402</v>
      </c>
      <c r="I6" s="907"/>
      <c r="J6" s="907"/>
      <c r="K6" s="907"/>
      <c r="L6" s="907"/>
      <c r="M6" s="907"/>
      <c r="N6" s="907"/>
      <c r="O6" s="907"/>
      <c r="P6" s="907"/>
      <c r="Q6" s="908"/>
      <c r="R6" s="918" t="s">
        <v>66</v>
      </c>
      <c r="S6" s="919"/>
      <c r="T6" s="919"/>
      <c r="U6" s="920"/>
      <c r="V6" s="924" t="s">
        <v>6</v>
      </c>
      <c r="W6" s="925"/>
      <c r="X6" s="925"/>
      <c r="Y6" s="926"/>
      <c r="Z6" s="910" t="s">
        <v>434</v>
      </c>
      <c r="AA6" s="910"/>
      <c r="AB6" s="910" t="s">
        <v>435</v>
      </c>
      <c r="AC6" s="910"/>
      <c r="AD6" s="910" t="s">
        <v>436</v>
      </c>
      <c r="AE6" s="910"/>
      <c r="AF6" s="910" t="s">
        <v>437</v>
      </c>
      <c r="AG6" s="910"/>
      <c r="AH6" s="910" t="s">
        <v>438</v>
      </c>
      <c r="AI6" s="910"/>
      <c r="AJ6" s="910" t="s">
        <v>439</v>
      </c>
      <c r="AK6" s="910"/>
      <c r="AL6" s="910" t="s">
        <v>440</v>
      </c>
      <c r="AM6" s="910"/>
      <c r="AN6" s="910" t="s">
        <v>441</v>
      </c>
      <c r="AO6" s="910"/>
      <c r="AP6" s="910" t="s">
        <v>442</v>
      </c>
      <c r="AQ6" s="910"/>
      <c r="AR6" s="910" t="s">
        <v>443</v>
      </c>
      <c r="AS6" s="910"/>
      <c r="AT6" s="910" t="s">
        <v>444</v>
      </c>
      <c r="AU6" s="910"/>
      <c r="AV6" s="910" t="s">
        <v>445</v>
      </c>
      <c r="AW6" s="910"/>
      <c r="AX6" s="910" t="s">
        <v>446</v>
      </c>
      <c r="AY6" s="910"/>
      <c r="AZ6" s="910" t="s">
        <v>447</v>
      </c>
      <c r="BA6" s="910"/>
      <c r="BB6" s="910" t="s">
        <v>448</v>
      </c>
      <c r="BC6" s="910"/>
      <c r="BD6" s="910" t="s">
        <v>449</v>
      </c>
      <c r="BE6" s="910"/>
      <c r="BF6" s="910" t="s">
        <v>450</v>
      </c>
      <c r="BG6" s="910"/>
      <c r="BH6" s="910" t="s">
        <v>451</v>
      </c>
      <c r="BI6" s="910"/>
      <c r="BJ6" s="910" t="s">
        <v>18</v>
      </c>
      <c r="BK6" s="910"/>
      <c r="BL6" s="38"/>
    </row>
    <row r="7" spans="1:74" x14ac:dyDescent="0.25">
      <c r="A7" s="911" t="s">
        <v>14</v>
      </c>
      <c r="B7" s="913" t="s">
        <v>62</v>
      </c>
      <c r="C7" s="911" t="s">
        <v>12</v>
      </c>
      <c r="D7" s="911" t="s">
        <v>15</v>
      </c>
      <c r="E7" s="913" t="s">
        <v>40</v>
      </c>
      <c r="F7" s="913" t="s">
        <v>24</v>
      </c>
      <c r="G7" s="915" t="s">
        <v>467</v>
      </c>
      <c r="H7" s="67" t="s">
        <v>457</v>
      </c>
      <c r="I7" s="67" t="s">
        <v>458</v>
      </c>
      <c r="J7" s="67" t="s">
        <v>459</v>
      </c>
      <c r="K7" s="67" t="s">
        <v>460</v>
      </c>
      <c r="L7" s="67" t="s">
        <v>461</v>
      </c>
      <c r="M7" s="67" t="s">
        <v>462</v>
      </c>
      <c r="N7" s="67" t="s">
        <v>463</v>
      </c>
      <c r="O7" s="67" t="s">
        <v>464</v>
      </c>
      <c r="P7" s="67" t="s">
        <v>465</v>
      </c>
      <c r="Q7" s="67" t="s">
        <v>466</v>
      </c>
      <c r="R7" s="921"/>
      <c r="S7" s="922"/>
      <c r="T7" s="922"/>
      <c r="U7" s="923"/>
      <c r="V7" s="927"/>
      <c r="W7" s="928"/>
      <c r="X7" s="928"/>
      <c r="Y7" s="929"/>
      <c r="Z7" s="910"/>
      <c r="AA7" s="910"/>
      <c r="AB7" s="910" t="s">
        <v>49</v>
      </c>
      <c r="AC7" s="910"/>
      <c r="AD7" s="910" t="s">
        <v>50</v>
      </c>
      <c r="AE7" s="910"/>
      <c r="AF7" s="910" t="s">
        <v>51</v>
      </c>
      <c r="AG7" s="910"/>
      <c r="AH7" s="910" t="s">
        <v>52</v>
      </c>
      <c r="AI7" s="910"/>
      <c r="AJ7" s="910" t="s">
        <v>53</v>
      </c>
      <c r="AK7" s="910"/>
      <c r="AL7" s="910" t="s">
        <v>54</v>
      </c>
      <c r="AM7" s="910"/>
      <c r="AN7" s="910" t="s">
        <v>55</v>
      </c>
      <c r="AO7" s="910"/>
      <c r="AP7" s="910" t="s">
        <v>56</v>
      </c>
      <c r="AQ7" s="910"/>
      <c r="AR7" s="910" t="s">
        <v>57</v>
      </c>
      <c r="AS7" s="910"/>
      <c r="AT7" s="910" t="s">
        <v>58</v>
      </c>
      <c r="AU7" s="910"/>
      <c r="AV7" s="910" t="s">
        <v>59</v>
      </c>
      <c r="AW7" s="910"/>
      <c r="AX7" s="910" t="s">
        <v>60</v>
      </c>
      <c r="AY7" s="910"/>
      <c r="AZ7" s="910" t="s">
        <v>61</v>
      </c>
      <c r="BA7" s="910"/>
      <c r="BB7" s="910" t="s">
        <v>45</v>
      </c>
      <c r="BC7" s="910"/>
      <c r="BD7" s="910" t="s">
        <v>42</v>
      </c>
      <c r="BE7" s="910"/>
      <c r="BF7" s="910"/>
      <c r="BG7" s="910"/>
      <c r="BH7" s="910"/>
      <c r="BI7" s="910"/>
      <c r="BJ7" s="910"/>
      <c r="BK7" s="910"/>
      <c r="BL7" s="930" t="s">
        <v>498</v>
      </c>
      <c r="BN7" s="840" t="s">
        <v>496</v>
      </c>
      <c r="BO7" s="840"/>
      <c r="BP7" s="840"/>
      <c r="BQ7" s="840"/>
      <c r="BR7" s="840"/>
      <c r="BS7" s="840" t="s">
        <v>497</v>
      </c>
      <c r="BT7" s="840"/>
      <c r="BU7" s="840"/>
      <c r="BV7" s="841" t="s">
        <v>18</v>
      </c>
    </row>
    <row r="8" spans="1:74" ht="47.25" x14ac:dyDescent="0.25">
      <c r="A8" s="912"/>
      <c r="B8" s="914"/>
      <c r="C8" s="912"/>
      <c r="D8" s="912"/>
      <c r="E8" s="914"/>
      <c r="F8" s="914"/>
      <c r="G8" s="916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108" t="s">
        <v>7</v>
      </c>
      <c r="S8" s="108" t="s">
        <v>8</v>
      </c>
      <c r="T8" s="108" t="s">
        <v>9</v>
      </c>
      <c r="U8" s="108" t="s">
        <v>10</v>
      </c>
      <c r="V8" s="108" t="s">
        <v>7</v>
      </c>
      <c r="W8" s="108" t="s">
        <v>8</v>
      </c>
      <c r="X8" s="108" t="s">
        <v>9</v>
      </c>
      <c r="Y8" s="108" t="s">
        <v>10</v>
      </c>
      <c r="Z8" s="421" t="s">
        <v>15</v>
      </c>
      <c r="AA8" s="299" t="s">
        <v>16</v>
      </c>
      <c r="AB8" s="421" t="s">
        <v>15</v>
      </c>
      <c r="AC8" s="421" t="s">
        <v>16</v>
      </c>
      <c r="AD8" s="421" t="s">
        <v>15</v>
      </c>
      <c r="AE8" s="421" t="s">
        <v>16</v>
      </c>
      <c r="AF8" s="421" t="s">
        <v>15</v>
      </c>
      <c r="AG8" s="421" t="s">
        <v>16</v>
      </c>
      <c r="AH8" s="421" t="s">
        <v>15</v>
      </c>
      <c r="AI8" s="421" t="s">
        <v>16</v>
      </c>
      <c r="AJ8" s="421" t="s">
        <v>15</v>
      </c>
      <c r="AK8" s="421" t="s">
        <v>16</v>
      </c>
      <c r="AL8" s="421" t="s">
        <v>15</v>
      </c>
      <c r="AM8" s="421" t="s">
        <v>16</v>
      </c>
      <c r="AN8" s="421" t="s">
        <v>15</v>
      </c>
      <c r="AO8" s="421" t="s">
        <v>16</v>
      </c>
      <c r="AP8" s="421" t="s">
        <v>15</v>
      </c>
      <c r="AQ8" s="421" t="s">
        <v>16</v>
      </c>
      <c r="AR8" s="421" t="s">
        <v>15</v>
      </c>
      <c r="AS8" s="421" t="s">
        <v>16</v>
      </c>
      <c r="AT8" s="421" t="s">
        <v>15</v>
      </c>
      <c r="AU8" s="421" t="s">
        <v>16</v>
      </c>
      <c r="AV8" s="421" t="s">
        <v>15</v>
      </c>
      <c r="AW8" s="421" t="s">
        <v>16</v>
      </c>
      <c r="AX8" s="421" t="s">
        <v>15</v>
      </c>
      <c r="AY8" s="421" t="s">
        <v>16</v>
      </c>
      <c r="AZ8" s="421" t="s">
        <v>15</v>
      </c>
      <c r="BA8" s="421" t="s">
        <v>16</v>
      </c>
      <c r="BB8" s="421" t="s">
        <v>15</v>
      </c>
      <c r="BC8" s="421" t="s">
        <v>16</v>
      </c>
      <c r="BD8" s="421" t="s">
        <v>15</v>
      </c>
      <c r="BE8" s="421" t="s">
        <v>16</v>
      </c>
      <c r="BF8" s="421" t="s">
        <v>15</v>
      </c>
      <c r="BG8" s="421" t="s">
        <v>16</v>
      </c>
      <c r="BH8" s="421" t="s">
        <v>15</v>
      </c>
      <c r="BI8" s="421" t="s">
        <v>16</v>
      </c>
      <c r="BJ8" s="421" t="s">
        <v>15</v>
      </c>
      <c r="BK8" s="421" t="s">
        <v>16</v>
      </c>
      <c r="BL8" s="930"/>
      <c r="BN8" s="118" t="s">
        <v>487</v>
      </c>
      <c r="BO8" s="367" t="s">
        <v>488</v>
      </c>
      <c r="BP8" s="367" t="s">
        <v>489</v>
      </c>
      <c r="BQ8" s="368" t="s">
        <v>490</v>
      </c>
      <c r="BR8" s="367" t="s">
        <v>491</v>
      </c>
      <c r="BS8" s="367" t="s">
        <v>492</v>
      </c>
      <c r="BT8" s="367" t="s">
        <v>493</v>
      </c>
      <c r="BU8" s="367" t="s">
        <v>494</v>
      </c>
      <c r="BV8" s="841"/>
    </row>
    <row r="9" spans="1:74" ht="21" customHeight="1" x14ac:dyDescent="0.25">
      <c r="A9" s="913" t="s">
        <v>200</v>
      </c>
      <c r="B9" s="495">
        <v>23000</v>
      </c>
      <c r="C9" s="496" t="s">
        <v>175</v>
      </c>
      <c r="D9" s="416"/>
      <c r="E9" s="497"/>
      <c r="F9" s="497"/>
      <c r="G9" s="498"/>
      <c r="H9" s="498"/>
      <c r="I9" s="498"/>
      <c r="J9" s="498"/>
      <c r="K9" s="498"/>
      <c r="L9" s="498"/>
      <c r="M9" s="498"/>
      <c r="N9" s="498"/>
      <c r="O9" s="499"/>
      <c r="P9" s="499"/>
      <c r="Q9" s="499"/>
      <c r="R9" s="108"/>
      <c r="S9" s="108"/>
      <c r="T9" s="108"/>
      <c r="U9" s="108"/>
      <c r="V9" s="108"/>
      <c r="W9" s="108"/>
      <c r="X9" s="108"/>
      <c r="Y9" s="108"/>
      <c r="Z9" s="421"/>
      <c r="AA9" s="299"/>
      <c r="AB9" s="421"/>
      <c r="AC9" s="299"/>
      <c r="AD9" s="421"/>
      <c r="AE9" s="299"/>
      <c r="AF9" s="421"/>
      <c r="AG9" s="299"/>
      <c r="AH9" s="421"/>
      <c r="AI9" s="299"/>
      <c r="AJ9" s="421"/>
      <c r="AK9" s="299"/>
      <c r="AL9" s="421"/>
      <c r="AM9" s="299"/>
      <c r="AN9" s="421"/>
      <c r="AO9" s="299"/>
      <c r="AP9" s="421"/>
      <c r="AQ9" s="299"/>
      <c r="AR9" s="421"/>
      <c r="AS9" s="299"/>
      <c r="AT9" s="421"/>
      <c r="AU9" s="299"/>
      <c r="AV9" s="421"/>
      <c r="AW9" s="299"/>
      <c r="AX9" s="421"/>
      <c r="AY9" s="299"/>
      <c r="AZ9" s="421"/>
      <c r="BA9" s="299"/>
      <c r="BB9" s="421"/>
      <c r="BC9" s="299"/>
      <c r="BD9" s="421"/>
      <c r="BE9" s="299"/>
      <c r="BF9" s="421"/>
      <c r="BG9" s="299"/>
      <c r="BH9" s="421"/>
      <c r="BI9" s="299"/>
      <c r="BJ9" s="421"/>
      <c r="BK9" s="299"/>
      <c r="BL9" s="930"/>
      <c r="BN9" s="383"/>
      <c r="BO9" s="383"/>
      <c r="BP9" s="383"/>
      <c r="BQ9" s="383"/>
      <c r="BR9" s="383"/>
      <c r="BS9" s="383"/>
      <c r="BT9" s="383"/>
      <c r="BU9" s="383"/>
      <c r="BV9" s="383"/>
    </row>
    <row r="10" spans="1:74" ht="27" customHeight="1" x14ac:dyDescent="0.25">
      <c r="A10" s="917"/>
      <c r="B10" s="38">
        <v>23100</v>
      </c>
      <c r="C10" s="496" t="s">
        <v>176</v>
      </c>
      <c r="D10" s="416"/>
      <c r="E10" s="497"/>
      <c r="F10" s="497"/>
      <c r="G10" s="498"/>
      <c r="H10" s="498"/>
      <c r="I10" s="498"/>
      <c r="J10" s="498"/>
      <c r="K10" s="498"/>
      <c r="L10" s="498"/>
      <c r="M10" s="498"/>
      <c r="N10" s="498"/>
      <c r="O10" s="499"/>
      <c r="P10" s="499"/>
      <c r="Q10" s="499"/>
      <c r="R10" s="500"/>
      <c r="S10" s="500"/>
      <c r="T10" s="500"/>
      <c r="U10" s="500"/>
      <c r="V10" s="500"/>
      <c r="W10" s="500"/>
      <c r="X10" s="500"/>
      <c r="Y10" s="500"/>
      <c r="Z10" s="421"/>
      <c r="AA10" s="299"/>
      <c r="AB10" s="421"/>
      <c r="AC10" s="299"/>
      <c r="AD10" s="421"/>
      <c r="AE10" s="299"/>
      <c r="AF10" s="421"/>
      <c r="AG10" s="299"/>
      <c r="AH10" s="421"/>
      <c r="AI10" s="299"/>
      <c r="AJ10" s="421"/>
      <c r="AK10" s="299"/>
      <c r="AL10" s="421"/>
      <c r="AM10" s="299"/>
      <c r="AN10" s="421"/>
      <c r="AO10" s="299"/>
      <c r="AP10" s="421"/>
      <c r="AQ10" s="299"/>
      <c r="AR10" s="421"/>
      <c r="AS10" s="299"/>
      <c r="AT10" s="421"/>
      <c r="AU10" s="299"/>
      <c r="AV10" s="421"/>
      <c r="AW10" s="299"/>
      <c r="AX10" s="421"/>
      <c r="AY10" s="299"/>
      <c r="AZ10" s="421"/>
      <c r="BA10" s="299"/>
      <c r="BB10" s="421"/>
      <c r="BC10" s="299"/>
      <c r="BD10" s="421"/>
      <c r="BE10" s="299"/>
      <c r="BF10" s="421"/>
      <c r="BG10" s="299"/>
      <c r="BH10" s="421"/>
      <c r="BI10" s="299"/>
      <c r="BJ10" s="421"/>
      <c r="BK10" s="299"/>
      <c r="BL10" s="38"/>
      <c r="BN10" s="385"/>
      <c r="BO10" s="385"/>
      <c r="BP10" s="385"/>
      <c r="BQ10" s="385"/>
      <c r="BR10" s="385"/>
      <c r="BS10" s="385"/>
      <c r="BT10" s="385"/>
      <c r="BU10" s="385"/>
      <c r="BV10" s="387">
        <f>BR10+BU10</f>
        <v>0</v>
      </c>
    </row>
    <row r="11" spans="1:74" ht="31.5" x14ac:dyDescent="0.25">
      <c r="A11" s="917"/>
      <c r="B11" s="495"/>
      <c r="C11" s="38" t="s">
        <v>793</v>
      </c>
      <c r="D11" s="38" t="s">
        <v>177</v>
      </c>
      <c r="E11" s="375">
        <v>600</v>
      </c>
      <c r="F11" s="38">
        <f>BJ11</f>
        <v>2670</v>
      </c>
      <c r="G11" s="501">
        <f>E11*F11</f>
        <v>1602000</v>
      </c>
      <c r="H11" s="501">
        <f>G11*0.2</f>
        <v>320400</v>
      </c>
      <c r="I11" s="501">
        <f>G11*0.8</f>
        <v>1281600</v>
      </c>
      <c r="J11" s="501">
        <f>G11*0</f>
        <v>0</v>
      </c>
      <c r="K11" s="501">
        <f>G11*0</f>
        <v>0</v>
      </c>
      <c r="L11" s="501">
        <f>G11*0</f>
        <v>0</v>
      </c>
      <c r="M11" s="501">
        <f>G11*0</f>
        <v>0</v>
      </c>
      <c r="N11" s="501">
        <f>G11*0</f>
        <v>0</v>
      </c>
      <c r="O11" s="76">
        <f>G11*0</f>
        <v>0</v>
      </c>
      <c r="P11" s="76">
        <f>G11*0</f>
        <v>0</v>
      </c>
      <c r="Q11" s="76">
        <f>G11*0</f>
        <v>0</v>
      </c>
      <c r="R11" s="500">
        <f>F11*0.7</f>
        <v>1868.9999999999998</v>
      </c>
      <c r="S11" s="500">
        <f>F11*0.3</f>
        <v>801</v>
      </c>
      <c r="T11" s="500"/>
      <c r="U11" s="500"/>
      <c r="V11" s="502">
        <f>R11*E11</f>
        <v>1121399.9999999998</v>
      </c>
      <c r="W11" s="502">
        <f>S11*E11</f>
        <v>480600</v>
      </c>
      <c r="X11" s="502">
        <f>T11*E11</f>
        <v>0</v>
      </c>
      <c r="Y11" s="502">
        <f>U11*E11</f>
        <v>0</v>
      </c>
      <c r="Z11" s="383">
        <v>0</v>
      </c>
      <c r="AA11" s="158">
        <f>Z11*E11</f>
        <v>0</v>
      </c>
      <c r="AB11" s="383">
        <v>0</v>
      </c>
      <c r="AC11" s="158">
        <f>AB11*E11</f>
        <v>0</v>
      </c>
      <c r="AD11" s="383">
        <v>0</v>
      </c>
      <c r="AE11" s="158">
        <f>AD11*E11</f>
        <v>0</v>
      </c>
      <c r="AF11" s="383">
        <v>0</v>
      </c>
      <c r="AG11" s="158">
        <f>AF11*E11</f>
        <v>0</v>
      </c>
      <c r="AH11" s="383">
        <v>0</v>
      </c>
      <c r="AI11" s="158">
        <f>AH11*E11</f>
        <v>0</v>
      </c>
      <c r="AJ11" s="383">
        <v>0</v>
      </c>
      <c r="AK11" s="158">
        <f>AJ11*E11</f>
        <v>0</v>
      </c>
      <c r="AL11" s="383">
        <v>0</v>
      </c>
      <c r="AM11" s="158">
        <f>AL11*E11</f>
        <v>0</v>
      </c>
      <c r="AN11" s="383">
        <v>0</v>
      </c>
      <c r="AO11" s="158">
        <f>AN11*E11</f>
        <v>0</v>
      </c>
      <c r="AP11" s="383">
        <v>0</v>
      </c>
      <c r="AQ11" s="158">
        <f>AP11*E11</f>
        <v>0</v>
      </c>
      <c r="AR11" s="383">
        <v>0</v>
      </c>
      <c r="AS11" s="158">
        <f>AR11*E11</f>
        <v>0</v>
      </c>
      <c r="AT11" s="383">
        <v>0</v>
      </c>
      <c r="AU11" s="158">
        <f>AT11*E11</f>
        <v>0</v>
      </c>
      <c r="AV11" s="383">
        <v>0</v>
      </c>
      <c r="AW11" s="158">
        <f>AV11*E11</f>
        <v>0</v>
      </c>
      <c r="AX11" s="383">
        <v>0</v>
      </c>
      <c r="AY11" s="158">
        <f>AX11*E11</f>
        <v>0</v>
      </c>
      <c r="AZ11" s="383">
        <v>0</v>
      </c>
      <c r="BA11" s="158">
        <f>AZ11*E11</f>
        <v>0</v>
      </c>
      <c r="BB11" s="383">
        <v>0</v>
      </c>
      <c r="BC11" s="158">
        <f>BB11*E11</f>
        <v>0</v>
      </c>
      <c r="BD11" s="383">
        <v>0</v>
      </c>
      <c r="BE11" s="158">
        <f>BD11*E11</f>
        <v>0</v>
      </c>
      <c r="BF11" s="383">
        <v>0</v>
      </c>
      <c r="BG11" s="158">
        <f>BF11*E11</f>
        <v>0</v>
      </c>
      <c r="BH11" s="383">
        <f>89*30</f>
        <v>2670</v>
      </c>
      <c r="BI11" s="158">
        <f>BH11*E11</f>
        <v>1602000</v>
      </c>
      <c r="BJ11" s="383">
        <f>Z11+AB11+AD11+AF11+AH11+AJ11+AL11+AN11+AP11+AR11+AT11+AV11+AX11+AZ11+BB11+BD11+BF11+BH11</f>
        <v>2670</v>
      </c>
      <c r="BK11" s="158">
        <f>AA11+AC11+AE11+AG11+AI11+AK11+AM11+AO11+AQ11+AS11+AU11+AW11+AY11+BA11+BC11+BE11+BG11+BI11</f>
        <v>1602000</v>
      </c>
      <c r="BL11" s="337" t="s">
        <v>469</v>
      </c>
      <c r="BN11" s="385"/>
      <c r="BO11" s="385">
        <f>G11</f>
        <v>1602000</v>
      </c>
      <c r="BP11" s="385"/>
      <c r="BQ11" s="385"/>
      <c r="BR11" s="385">
        <f>BN11+BO11+BP11+BQ11</f>
        <v>1602000</v>
      </c>
      <c r="BS11" s="385"/>
      <c r="BT11" s="385"/>
      <c r="BU11" s="385">
        <f>BS11+BT11</f>
        <v>0</v>
      </c>
      <c r="BV11" s="387">
        <f t="shared" ref="BV11:BV54" si="1">BR11+BU11</f>
        <v>1602000</v>
      </c>
    </row>
    <row r="12" spans="1:74" x14ac:dyDescent="0.25">
      <c r="A12" s="917"/>
      <c r="B12" s="495"/>
      <c r="C12" s="38" t="s">
        <v>792</v>
      </c>
      <c r="D12" s="38" t="s">
        <v>178</v>
      </c>
      <c r="E12" s="375">
        <v>600</v>
      </c>
      <c r="F12" s="38">
        <f>BJ12</f>
        <v>5985</v>
      </c>
      <c r="G12" s="501">
        <f>E12*F12</f>
        <v>3591000</v>
      </c>
      <c r="H12" s="501">
        <f>G12*0.2</f>
        <v>718200</v>
      </c>
      <c r="I12" s="501">
        <f>G12*0.8</f>
        <v>2872800</v>
      </c>
      <c r="J12" s="501">
        <f>G12*0</f>
        <v>0</v>
      </c>
      <c r="K12" s="501">
        <f>G12*0</f>
        <v>0</v>
      </c>
      <c r="L12" s="501">
        <f>G12*0</f>
        <v>0</v>
      </c>
      <c r="M12" s="501">
        <f>G12*0</f>
        <v>0</v>
      </c>
      <c r="N12" s="501">
        <f>G12*0</f>
        <v>0</v>
      </c>
      <c r="O12" s="76">
        <f>G12*0</f>
        <v>0</v>
      </c>
      <c r="P12" s="76">
        <f>G12*0</f>
        <v>0</v>
      </c>
      <c r="Q12" s="76">
        <f>G12*0</f>
        <v>0</v>
      </c>
      <c r="R12" s="500">
        <f>F12*0.7</f>
        <v>4189.5</v>
      </c>
      <c r="S12" s="503">
        <f>F12*0.3</f>
        <v>1795.5</v>
      </c>
      <c r="T12" s="500"/>
      <c r="U12" s="500"/>
      <c r="V12" s="502">
        <f>R12*E12</f>
        <v>2513700</v>
      </c>
      <c r="W12" s="502">
        <f>S12*E12</f>
        <v>1077300</v>
      </c>
      <c r="X12" s="502">
        <f>T12*E12</f>
        <v>0</v>
      </c>
      <c r="Y12" s="502">
        <f>U12*E12</f>
        <v>0</v>
      </c>
      <c r="Z12" s="383">
        <v>0</v>
      </c>
      <c r="AA12" s="158">
        <f t="shared" ref="AA12:AA45" si="2">Z12*E12</f>
        <v>0</v>
      </c>
      <c r="AB12" s="383">
        <v>0</v>
      </c>
      <c r="AC12" s="158">
        <f t="shared" ref="AC12:AC45" si="3">AB12*E12</f>
        <v>0</v>
      </c>
      <c r="AD12" s="383">
        <v>0</v>
      </c>
      <c r="AE12" s="158">
        <f t="shared" ref="AE12:AE45" si="4">AD12*E12</f>
        <v>0</v>
      </c>
      <c r="AF12" s="383">
        <v>0</v>
      </c>
      <c r="AG12" s="158">
        <f t="shared" ref="AG12:AG45" si="5">AF12*E12</f>
        <v>0</v>
      </c>
      <c r="AH12" s="383">
        <v>0</v>
      </c>
      <c r="AI12" s="158">
        <f t="shared" ref="AI12:AI45" si="6">AH12*E12</f>
        <v>0</v>
      </c>
      <c r="AJ12" s="383">
        <v>0</v>
      </c>
      <c r="AK12" s="158">
        <f t="shared" ref="AK12:AK45" si="7">AJ12*E12</f>
        <v>0</v>
      </c>
      <c r="AL12" s="383">
        <v>0</v>
      </c>
      <c r="AM12" s="158">
        <f t="shared" ref="AM12:AM45" si="8">AL12*E12</f>
        <v>0</v>
      </c>
      <c r="AN12" s="383">
        <v>0</v>
      </c>
      <c r="AO12" s="158">
        <f t="shared" ref="AO12:AO45" si="9">AN12*E12</f>
        <v>0</v>
      </c>
      <c r="AP12" s="383">
        <v>0</v>
      </c>
      <c r="AQ12" s="158">
        <f t="shared" ref="AQ12:AQ45" si="10">AP12*E12</f>
        <v>0</v>
      </c>
      <c r="AR12" s="383">
        <v>0</v>
      </c>
      <c r="AS12" s="158">
        <f t="shared" ref="AS12:AS45" si="11">AR12*E12</f>
        <v>0</v>
      </c>
      <c r="AT12" s="383">
        <v>0</v>
      </c>
      <c r="AU12" s="158">
        <f t="shared" ref="AU12:AU45" si="12">AT12*E12</f>
        <v>0</v>
      </c>
      <c r="AV12" s="383">
        <v>0</v>
      </c>
      <c r="AW12" s="158">
        <f t="shared" ref="AW12:AW45" si="13">AV12*E12</f>
        <v>0</v>
      </c>
      <c r="AX12" s="383">
        <v>0</v>
      </c>
      <c r="AY12" s="158">
        <f t="shared" ref="AY12:AY45" si="14">AX12*E12</f>
        <v>0</v>
      </c>
      <c r="AZ12" s="383">
        <v>0</v>
      </c>
      <c r="BA12" s="158">
        <f t="shared" ref="BA12:BA45" si="15">AZ12*E12</f>
        <v>0</v>
      </c>
      <c r="BB12" s="383">
        <v>0</v>
      </c>
      <c r="BC12" s="158">
        <f t="shared" ref="BC12:BC45" si="16">BB12*E12</f>
        <v>0</v>
      </c>
      <c r="BD12" s="383">
        <v>0</v>
      </c>
      <c r="BE12" s="158">
        <f t="shared" ref="BE12:BE45" si="17">BD12*E12</f>
        <v>0</v>
      </c>
      <c r="BF12" s="383">
        <v>0</v>
      </c>
      <c r="BG12" s="158">
        <f t="shared" ref="BG12:BG45" si="18">BF12*E12</f>
        <v>0</v>
      </c>
      <c r="BH12" s="383">
        <f>(44+89)*45</f>
        <v>5985</v>
      </c>
      <c r="BI12" s="158">
        <f t="shared" ref="BI12:BI45" si="19">BH12*E12</f>
        <v>3591000</v>
      </c>
      <c r="BJ12" s="383">
        <f t="shared" ref="BJ12:BJ45" si="20">Z12+AB12+AD12+AF12+AH12+AJ12+AL12+AN12+AP12+AR12+AT12+AV12+AX12+AZ12+BB12+BD12+BF12+BH12</f>
        <v>5985</v>
      </c>
      <c r="BK12" s="158">
        <f t="shared" ref="BK12:BK45" si="21">AA12+AC12+AE12+AG12+AI12+AK12+AM12+AO12+AQ12+AS12+AU12+AW12+AY12+BA12+BC12+BE12+BG12+BI12</f>
        <v>3591000</v>
      </c>
      <c r="BL12" s="337" t="s">
        <v>469</v>
      </c>
      <c r="BN12" s="385"/>
      <c r="BO12" s="385">
        <f>G12</f>
        <v>3591000</v>
      </c>
      <c r="BP12" s="385"/>
      <c r="BQ12" s="385"/>
      <c r="BR12" s="385">
        <f>BN12+BO12+BP12+BQ12</f>
        <v>3591000</v>
      </c>
      <c r="BS12" s="385"/>
      <c r="BT12" s="385"/>
      <c r="BU12" s="385">
        <f>BS12+BT12</f>
        <v>0</v>
      </c>
      <c r="BV12" s="387">
        <f t="shared" si="1"/>
        <v>3591000</v>
      </c>
    </row>
    <row r="13" spans="1:74" ht="31.5" x14ac:dyDescent="0.25">
      <c r="A13" s="917"/>
      <c r="B13" s="495"/>
      <c r="C13" s="38" t="s">
        <v>791</v>
      </c>
      <c r="D13" s="38" t="s">
        <v>177</v>
      </c>
      <c r="E13" s="375">
        <v>600</v>
      </c>
      <c r="F13" s="38">
        <f>BJ13</f>
        <v>5340</v>
      </c>
      <c r="G13" s="501">
        <f>E13*F13</f>
        <v>3204000</v>
      </c>
      <c r="H13" s="501">
        <f>G13*0.2</f>
        <v>640800</v>
      </c>
      <c r="I13" s="501">
        <f>G13*0.8</f>
        <v>2563200</v>
      </c>
      <c r="J13" s="501">
        <f>G13*0</f>
        <v>0</v>
      </c>
      <c r="K13" s="501">
        <f>G13*0</f>
        <v>0</v>
      </c>
      <c r="L13" s="501">
        <f>G13*0</f>
        <v>0</v>
      </c>
      <c r="M13" s="501">
        <f>G13*0</f>
        <v>0</v>
      </c>
      <c r="N13" s="501">
        <f>G13*0</f>
        <v>0</v>
      </c>
      <c r="O13" s="76">
        <f>G13*0</f>
        <v>0</v>
      </c>
      <c r="P13" s="76">
        <f>G13*0</f>
        <v>0</v>
      </c>
      <c r="Q13" s="76">
        <f>G13*0</f>
        <v>0</v>
      </c>
      <c r="R13" s="500">
        <f>F13*0.7</f>
        <v>3737.9999999999995</v>
      </c>
      <c r="S13" s="503">
        <f>F13*0.3</f>
        <v>1602</v>
      </c>
      <c r="T13" s="500"/>
      <c r="U13" s="500"/>
      <c r="V13" s="502">
        <f>R13*E13</f>
        <v>2242799.9999999995</v>
      </c>
      <c r="W13" s="502">
        <f>S13*E13</f>
        <v>961200</v>
      </c>
      <c r="X13" s="502">
        <f>T13*E13</f>
        <v>0</v>
      </c>
      <c r="Y13" s="502">
        <f>U13*E13</f>
        <v>0</v>
      </c>
      <c r="Z13" s="383">
        <v>0</v>
      </c>
      <c r="AA13" s="158">
        <f t="shared" si="2"/>
        <v>0</v>
      </c>
      <c r="AB13" s="383">
        <v>0</v>
      </c>
      <c r="AC13" s="158">
        <f t="shared" si="3"/>
        <v>0</v>
      </c>
      <c r="AD13" s="383">
        <v>0</v>
      </c>
      <c r="AE13" s="158">
        <f t="shared" si="4"/>
        <v>0</v>
      </c>
      <c r="AF13" s="383">
        <v>0</v>
      </c>
      <c r="AG13" s="158">
        <f t="shared" si="5"/>
        <v>0</v>
      </c>
      <c r="AH13" s="383">
        <v>0</v>
      </c>
      <c r="AI13" s="158">
        <f t="shared" si="6"/>
        <v>0</v>
      </c>
      <c r="AJ13" s="383">
        <v>0</v>
      </c>
      <c r="AK13" s="158">
        <f t="shared" si="7"/>
        <v>0</v>
      </c>
      <c r="AL13" s="383">
        <v>0</v>
      </c>
      <c r="AM13" s="158">
        <f t="shared" si="8"/>
        <v>0</v>
      </c>
      <c r="AN13" s="383">
        <v>0</v>
      </c>
      <c r="AO13" s="158">
        <f t="shared" si="9"/>
        <v>0</v>
      </c>
      <c r="AP13" s="383">
        <v>0</v>
      </c>
      <c r="AQ13" s="158">
        <f t="shared" si="10"/>
        <v>0</v>
      </c>
      <c r="AR13" s="383">
        <v>0</v>
      </c>
      <c r="AS13" s="158">
        <f t="shared" si="11"/>
        <v>0</v>
      </c>
      <c r="AT13" s="383">
        <v>0</v>
      </c>
      <c r="AU13" s="158">
        <f t="shared" si="12"/>
        <v>0</v>
      </c>
      <c r="AV13" s="383">
        <v>0</v>
      </c>
      <c r="AW13" s="158">
        <f t="shared" si="13"/>
        <v>0</v>
      </c>
      <c r="AX13" s="383">
        <v>0</v>
      </c>
      <c r="AY13" s="158">
        <f t="shared" si="14"/>
        <v>0</v>
      </c>
      <c r="AZ13" s="383">
        <v>0</v>
      </c>
      <c r="BA13" s="158">
        <f t="shared" si="15"/>
        <v>0</v>
      </c>
      <c r="BB13" s="383">
        <v>0</v>
      </c>
      <c r="BC13" s="158">
        <f t="shared" si="16"/>
        <v>0</v>
      </c>
      <c r="BD13" s="383">
        <v>0</v>
      </c>
      <c r="BE13" s="158">
        <f t="shared" si="17"/>
        <v>0</v>
      </c>
      <c r="BF13" s="383">
        <v>0</v>
      </c>
      <c r="BG13" s="158">
        <f t="shared" si="18"/>
        <v>0</v>
      </c>
      <c r="BH13" s="383">
        <f>89*2*30</f>
        <v>5340</v>
      </c>
      <c r="BI13" s="158">
        <f t="shared" si="19"/>
        <v>3204000</v>
      </c>
      <c r="BJ13" s="383">
        <f t="shared" si="20"/>
        <v>5340</v>
      </c>
      <c r="BK13" s="158">
        <f t="shared" si="21"/>
        <v>3204000</v>
      </c>
      <c r="BL13" s="337" t="s">
        <v>469</v>
      </c>
      <c r="BN13" s="385"/>
      <c r="BO13" s="385">
        <f>G13</f>
        <v>3204000</v>
      </c>
      <c r="BP13" s="385"/>
      <c r="BQ13" s="385"/>
      <c r="BR13" s="385">
        <f>BN13+BO13+BP13+BQ13</f>
        <v>3204000</v>
      </c>
      <c r="BS13" s="385"/>
      <c r="BT13" s="385"/>
      <c r="BU13" s="385">
        <f>BS13+BT13</f>
        <v>0</v>
      </c>
      <c r="BV13" s="387">
        <f t="shared" si="1"/>
        <v>3204000</v>
      </c>
    </row>
    <row r="14" spans="1:74" x14ac:dyDescent="0.25">
      <c r="A14" s="917"/>
      <c r="B14" s="495"/>
      <c r="C14" s="38" t="s">
        <v>887</v>
      </c>
      <c r="D14" s="38" t="s">
        <v>888</v>
      </c>
      <c r="E14" s="375">
        <v>20000</v>
      </c>
      <c r="F14" s="38">
        <f>BJ14</f>
        <v>360</v>
      </c>
      <c r="G14" s="501">
        <f>E14*F14</f>
        <v>7200000</v>
      </c>
      <c r="H14" s="501">
        <f>G14*0.2</f>
        <v>1440000</v>
      </c>
      <c r="I14" s="501">
        <f>G14*0.8</f>
        <v>5760000</v>
      </c>
      <c r="J14" s="501"/>
      <c r="K14" s="501"/>
      <c r="L14" s="501"/>
      <c r="M14" s="501"/>
      <c r="N14" s="501"/>
      <c r="O14" s="76"/>
      <c r="P14" s="76"/>
      <c r="Q14" s="76"/>
      <c r="R14" s="500"/>
      <c r="S14" s="503"/>
      <c r="T14" s="502">
        <f>F14</f>
        <v>360</v>
      </c>
      <c r="U14" s="500"/>
      <c r="V14" s="502"/>
      <c r="W14" s="502"/>
      <c r="X14" s="502">
        <f>G14</f>
        <v>7200000</v>
      </c>
      <c r="Y14" s="502"/>
      <c r="Z14" s="383">
        <v>16</v>
      </c>
      <c r="AA14" s="158">
        <f>Z14*E14</f>
        <v>320000</v>
      </c>
      <c r="AB14" s="383">
        <v>12</v>
      </c>
      <c r="AC14" s="158">
        <f>AB14*E14</f>
        <v>240000</v>
      </c>
      <c r="AD14" s="383">
        <v>16</v>
      </c>
      <c r="AE14" s="158">
        <f>AD14*E14</f>
        <v>320000</v>
      </c>
      <c r="AF14" s="383">
        <v>20</v>
      </c>
      <c r="AG14" s="158">
        <f>AF14*E14</f>
        <v>400000</v>
      </c>
      <c r="AH14" s="383">
        <v>8</v>
      </c>
      <c r="AI14" s="158">
        <f>AH14*E14</f>
        <v>160000</v>
      </c>
      <c r="AJ14" s="383">
        <v>16</v>
      </c>
      <c r="AK14" s="158">
        <f>AJ14*E14</f>
        <v>320000</v>
      </c>
      <c r="AL14" s="383">
        <v>20</v>
      </c>
      <c r="AM14" s="158">
        <f>AL14*E14</f>
        <v>400000</v>
      </c>
      <c r="AN14" s="383">
        <v>32</v>
      </c>
      <c r="AO14" s="158">
        <f>AN14*E14</f>
        <v>640000</v>
      </c>
      <c r="AP14" s="383">
        <v>8</v>
      </c>
      <c r="AQ14" s="158">
        <f>AP14*E14</f>
        <v>160000</v>
      </c>
      <c r="AR14" s="383">
        <v>12</v>
      </c>
      <c r="AS14" s="158">
        <f>AR14*E14</f>
        <v>240000</v>
      </c>
      <c r="AT14" s="383">
        <v>24</v>
      </c>
      <c r="AU14" s="158">
        <f>AT14*E14</f>
        <v>480000</v>
      </c>
      <c r="AV14" s="383">
        <v>20</v>
      </c>
      <c r="AW14" s="158">
        <f>AV14*E14</f>
        <v>400000</v>
      </c>
      <c r="AX14" s="383">
        <v>36</v>
      </c>
      <c r="AY14" s="158">
        <f>AX14*E14</f>
        <v>720000</v>
      </c>
      <c r="AZ14" s="383">
        <v>36</v>
      </c>
      <c r="BA14" s="158">
        <f>AZ14*E14</f>
        <v>720000</v>
      </c>
      <c r="BB14" s="383">
        <v>12</v>
      </c>
      <c r="BC14" s="158">
        <f>BB14*E14</f>
        <v>240000</v>
      </c>
      <c r="BD14" s="383">
        <v>48</v>
      </c>
      <c r="BE14" s="158">
        <f>BD14*E14</f>
        <v>960000</v>
      </c>
      <c r="BF14" s="383">
        <v>24</v>
      </c>
      <c r="BG14" s="158">
        <f>BF14*E14</f>
        <v>480000</v>
      </c>
      <c r="BH14" s="383"/>
      <c r="BI14" s="158"/>
      <c r="BJ14" s="383">
        <f t="shared" si="20"/>
        <v>360</v>
      </c>
      <c r="BK14" s="158">
        <f t="shared" si="21"/>
        <v>7200000</v>
      </c>
      <c r="BL14" s="337" t="s">
        <v>469</v>
      </c>
      <c r="BN14" s="385"/>
      <c r="BO14" s="385"/>
      <c r="BP14" s="385"/>
      <c r="BQ14" s="385"/>
      <c r="BR14" s="385"/>
      <c r="BS14" s="385"/>
      <c r="BT14" s="385"/>
      <c r="BU14" s="385"/>
      <c r="BV14" s="387"/>
    </row>
    <row r="15" spans="1:74" s="275" customFormat="1" x14ac:dyDescent="0.25">
      <c r="A15" s="917"/>
      <c r="B15" s="402"/>
      <c r="C15" s="402"/>
      <c r="D15" s="402"/>
      <c r="E15" s="402"/>
      <c r="F15" s="288">
        <f>SUM(F11:F14)</f>
        <v>14355</v>
      </c>
      <c r="G15" s="288">
        <f>SUM(G11:G14)</f>
        <v>15597000</v>
      </c>
      <c r="H15" s="288">
        <f t="shared" ref="H15:Y15" si="22">SUM(H11:H14)</f>
        <v>3119400</v>
      </c>
      <c r="I15" s="288">
        <f t="shared" si="22"/>
        <v>12477600</v>
      </c>
      <c r="J15" s="288">
        <f t="shared" si="22"/>
        <v>0</v>
      </c>
      <c r="K15" s="288">
        <f t="shared" si="22"/>
        <v>0</v>
      </c>
      <c r="L15" s="288">
        <f t="shared" si="22"/>
        <v>0</v>
      </c>
      <c r="M15" s="288">
        <f t="shared" si="22"/>
        <v>0</v>
      </c>
      <c r="N15" s="288">
        <f t="shared" si="22"/>
        <v>0</v>
      </c>
      <c r="O15" s="288">
        <f t="shared" si="22"/>
        <v>0</v>
      </c>
      <c r="P15" s="288">
        <f t="shared" si="22"/>
        <v>0</v>
      </c>
      <c r="Q15" s="288">
        <f t="shared" si="22"/>
        <v>0</v>
      </c>
      <c r="R15" s="288">
        <f t="shared" si="22"/>
        <v>9796.5</v>
      </c>
      <c r="S15" s="288">
        <f t="shared" si="22"/>
        <v>4198.5</v>
      </c>
      <c r="T15" s="288">
        <f t="shared" si="22"/>
        <v>360</v>
      </c>
      <c r="U15" s="288">
        <f t="shared" si="22"/>
        <v>0</v>
      </c>
      <c r="V15" s="288">
        <f t="shared" si="22"/>
        <v>5877900</v>
      </c>
      <c r="W15" s="288">
        <f t="shared" si="22"/>
        <v>2519100</v>
      </c>
      <c r="X15" s="288">
        <f t="shared" si="22"/>
        <v>7200000</v>
      </c>
      <c r="Y15" s="288">
        <f t="shared" si="22"/>
        <v>0</v>
      </c>
      <c r="Z15" s="288">
        <f>SUM(Z11:Z14)</f>
        <v>16</v>
      </c>
      <c r="AA15" s="288">
        <f t="shared" ref="AA15:BK15" si="23">SUM(AA11:AA14)</f>
        <v>320000</v>
      </c>
      <c r="AB15" s="288">
        <f t="shared" si="23"/>
        <v>12</v>
      </c>
      <c r="AC15" s="288">
        <f t="shared" si="23"/>
        <v>240000</v>
      </c>
      <c r="AD15" s="288">
        <f t="shared" si="23"/>
        <v>16</v>
      </c>
      <c r="AE15" s="288">
        <f t="shared" si="23"/>
        <v>320000</v>
      </c>
      <c r="AF15" s="288">
        <f t="shared" si="23"/>
        <v>20</v>
      </c>
      <c r="AG15" s="288">
        <f t="shared" si="23"/>
        <v>400000</v>
      </c>
      <c r="AH15" s="288">
        <f t="shared" si="23"/>
        <v>8</v>
      </c>
      <c r="AI15" s="288">
        <f t="shared" si="23"/>
        <v>160000</v>
      </c>
      <c r="AJ15" s="288">
        <f t="shared" si="23"/>
        <v>16</v>
      </c>
      <c r="AK15" s="288">
        <f t="shared" si="23"/>
        <v>320000</v>
      </c>
      <c r="AL15" s="288">
        <f t="shared" si="23"/>
        <v>20</v>
      </c>
      <c r="AM15" s="288">
        <f t="shared" si="23"/>
        <v>400000</v>
      </c>
      <c r="AN15" s="288">
        <f t="shared" si="23"/>
        <v>32</v>
      </c>
      <c r="AO15" s="288">
        <f t="shared" si="23"/>
        <v>640000</v>
      </c>
      <c r="AP15" s="288">
        <f t="shared" si="23"/>
        <v>8</v>
      </c>
      <c r="AQ15" s="288">
        <f t="shared" si="23"/>
        <v>160000</v>
      </c>
      <c r="AR15" s="288">
        <f t="shared" si="23"/>
        <v>12</v>
      </c>
      <c r="AS15" s="288">
        <f t="shared" si="23"/>
        <v>240000</v>
      </c>
      <c r="AT15" s="288">
        <f t="shared" si="23"/>
        <v>24</v>
      </c>
      <c r="AU15" s="288">
        <f t="shared" si="23"/>
        <v>480000</v>
      </c>
      <c r="AV15" s="288">
        <f t="shared" si="23"/>
        <v>20</v>
      </c>
      <c r="AW15" s="288">
        <f t="shared" si="23"/>
        <v>400000</v>
      </c>
      <c r="AX15" s="288">
        <f t="shared" si="23"/>
        <v>36</v>
      </c>
      <c r="AY15" s="288">
        <f t="shared" si="23"/>
        <v>720000</v>
      </c>
      <c r="AZ15" s="288">
        <f t="shared" si="23"/>
        <v>36</v>
      </c>
      <c r="BA15" s="288">
        <f t="shared" si="23"/>
        <v>720000</v>
      </c>
      <c r="BB15" s="288">
        <f t="shared" si="23"/>
        <v>12</v>
      </c>
      <c r="BC15" s="288">
        <f t="shared" si="23"/>
        <v>240000</v>
      </c>
      <c r="BD15" s="288">
        <f t="shared" si="23"/>
        <v>48</v>
      </c>
      <c r="BE15" s="288">
        <f t="shared" si="23"/>
        <v>960000</v>
      </c>
      <c r="BF15" s="288">
        <f t="shared" si="23"/>
        <v>24</v>
      </c>
      <c r="BG15" s="288">
        <f t="shared" si="23"/>
        <v>480000</v>
      </c>
      <c r="BH15" s="288">
        <f t="shared" si="23"/>
        <v>13995</v>
      </c>
      <c r="BI15" s="288">
        <f t="shared" si="23"/>
        <v>8397000</v>
      </c>
      <c r="BJ15" s="288">
        <f t="shared" si="23"/>
        <v>14355</v>
      </c>
      <c r="BK15" s="288">
        <f t="shared" si="23"/>
        <v>15597000</v>
      </c>
      <c r="BL15" s="247"/>
      <c r="BN15" s="504">
        <f t="shared" ref="BN15:BU15" si="24">SUM(BN11:BN13)</f>
        <v>0</v>
      </c>
      <c r="BO15" s="504">
        <f t="shared" si="24"/>
        <v>8397000</v>
      </c>
      <c r="BP15" s="504">
        <f t="shared" si="24"/>
        <v>0</v>
      </c>
      <c r="BQ15" s="504">
        <f t="shared" si="24"/>
        <v>0</v>
      </c>
      <c r="BR15" s="504">
        <f t="shared" si="24"/>
        <v>8397000</v>
      </c>
      <c r="BS15" s="504">
        <f t="shared" si="24"/>
        <v>0</v>
      </c>
      <c r="BT15" s="504">
        <f t="shared" si="24"/>
        <v>0</v>
      </c>
      <c r="BU15" s="504">
        <f t="shared" si="24"/>
        <v>0</v>
      </c>
      <c r="BV15" s="505">
        <f t="shared" si="1"/>
        <v>8397000</v>
      </c>
    </row>
    <row r="16" spans="1:74" x14ac:dyDescent="0.25">
      <c r="A16" s="917"/>
      <c r="B16" s="38">
        <v>23200</v>
      </c>
      <c r="C16" s="38" t="s">
        <v>179</v>
      </c>
      <c r="D16" s="38"/>
      <c r="E16" s="375"/>
      <c r="F16" s="38"/>
      <c r="G16" s="498"/>
      <c r="H16" s="498"/>
      <c r="I16" s="498"/>
      <c r="J16" s="498"/>
      <c r="K16" s="498"/>
      <c r="L16" s="498"/>
      <c r="M16" s="498"/>
      <c r="N16" s="498"/>
      <c r="O16" s="499"/>
      <c r="P16" s="499"/>
      <c r="Q16" s="499"/>
      <c r="R16" s="108"/>
      <c r="S16" s="108"/>
      <c r="T16" s="108"/>
      <c r="U16" s="108"/>
      <c r="V16" s="108"/>
      <c r="W16" s="108"/>
      <c r="X16" s="108"/>
      <c r="Y16" s="108"/>
      <c r="Z16" s="383">
        <v>0</v>
      </c>
      <c r="AA16" s="158">
        <f t="shared" si="2"/>
        <v>0</v>
      </c>
      <c r="AB16" s="383">
        <v>0</v>
      </c>
      <c r="AC16" s="158">
        <f t="shared" si="3"/>
        <v>0</v>
      </c>
      <c r="AD16" s="383">
        <v>0</v>
      </c>
      <c r="AE16" s="158">
        <f t="shared" si="4"/>
        <v>0</v>
      </c>
      <c r="AF16" s="383">
        <v>0</v>
      </c>
      <c r="AG16" s="158">
        <f t="shared" si="5"/>
        <v>0</v>
      </c>
      <c r="AH16" s="421"/>
      <c r="AI16" s="158">
        <f t="shared" si="6"/>
        <v>0</v>
      </c>
      <c r="AJ16" s="421"/>
      <c r="AK16" s="158">
        <f t="shared" si="7"/>
        <v>0</v>
      </c>
      <c r="AL16" s="421"/>
      <c r="AM16" s="158">
        <f t="shared" si="8"/>
        <v>0</v>
      </c>
      <c r="AN16" s="421"/>
      <c r="AO16" s="158">
        <f t="shared" si="9"/>
        <v>0</v>
      </c>
      <c r="AP16" s="421"/>
      <c r="AQ16" s="158">
        <f t="shared" si="10"/>
        <v>0</v>
      </c>
      <c r="AR16" s="421"/>
      <c r="AS16" s="158">
        <f t="shared" si="11"/>
        <v>0</v>
      </c>
      <c r="AT16" s="421"/>
      <c r="AU16" s="158">
        <f t="shared" si="12"/>
        <v>0</v>
      </c>
      <c r="AV16" s="421"/>
      <c r="AW16" s="158">
        <f t="shared" si="13"/>
        <v>0</v>
      </c>
      <c r="AX16" s="421"/>
      <c r="AY16" s="158">
        <f t="shared" si="14"/>
        <v>0</v>
      </c>
      <c r="AZ16" s="421"/>
      <c r="BA16" s="158">
        <f t="shared" si="15"/>
        <v>0</v>
      </c>
      <c r="BB16" s="421"/>
      <c r="BC16" s="158">
        <f t="shared" si="16"/>
        <v>0</v>
      </c>
      <c r="BD16" s="421"/>
      <c r="BE16" s="158">
        <f t="shared" si="17"/>
        <v>0</v>
      </c>
      <c r="BF16" s="421"/>
      <c r="BG16" s="158">
        <f t="shared" si="18"/>
        <v>0</v>
      </c>
      <c r="BH16" s="421"/>
      <c r="BI16" s="158">
        <f t="shared" si="19"/>
        <v>0</v>
      </c>
      <c r="BJ16" s="383">
        <f t="shared" si="20"/>
        <v>0</v>
      </c>
      <c r="BK16" s="158">
        <f t="shared" si="21"/>
        <v>0</v>
      </c>
      <c r="BL16" s="506"/>
      <c r="BN16" s="385"/>
      <c r="BO16" s="385"/>
      <c r="BP16" s="385"/>
      <c r="BQ16" s="385"/>
      <c r="BR16" s="385"/>
      <c r="BS16" s="385"/>
      <c r="BT16" s="385"/>
      <c r="BU16" s="385"/>
      <c r="BV16" s="387">
        <f t="shared" si="1"/>
        <v>0</v>
      </c>
    </row>
    <row r="17" spans="1:80" x14ac:dyDescent="0.25">
      <c r="A17" s="917"/>
      <c r="B17" s="495"/>
      <c r="C17" s="38" t="s">
        <v>794</v>
      </c>
      <c r="D17" s="38" t="s">
        <v>177</v>
      </c>
      <c r="E17" s="375">
        <f>0.03*100000</f>
        <v>3000</v>
      </c>
      <c r="F17" s="38">
        <f>BJ17</f>
        <v>89</v>
      </c>
      <c r="G17" s="501">
        <f>E17*F17</f>
        <v>267000</v>
      </c>
      <c r="H17" s="501">
        <f>G17*0</f>
        <v>0</v>
      </c>
      <c r="I17" s="501">
        <f>G17*0.8</f>
        <v>213600</v>
      </c>
      <c r="J17" s="501">
        <f>G17*0</f>
        <v>0</v>
      </c>
      <c r="K17" s="501">
        <f>G17*0</f>
        <v>0</v>
      </c>
      <c r="L17" s="501">
        <f>G17*0</f>
        <v>0</v>
      </c>
      <c r="M17" s="501">
        <f>G17*0</f>
        <v>0</v>
      </c>
      <c r="N17" s="501">
        <f>G17*0</f>
        <v>0</v>
      </c>
      <c r="O17" s="76">
        <f>G17*0</f>
        <v>0</v>
      </c>
      <c r="P17" s="76">
        <f>G17*0.2</f>
        <v>53400</v>
      </c>
      <c r="Q17" s="76">
        <f>G17*0</f>
        <v>0</v>
      </c>
      <c r="R17" s="108"/>
      <c r="S17" s="503">
        <f>F17*0.7</f>
        <v>62.3</v>
      </c>
      <c r="T17" s="503">
        <f>F17*0.3</f>
        <v>26.7</v>
      </c>
      <c r="V17" s="502">
        <f>R17*E17</f>
        <v>0</v>
      </c>
      <c r="W17" s="502">
        <f>S17*E17</f>
        <v>186900</v>
      </c>
      <c r="X17" s="502">
        <f>T17*E17</f>
        <v>80100</v>
      </c>
      <c r="Y17" s="502">
        <f>U17*E17</f>
        <v>0</v>
      </c>
      <c r="Z17" s="383">
        <v>3</v>
      </c>
      <c r="AA17" s="158">
        <f t="shared" si="2"/>
        <v>9000</v>
      </c>
      <c r="AB17" s="383">
        <v>3</v>
      </c>
      <c r="AC17" s="158">
        <f t="shared" si="3"/>
        <v>9000</v>
      </c>
      <c r="AD17" s="383">
        <v>4</v>
      </c>
      <c r="AE17" s="158">
        <f t="shared" si="4"/>
        <v>12000</v>
      </c>
      <c r="AF17" s="383">
        <v>5</v>
      </c>
      <c r="AG17" s="158">
        <f t="shared" si="5"/>
        <v>15000</v>
      </c>
      <c r="AH17" s="383">
        <v>2</v>
      </c>
      <c r="AI17" s="158">
        <f t="shared" si="6"/>
        <v>6000</v>
      </c>
      <c r="AJ17" s="383">
        <v>4</v>
      </c>
      <c r="AK17" s="158">
        <f t="shared" si="7"/>
        <v>12000</v>
      </c>
      <c r="AL17" s="383">
        <v>5</v>
      </c>
      <c r="AM17" s="158">
        <f t="shared" si="8"/>
        <v>15000</v>
      </c>
      <c r="AN17" s="383">
        <v>8</v>
      </c>
      <c r="AO17" s="158">
        <f t="shared" si="9"/>
        <v>24000</v>
      </c>
      <c r="AP17" s="383">
        <v>2</v>
      </c>
      <c r="AQ17" s="158">
        <f t="shared" si="10"/>
        <v>6000</v>
      </c>
      <c r="AR17" s="383">
        <v>3</v>
      </c>
      <c r="AS17" s="158">
        <f t="shared" si="11"/>
        <v>9000</v>
      </c>
      <c r="AT17" s="383">
        <v>6</v>
      </c>
      <c r="AU17" s="158">
        <f t="shared" si="12"/>
        <v>18000</v>
      </c>
      <c r="AV17" s="383">
        <v>5</v>
      </c>
      <c r="AW17" s="158">
        <f t="shared" si="13"/>
        <v>15000</v>
      </c>
      <c r="AX17" s="383">
        <v>9</v>
      </c>
      <c r="AY17" s="158">
        <f t="shared" si="14"/>
        <v>27000</v>
      </c>
      <c r="AZ17" s="383">
        <v>9</v>
      </c>
      <c r="BA17" s="158">
        <f t="shared" si="15"/>
        <v>27000</v>
      </c>
      <c r="BB17" s="383">
        <v>3</v>
      </c>
      <c r="BC17" s="158">
        <f t="shared" si="16"/>
        <v>9000</v>
      </c>
      <c r="BD17" s="383">
        <v>12</v>
      </c>
      <c r="BE17" s="158">
        <f t="shared" si="17"/>
        <v>36000</v>
      </c>
      <c r="BF17" s="383">
        <v>6</v>
      </c>
      <c r="BG17" s="158">
        <f t="shared" si="18"/>
        <v>18000</v>
      </c>
      <c r="BH17" s="383">
        <v>0</v>
      </c>
      <c r="BI17" s="158">
        <f t="shared" si="19"/>
        <v>0</v>
      </c>
      <c r="BJ17" s="383">
        <f t="shared" si="20"/>
        <v>89</v>
      </c>
      <c r="BK17" s="158">
        <f t="shared" si="21"/>
        <v>267000</v>
      </c>
      <c r="BL17" s="337" t="s">
        <v>478</v>
      </c>
      <c r="BN17" s="385"/>
      <c r="BO17" s="385"/>
      <c r="BP17" s="385">
        <f>G17</f>
        <v>267000</v>
      </c>
      <c r="BQ17" s="385"/>
      <c r="BR17" s="385">
        <f>BN17+BO17+BP17+BQ17</f>
        <v>267000</v>
      </c>
      <c r="BS17" s="385"/>
      <c r="BT17" s="385"/>
      <c r="BU17" s="385">
        <f>BS17+BT17</f>
        <v>0</v>
      </c>
      <c r="BV17" s="387">
        <f t="shared" si="1"/>
        <v>267000</v>
      </c>
    </row>
    <row r="18" spans="1:80" ht="44.25" customHeight="1" x14ac:dyDescent="0.25">
      <c r="A18" s="917"/>
      <c r="B18" s="495"/>
      <c r="C18" s="38" t="s">
        <v>795</v>
      </c>
      <c r="D18" s="38" t="s">
        <v>177</v>
      </c>
      <c r="E18" s="375">
        <f>0.05*100000</f>
        <v>5000</v>
      </c>
      <c r="F18" s="38">
        <f>BJ18</f>
        <v>89</v>
      </c>
      <c r="G18" s="501">
        <f>E18*F18</f>
        <v>445000</v>
      </c>
      <c r="H18" s="501">
        <f>G18*0</f>
        <v>0</v>
      </c>
      <c r="I18" s="501">
        <f>G18*0.8</f>
        <v>356000</v>
      </c>
      <c r="J18" s="501">
        <f>G18*0</f>
        <v>0</v>
      </c>
      <c r="K18" s="501">
        <f>G18*0</f>
        <v>0</v>
      </c>
      <c r="L18" s="501">
        <f>G18*0</f>
        <v>0</v>
      </c>
      <c r="M18" s="501">
        <f>G18*0</f>
        <v>0</v>
      </c>
      <c r="N18" s="501">
        <f>G18*0</f>
        <v>0</v>
      </c>
      <c r="O18" s="76">
        <f>G18*0</f>
        <v>0</v>
      </c>
      <c r="P18" s="76">
        <f>G18*0.2</f>
        <v>89000</v>
      </c>
      <c r="Q18" s="76">
        <f>G18*0</f>
        <v>0</v>
      </c>
      <c r="R18" s="108"/>
      <c r="S18" s="503">
        <f>F18*0.7</f>
        <v>62.3</v>
      </c>
      <c r="T18" s="503">
        <f>F18*0.3</f>
        <v>26.7</v>
      </c>
      <c r="V18" s="502">
        <f>R18*E18</f>
        <v>0</v>
      </c>
      <c r="W18" s="502">
        <f>S18*E18</f>
        <v>311500</v>
      </c>
      <c r="X18" s="502">
        <f>T18*E18</f>
        <v>133500</v>
      </c>
      <c r="Y18" s="502">
        <f>U18*E18</f>
        <v>0</v>
      </c>
      <c r="Z18" s="383">
        <v>3</v>
      </c>
      <c r="AA18" s="158">
        <f t="shared" si="2"/>
        <v>15000</v>
      </c>
      <c r="AB18" s="383">
        <v>3</v>
      </c>
      <c r="AC18" s="158">
        <f t="shared" si="3"/>
        <v>15000</v>
      </c>
      <c r="AD18" s="383">
        <v>4</v>
      </c>
      <c r="AE18" s="158">
        <f t="shared" si="4"/>
        <v>20000</v>
      </c>
      <c r="AF18" s="383">
        <v>5</v>
      </c>
      <c r="AG18" s="158">
        <f t="shared" si="5"/>
        <v>25000</v>
      </c>
      <c r="AH18" s="383">
        <v>2</v>
      </c>
      <c r="AI18" s="158">
        <f t="shared" si="6"/>
        <v>10000</v>
      </c>
      <c r="AJ18" s="383">
        <v>4</v>
      </c>
      <c r="AK18" s="158">
        <f t="shared" si="7"/>
        <v>20000</v>
      </c>
      <c r="AL18" s="383">
        <v>5</v>
      </c>
      <c r="AM18" s="158">
        <f t="shared" si="8"/>
        <v>25000</v>
      </c>
      <c r="AN18" s="383">
        <v>8</v>
      </c>
      <c r="AO18" s="158">
        <f t="shared" si="9"/>
        <v>40000</v>
      </c>
      <c r="AP18" s="383">
        <v>2</v>
      </c>
      <c r="AQ18" s="158">
        <f t="shared" si="10"/>
        <v>10000</v>
      </c>
      <c r="AR18" s="383">
        <v>3</v>
      </c>
      <c r="AS18" s="158">
        <f t="shared" si="11"/>
        <v>15000</v>
      </c>
      <c r="AT18" s="383">
        <v>6</v>
      </c>
      <c r="AU18" s="158">
        <f t="shared" si="12"/>
        <v>30000</v>
      </c>
      <c r="AV18" s="383">
        <v>5</v>
      </c>
      <c r="AW18" s="158">
        <f t="shared" si="13"/>
        <v>25000</v>
      </c>
      <c r="AX18" s="383">
        <v>9</v>
      </c>
      <c r="AY18" s="158">
        <f t="shared" si="14"/>
        <v>45000</v>
      </c>
      <c r="AZ18" s="383">
        <v>9</v>
      </c>
      <c r="BA18" s="158">
        <f t="shared" si="15"/>
        <v>45000</v>
      </c>
      <c r="BB18" s="383">
        <v>3</v>
      </c>
      <c r="BC18" s="158">
        <f t="shared" si="16"/>
        <v>15000</v>
      </c>
      <c r="BD18" s="383">
        <v>12</v>
      </c>
      <c r="BE18" s="158">
        <f t="shared" si="17"/>
        <v>60000</v>
      </c>
      <c r="BF18" s="383">
        <v>6</v>
      </c>
      <c r="BG18" s="158">
        <f t="shared" si="18"/>
        <v>30000</v>
      </c>
      <c r="BH18" s="383">
        <v>0</v>
      </c>
      <c r="BI18" s="158">
        <f t="shared" si="19"/>
        <v>0</v>
      </c>
      <c r="BJ18" s="383">
        <f t="shared" si="20"/>
        <v>89</v>
      </c>
      <c r="BK18" s="158">
        <f t="shared" si="21"/>
        <v>445000</v>
      </c>
      <c r="BL18" s="337" t="s">
        <v>478</v>
      </c>
      <c r="BN18" s="385"/>
      <c r="BO18" s="385"/>
      <c r="BP18" s="385">
        <f>G18</f>
        <v>445000</v>
      </c>
      <c r="BQ18" s="385"/>
      <c r="BR18" s="385">
        <f>BN18+BO18+BP18+BQ18</f>
        <v>445000</v>
      </c>
      <c r="BS18" s="385"/>
      <c r="BT18" s="385"/>
      <c r="BU18" s="385">
        <f>BS18+BT18</f>
        <v>0</v>
      </c>
      <c r="BV18" s="387">
        <f t="shared" si="1"/>
        <v>445000</v>
      </c>
    </row>
    <row r="19" spans="1:80" x14ac:dyDescent="0.25">
      <c r="A19" s="917"/>
      <c r="B19" s="495"/>
      <c r="C19" s="38" t="s">
        <v>180</v>
      </c>
      <c r="D19" s="38" t="s">
        <v>177</v>
      </c>
      <c r="E19" s="375">
        <f>0.17*100000</f>
        <v>17000</v>
      </c>
      <c r="F19" s="38">
        <f>BJ19</f>
        <v>89</v>
      </c>
      <c r="G19" s="501">
        <f>E19*F19</f>
        <v>1513000</v>
      </c>
      <c r="H19" s="501">
        <f>G19*0</f>
        <v>0</v>
      </c>
      <c r="I19" s="501">
        <f>G19*0.8</f>
        <v>1210400</v>
      </c>
      <c r="J19" s="501">
        <f>G19*0</f>
        <v>0</v>
      </c>
      <c r="K19" s="501">
        <f>G19*0</f>
        <v>0</v>
      </c>
      <c r="L19" s="501">
        <f>G19*0</f>
        <v>0</v>
      </c>
      <c r="M19" s="501">
        <f>G19*0</f>
        <v>0</v>
      </c>
      <c r="N19" s="501">
        <f>G19*0</f>
        <v>0</v>
      </c>
      <c r="O19" s="76">
        <f>G19*0</f>
        <v>0</v>
      </c>
      <c r="P19" s="76">
        <f>G19*0.2</f>
        <v>302600</v>
      </c>
      <c r="Q19" s="76">
        <f>G19*0</f>
        <v>0</v>
      </c>
      <c r="R19" s="108"/>
      <c r="S19" s="503">
        <f>F19*0.7</f>
        <v>62.3</v>
      </c>
      <c r="T19" s="503">
        <f>F19*0.3</f>
        <v>26.7</v>
      </c>
      <c r="V19" s="502">
        <f>R19*E19</f>
        <v>0</v>
      </c>
      <c r="W19" s="502">
        <f>S19*E19</f>
        <v>1059100</v>
      </c>
      <c r="X19" s="502">
        <f>T19*E19</f>
        <v>453900</v>
      </c>
      <c r="Y19" s="502">
        <f>U19*E19</f>
        <v>0</v>
      </c>
      <c r="Z19" s="383">
        <v>3</v>
      </c>
      <c r="AA19" s="158">
        <f t="shared" si="2"/>
        <v>51000</v>
      </c>
      <c r="AB19" s="383">
        <v>3</v>
      </c>
      <c r="AC19" s="158">
        <f t="shared" si="3"/>
        <v>51000</v>
      </c>
      <c r="AD19" s="383">
        <v>4</v>
      </c>
      <c r="AE19" s="158">
        <f t="shared" si="4"/>
        <v>68000</v>
      </c>
      <c r="AF19" s="383">
        <v>5</v>
      </c>
      <c r="AG19" s="158">
        <f t="shared" si="5"/>
        <v>85000</v>
      </c>
      <c r="AH19" s="383">
        <v>2</v>
      </c>
      <c r="AI19" s="158">
        <f t="shared" si="6"/>
        <v>34000</v>
      </c>
      <c r="AJ19" s="383">
        <v>4</v>
      </c>
      <c r="AK19" s="158">
        <f t="shared" si="7"/>
        <v>68000</v>
      </c>
      <c r="AL19" s="383">
        <v>5</v>
      </c>
      <c r="AM19" s="158">
        <f t="shared" si="8"/>
        <v>85000</v>
      </c>
      <c r="AN19" s="383">
        <v>8</v>
      </c>
      <c r="AO19" s="158">
        <f t="shared" si="9"/>
        <v>136000</v>
      </c>
      <c r="AP19" s="383">
        <v>2</v>
      </c>
      <c r="AQ19" s="158">
        <f t="shared" si="10"/>
        <v>34000</v>
      </c>
      <c r="AR19" s="383">
        <v>3</v>
      </c>
      <c r="AS19" s="158">
        <f t="shared" si="11"/>
        <v>51000</v>
      </c>
      <c r="AT19" s="383">
        <v>6</v>
      </c>
      <c r="AU19" s="158">
        <f t="shared" si="12"/>
        <v>102000</v>
      </c>
      <c r="AV19" s="383">
        <v>5</v>
      </c>
      <c r="AW19" s="158">
        <f t="shared" si="13"/>
        <v>85000</v>
      </c>
      <c r="AX19" s="383">
        <v>9</v>
      </c>
      <c r="AY19" s="158">
        <f t="shared" si="14"/>
        <v>153000</v>
      </c>
      <c r="AZ19" s="383">
        <v>9</v>
      </c>
      <c r="BA19" s="158">
        <f t="shared" si="15"/>
        <v>153000</v>
      </c>
      <c r="BB19" s="383">
        <v>3</v>
      </c>
      <c r="BC19" s="158">
        <f t="shared" si="16"/>
        <v>51000</v>
      </c>
      <c r="BD19" s="383">
        <v>12</v>
      </c>
      <c r="BE19" s="158">
        <f t="shared" si="17"/>
        <v>204000</v>
      </c>
      <c r="BF19" s="383">
        <v>6</v>
      </c>
      <c r="BG19" s="158">
        <f t="shared" si="18"/>
        <v>102000</v>
      </c>
      <c r="BH19" s="383">
        <v>0</v>
      </c>
      <c r="BI19" s="158">
        <f t="shared" si="19"/>
        <v>0</v>
      </c>
      <c r="BJ19" s="383">
        <f t="shared" si="20"/>
        <v>89</v>
      </c>
      <c r="BK19" s="158">
        <f t="shared" si="21"/>
        <v>1513000</v>
      </c>
      <c r="BL19" s="337" t="s">
        <v>478</v>
      </c>
      <c r="BN19" s="385"/>
      <c r="BO19" s="385"/>
      <c r="BP19" s="385">
        <f>G19</f>
        <v>1513000</v>
      </c>
      <c r="BQ19" s="385"/>
      <c r="BR19" s="385">
        <f>BN19+BO19+BP19+BQ19</f>
        <v>1513000</v>
      </c>
      <c r="BS19" s="385"/>
      <c r="BT19" s="385"/>
      <c r="BU19" s="385">
        <f>BS19+BT19</f>
        <v>0</v>
      </c>
      <c r="BV19" s="387">
        <f t="shared" si="1"/>
        <v>1513000</v>
      </c>
    </row>
    <row r="20" spans="1:80" x14ac:dyDescent="0.25">
      <c r="A20" s="917"/>
      <c r="B20" s="495"/>
      <c r="C20" s="38" t="s">
        <v>181</v>
      </c>
      <c r="D20" s="38" t="s">
        <v>177</v>
      </c>
      <c r="E20" s="375">
        <f>0.7*100000</f>
        <v>70000</v>
      </c>
      <c r="F20" s="38">
        <f>BJ20</f>
        <v>7</v>
      </c>
      <c r="G20" s="501">
        <f>E20*F20</f>
        <v>490000</v>
      </c>
      <c r="H20" s="501">
        <f>G20*0</f>
        <v>0</v>
      </c>
      <c r="I20" s="501">
        <f>G20*0.8</f>
        <v>392000</v>
      </c>
      <c r="J20" s="501">
        <f>G20*0</f>
        <v>0</v>
      </c>
      <c r="K20" s="501">
        <f>G20*0</f>
        <v>0</v>
      </c>
      <c r="L20" s="501">
        <f>G20*0</f>
        <v>0</v>
      </c>
      <c r="M20" s="501">
        <f>G20*0</f>
        <v>0</v>
      </c>
      <c r="N20" s="501">
        <f>G20*0</f>
        <v>0</v>
      </c>
      <c r="O20" s="76">
        <f>G20*0</f>
        <v>0</v>
      </c>
      <c r="P20" s="76">
        <f>G20*0.2</f>
        <v>98000</v>
      </c>
      <c r="Q20" s="76">
        <f>G20*0</f>
        <v>0</v>
      </c>
      <c r="R20" s="108"/>
      <c r="S20" s="503">
        <f>F20*0.7</f>
        <v>4.8999999999999995</v>
      </c>
      <c r="T20" s="503">
        <f>F20*0.3</f>
        <v>2.1</v>
      </c>
      <c r="U20" s="108"/>
      <c r="V20" s="502">
        <f>R20*E20</f>
        <v>0</v>
      </c>
      <c r="W20" s="502">
        <f>S20*E20</f>
        <v>342999.99999999994</v>
      </c>
      <c r="X20" s="502">
        <f>T20*E20</f>
        <v>147000</v>
      </c>
      <c r="Y20" s="502">
        <f>U20*E20</f>
        <v>0</v>
      </c>
      <c r="Z20" s="383">
        <v>0</v>
      </c>
      <c r="AA20" s="158">
        <f t="shared" si="2"/>
        <v>0</v>
      </c>
      <c r="AB20" s="383">
        <v>0</v>
      </c>
      <c r="AC20" s="158">
        <f t="shared" si="3"/>
        <v>0</v>
      </c>
      <c r="AD20" s="383">
        <v>0</v>
      </c>
      <c r="AE20" s="158">
        <f t="shared" si="4"/>
        <v>0</v>
      </c>
      <c r="AF20" s="383">
        <v>1</v>
      </c>
      <c r="AG20" s="158">
        <f t="shared" si="5"/>
        <v>70000</v>
      </c>
      <c r="AH20" s="383">
        <v>0</v>
      </c>
      <c r="AI20" s="158">
        <f t="shared" si="6"/>
        <v>0</v>
      </c>
      <c r="AJ20" s="383">
        <v>0</v>
      </c>
      <c r="AK20" s="158">
        <f t="shared" si="7"/>
        <v>0</v>
      </c>
      <c r="AL20" s="383">
        <v>1</v>
      </c>
      <c r="AM20" s="158">
        <f t="shared" si="8"/>
        <v>70000</v>
      </c>
      <c r="AN20" s="383">
        <v>0</v>
      </c>
      <c r="AO20" s="158">
        <f t="shared" si="9"/>
        <v>0</v>
      </c>
      <c r="AP20" s="383">
        <v>0</v>
      </c>
      <c r="AQ20" s="158">
        <f t="shared" si="10"/>
        <v>0</v>
      </c>
      <c r="AR20" s="383">
        <v>0</v>
      </c>
      <c r="AS20" s="158">
        <f t="shared" si="11"/>
        <v>0</v>
      </c>
      <c r="AT20" s="383">
        <v>0</v>
      </c>
      <c r="AU20" s="158">
        <f t="shared" si="12"/>
        <v>0</v>
      </c>
      <c r="AV20" s="383">
        <v>0</v>
      </c>
      <c r="AW20" s="158">
        <f t="shared" si="13"/>
        <v>0</v>
      </c>
      <c r="AX20" s="383">
        <v>1</v>
      </c>
      <c r="AY20" s="158">
        <f t="shared" si="14"/>
        <v>70000</v>
      </c>
      <c r="AZ20" s="383">
        <v>1</v>
      </c>
      <c r="BA20" s="158">
        <f t="shared" si="15"/>
        <v>70000</v>
      </c>
      <c r="BB20" s="383">
        <v>1</v>
      </c>
      <c r="BC20" s="158">
        <f t="shared" si="16"/>
        <v>70000</v>
      </c>
      <c r="BD20" s="383">
        <v>1</v>
      </c>
      <c r="BE20" s="158">
        <f t="shared" si="17"/>
        <v>70000</v>
      </c>
      <c r="BF20" s="383">
        <v>1</v>
      </c>
      <c r="BG20" s="158">
        <f t="shared" si="18"/>
        <v>70000</v>
      </c>
      <c r="BH20" s="383">
        <v>0</v>
      </c>
      <c r="BI20" s="158">
        <f t="shared" si="19"/>
        <v>0</v>
      </c>
      <c r="BJ20" s="383">
        <f t="shared" si="20"/>
        <v>7</v>
      </c>
      <c r="BK20" s="158">
        <f t="shared" si="21"/>
        <v>490000</v>
      </c>
      <c r="BL20" s="337" t="s">
        <v>478</v>
      </c>
      <c r="BN20" s="385"/>
      <c r="BO20" s="385"/>
      <c r="BP20" s="385">
        <f>G20</f>
        <v>490000</v>
      </c>
      <c r="BQ20" s="385"/>
      <c r="BR20" s="385">
        <f>BN20+BO20+BP20+BQ20</f>
        <v>490000</v>
      </c>
      <c r="BS20" s="385"/>
      <c r="BT20" s="385"/>
      <c r="BU20" s="385">
        <f>BS20+BT20</f>
        <v>0</v>
      </c>
      <c r="BV20" s="387">
        <f t="shared" si="1"/>
        <v>490000</v>
      </c>
    </row>
    <row r="21" spans="1:80" x14ac:dyDescent="0.25">
      <c r="A21" s="917"/>
      <c r="B21" s="495"/>
      <c r="C21" s="38" t="s">
        <v>182</v>
      </c>
      <c r="D21" s="38" t="s">
        <v>177</v>
      </c>
      <c r="E21" s="375">
        <f>0.3*100000</f>
        <v>30000</v>
      </c>
      <c r="F21" s="38">
        <f>BJ21</f>
        <v>9</v>
      </c>
      <c r="G21" s="501">
        <f>E21*F21</f>
        <v>270000</v>
      </c>
      <c r="H21" s="501">
        <f>G21*0</f>
        <v>0</v>
      </c>
      <c r="I21" s="501">
        <f>G21*0.8</f>
        <v>216000</v>
      </c>
      <c r="J21" s="501">
        <f>G21*0</f>
        <v>0</v>
      </c>
      <c r="K21" s="501">
        <f>G21*0</f>
        <v>0</v>
      </c>
      <c r="L21" s="501">
        <f>G21*0</f>
        <v>0</v>
      </c>
      <c r="M21" s="501">
        <f>G21*0</f>
        <v>0</v>
      </c>
      <c r="N21" s="501">
        <f>G21*0</f>
        <v>0</v>
      </c>
      <c r="O21" s="76">
        <f>G21*0</f>
        <v>0</v>
      </c>
      <c r="P21" s="76">
        <f>G21*0.2</f>
        <v>54000</v>
      </c>
      <c r="Q21" s="76">
        <f>G21*0</f>
        <v>0</v>
      </c>
      <c r="R21" s="108"/>
      <c r="S21" s="503">
        <f>F21*0.7</f>
        <v>6.3</v>
      </c>
      <c r="T21" s="503">
        <f>F21*0.3</f>
        <v>2.6999999999999997</v>
      </c>
      <c r="U21" s="108"/>
      <c r="V21" s="502">
        <f>R21*E21</f>
        <v>0</v>
      </c>
      <c r="W21" s="502">
        <f>S21*E21</f>
        <v>189000</v>
      </c>
      <c r="X21" s="502">
        <f>T21*E21</f>
        <v>80999.999999999985</v>
      </c>
      <c r="Y21" s="502">
        <f>U21*E21</f>
        <v>0</v>
      </c>
      <c r="Z21" s="383">
        <v>1</v>
      </c>
      <c r="AA21" s="158">
        <f t="shared" si="2"/>
        <v>30000</v>
      </c>
      <c r="AB21" s="383">
        <v>1</v>
      </c>
      <c r="AC21" s="158">
        <f t="shared" si="3"/>
        <v>30000</v>
      </c>
      <c r="AD21" s="383">
        <v>1</v>
      </c>
      <c r="AE21" s="158">
        <f t="shared" si="4"/>
        <v>30000</v>
      </c>
      <c r="AF21" s="383">
        <v>0</v>
      </c>
      <c r="AG21" s="158">
        <f t="shared" si="5"/>
        <v>0</v>
      </c>
      <c r="AH21" s="383">
        <v>1</v>
      </c>
      <c r="AI21" s="158">
        <f t="shared" si="6"/>
        <v>30000</v>
      </c>
      <c r="AJ21" s="383">
        <v>1</v>
      </c>
      <c r="AK21" s="158">
        <f t="shared" si="7"/>
        <v>30000</v>
      </c>
      <c r="AL21" s="383">
        <v>0</v>
      </c>
      <c r="AM21" s="158">
        <f t="shared" si="8"/>
        <v>0</v>
      </c>
      <c r="AN21" s="383">
        <v>1</v>
      </c>
      <c r="AO21" s="158">
        <f t="shared" si="9"/>
        <v>30000</v>
      </c>
      <c r="AP21" s="383">
        <v>1</v>
      </c>
      <c r="AQ21" s="158">
        <f t="shared" si="10"/>
        <v>30000</v>
      </c>
      <c r="AR21" s="383">
        <v>1</v>
      </c>
      <c r="AS21" s="158">
        <f t="shared" si="11"/>
        <v>30000</v>
      </c>
      <c r="AT21" s="383">
        <v>0</v>
      </c>
      <c r="AU21" s="158">
        <f t="shared" si="12"/>
        <v>0</v>
      </c>
      <c r="AV21" s="383">
        <v>1</v>
      </c>
      <c r="AW21" s="158">
        <f t="shared" si="13"/>
        <v>30000</v>
      </c>
      <c r="AX21" s="383">
        <v>0</v>
      </c>
      <c r="AY21" s="158">
        <f t="shared" si="14"/>
        <v>0</v>
      </c>
      <c r="AZ21" s="383">
        <v>0</v>
      </c>
      <c r="BA21" s="158">
        <f t="shared" si="15"/>
        <v>0</v>
      </c>
      <c r="BB21" s="383">
        <v>0</v>
      </c>
      <c r="BC21" s="158">
        <f t="shared" si="16"/>
        <v>0</v>
      </c>
      <c r="BD21" s="383">
        <v>0</v>
      </c>
      <c r="BE21" s="158">
        <f t="shared" si="17"/>
        <v>0</v>
      </c>
      <c r="BF21" s="383">
        <v>0</v>
      </c>
      <c r="BG21" s="158">
        <f t="shared" si="18"/>
        <v>0</v>
      </c>
      <c r="BH21" s="383">
        <v>0</v>
      </c>
      <c r="BI21" s="158">
        <f t="shared" si="19"/>
        <v>0</v>
      </c>
      <c r="BJ21" s="383">
        <f t="shared" si="20"/>
        <v>9</v>
      </c>
      <c r="BK21" s="158">
        <f t="shared" si="21"/>
        <v>270000</v>
      </c>
      <c r="BL21" s="337" t="s">
        <v>478</v>
      </c>
      <c r="BN21" s="385"/>
      <c r="BO21" s="385"/>
      <c r="BP21" s="385">
        <f>G21</f>
        <v>270000</v>
      </c>
      <c r="BQ21" s="385"/>
      <c r="BR21" s="385">
        <f>BN21+BO21+BP21+BQ21</f>
        <v>270000</v>
      </c>
      <c r="BS21" s="385"/>
      <c r="BT21" s="385"/>
      <c r="BU21" s="385">
        <f>BS21+BT21</f>
        <v>0</v>
      </c>
      <c r="BV21" s="387">
        <f t="shared" si="1"/>
        <v>270000</v>
      </c>
    </row>
    <row r="22" spans="1:80" s="275" customFormat="1" x14ac:dyDescent="0.25">
      <c r="A22" s="917"/>
      <c r="B22" s="402"/>
      <c r="C22" s="402"/>
      <c r="D22" s="402"/>
      <c r="E22" s="402"/>
      <c r="F22" s="402">
        <f>SUM(F17:F21)</f>
        <v>283</v>
      </c>
      <c r="G22" s="507">
        <f>SUM(G17:G21)</f>
        <v>2985000</v>
      </c>
      <c r="H22" s="507">
        <f t="shared" ref="H22:Q22" si="25">SUM(H17:H21)</f>
        <v>0</v>
      </c>
      <c r="I22" s="507">
        <f t="shared" si="25"/>
        <v>2388000</v>
      </c>
      <c r="J22" s="507">
        <f t="shared" si="25"/>
        <v>0</v>
      </c>
      <c r="K22" s="507">
        <f t="shared" si="25"/>
        <v>0</v>
      </c>
      <c r="L22" s="507">
        <f t="shared" si="25"/>
        <v>0</v>
      </c>
      <c r="M22" s="507">
        <f t="shared" si="25"/>
        <v>0</v>
      </c>
      <c r="N22" s="507">
        <f t="shared" si="25"/>
        <v>0</v>
      </c>
      <c r="O22" s="507">
        <f t="shared" si="25"/>
        <v>0</v>
      </c>
      <c r="P22" s="507">
        <f t="shared" si="25"/>
        <v>597000</v>
      </c>
      <c r="Q22" s="507">
        <f t="shared" si="25"/>
        <v>0</v>
      </c>
      <c r="R22" s="402">
        <f t="shared" ref="R22:Y22" si="26">SUM(R17:R21)</f>
        <v>0</v>
      </c>
      <c r="S22" s="402">
        <f>SUM(S17:S21)</f>
        <v>198.1</v>
      </c>
      <c r="T22" s="402">
        <f t="shared" si="26"/>
        <v>84.899999999999991</v>
      </c>
      <c r="U22" s="402">
        <f t="shared" si="26"/>
        <v>0</v>
      </c>
      <c r="V22" s="508">
        <f t="shared" si="26"/>
        <v>0</v>
      </c>
      <c r="W22" s="508">
        <f t="shared" si="26"/>
        <v>2089500</v>
      </c>
      <c r="X22" s="508">
        <f t="shared" si="26"/>
        <v>895500</v>
      </c>
      <c r="Y22" s="508">
        <f t="shared" si="26"/>
        <v>0</v>
      </c>
      <c r="Z22" s="509">
        <f>SUM(Z16:Z21)</f>
        <v>10</v>
      </c>
      <c r="AA22" s="509">
        <f t="shared" ref="AA22:BK22" si="27">SUM(AA16:AA21)</f>
        <v>105000</v>
      </c>
      <c r="AB22" s="509">
        <f t="shared" si="27"/>
        <v>10</v>
      </c>
      <c r="AC22" s="509">
        <f t="shared" si="27"/>
        <v>105000</v>
      </c>
      <c r="AD22" s="509">
        <f t="shared" si="27"/>
        <v>13</v>
      </c>
      <c r="AE22" s="509">
        <f t="shared" si="27"/>
        <v>130000</v>
      </c>
      <c r="AF22" s="509">
        <f t="shared" si="27"/>
        <v>16</v>
      </c>
      <c r="AG22" s="509">
        <f t="shared" si="27"/>
        <v>195000</v>
      </c>
      <c r="AH22" s="509">
        <f t="shared" si="27"/>
        <v>7</v>
      </c>
      <c r="AI22" s="509">
        <f t="shared" si="27"/>
        <v>80000</v>
      </c>
      <c r="AJ22" s="509">
        <f t="shared" si="27"/>
        <v>13</v>
      </c>
      <c r="AK22" s="509">
        <f t="shared" si="27"/>
        <v>130000</v>
      </c>
      <c r="AL22" s="509">
        <f t="shared" si="27"/>
        <v>16</v>
      </c>
      <c r="AM22" s="509">
        <f t="shared" si="27"/>
        <v>195000</v>
      </c>
      <c r="AN22" s="509">
        <f t="shared" si="27"/>
        <v>25</v>
      </c>
      <c r="AO22" s="509">
        <f t="shared" si="27"/>
        <v>230000</v>
      </c>
      <c r="AP22" s="509">
        <f t="shared" si="27"/>
        <v>7</v>
      </c>
      <c r="AQ22" s="509">
        <f t="shared" si="27"/>
        <v>80000</v>
      </c>
      <c r="AR22" s="509">
        <f t="shared" si="27"/>
        <v>10</v>
      </c>
      <c r="AS22" s="509">
        <f t="shared" si="27"/>
        <v>105000</v>
      </c>
      <c r="AT22" s="509">
        <f t="shared" si="27"/>
        <v>18</v>
      </c>
      <c r="AU22" s="509">
        <f t="shared" si="27"/>
        <v>150000</v>
      </c>
      <c r="AV22" s="509">
        <f t="shared" si="27"/>
        <v>16</v>
      </c>
      <c r="AW22" s="509">
        <f t="shared" si="27"/>
        <v>155000</v>
      </c>
      <c r="AX22" s="509">
        <f t="shared" si="27"/>
        <v>28</v>
      </c>
      <c r="AY22" s="509">
        <f t="shared" si="27"/>
        <v>295000</v>
      </c>
      <c r="AZ22" s="509">
        <f t="shared" si="27"/>
        <v>28</v>
      </c>
      <c r="BA22" s="509">
        <f t="shared" si="27"/>
        <v>295000</v>
      </c>
      <c r="BB22" s="509">
        <f t="shared" si="27"/>
        <v>10</v>
      </c>
      <c r="BC22" s="509">
        <f t="shared" si="27"/>
        <v>145000</v>
      </c>
      <c r="BD22" s="509">
        <f t="shared" si="27"/>
        <v>37</v>
      </c>
      <c r="BE22" s="509">
        <f t="shared" si="27"/>
        <v>370000</v>
      </c>
      <c r="BF22" s="509">
        <f t="shared" si="27"/>
        <v>19</v>
      </c>
      <c r="BG22" s="509">
        <f t="shared" si="27"/>
        <v>220000</v>
      </c>
      <c r="BH22" s="509">
        <f t="shared" si="27"/>
        <v>0</v>
      </c>
      <c r="BI22" s="509">
        <f t="shared" si="27"/>
        <v>0</v>
      </c>
      <c r="BJ22" s="509">
        <f t="shared" si="27"/>
        <v>283</v>
      </c>
      <c r="BK22" s="509">
        <f t="shared" si="27"/>
        <v>2985000</v>
      </c>
      <c r="BL22" s="247"/>
      <c r="BN22" s="504">
        <f t="shared" ref="BN22:BU22" si="28">SUM(BN17:BN21)</f>
        <v>0</v>
      </c>
      <c r="BO22" s="504">
        <f t="shared" si="28"/>
        <v>0</v>
      </c>
      <c r="BP22" s="504">
        <f t="shared" si="28"/>
        <v>2985000</v>
      </c>
      <c r="BQ22" s="504">
        <f t="shared" si="28"/>
        <v>0</v>
      </c>
      <c r="BR22" s="504">
        <f t="shared" si="28"/>
        <v>2985000</v>
      </c>
      <c r="BS22" s="504">
        <f t="shared" si="28"/>
        <v>0</v>
      </c>
      <c r="BT22" s="504">
        <f t="shared" si="28"/>
        <v>0</v>
      </c>
      <c r="BU22" s="504">
        <f t="shared" si="28"/>
        <v>0</v>
      </c>
      <c r="BV22" s="505">
        <f t="shared" si="1"/>
        <v>2985000</v>
      </c>
    </row>
    <row r="23" spans="1:80" x14ac:dyDescent="0.25">
      <c r="A23" s="917"/>
      <c r="B23" s="38">
        <v>23300</v>
      </c>
      <c r="C23" s="38" t="s">
        <v>183</v>
      </c>
      <c r="D23" s="38"/>
      <c r="E23" s="375"/>
      <c r="F23" s="38"/>
      <c r="G23" s="498"/>
      <c r="H23" s="498"/>
      <c r="I23" s="498"/>
      <c r="J23" s="498"/>
      <c r="K23" s="498"/>
      <c r="L23" s="498"/>
      <c r="M23" s="498"/>
      <c r="N23" s="498"/>
      <c r="O23" s="499"/>
      <c r="P23" s="499"/>
      <c r="Q23" s="499"/>
      <c r="R23" s="108"/>
      <c r="S23" s="500"/>
      <c r="T23" s="500"/>
      <c r="U23" s="500"/>
      <c r="V23" s="500"/>
      <c r="W23" s="500"/>
      <c r="X23" s="500"/>
      <c r="Y23" s="500"/>
      <c r="Z23" s="383">
        <v>0</v>
      </c>
      <c r="AA23" s="158">
        <f t="shared" si="2"/>
        <v>0</v>
      </c>
      <c r="AB23" s="383">
        <v>0</v>
      </c>
      <c r="AC23" s="158">
        <f t="shared" si="3"/>
        <v>0</v>
      </c>
      <c r="AD23" s="383">
        <v>0</v>
      </c>
      <c r="AE23" s="158">
        <f t="shared" si="4"/>
        <v>0</v>
      </c>
      <c r="AF23" s="383">
        <v>0</v>
      </c>
      <c r="AG23" s="158">
        <f t="shared" si="5"/>
        <v>0</v>
      </c>
      <c r="AH23" s="421"/>
      <c r="AI23" s="158">
        <f t="shared" si="6"/>
        <v>0</v>
      </c>
      <c r="AJ23" s="421"/>
      <c r="AK23" s="158">
        <f t="shared" si="7"/>
        <v>0</v>
      </c>
      <c r="AL23" s="421"/>
      <c r="AM23" s="158">
        <f t="shared" si="8"/>
        <v>0</v>
      </c>
      <c r="AN23" s="421"/>
      <c r="AO23" s="158">
        <f t="shared" si="9"/>
        <v>0</v>
      </c>
      <c r="AP23" s="421"/>
      <c r="AQ23" s="158">
        <f t="shared" si="10"/>
        <v>0</v>
      </c>
      <c r="AR23" s="421"/>
      <c r="AS23" s="158">
        <f t="shared" si="11"/>
        <v>0</v>
      </c>
      <c r="AT23" s="421"/>
      <c r="AU23" s="158">
        <f t="shared" si="12"/>
        <v>0</v>
      </c>
      <c r="AV23" s="421"/>
      <c r="AW23" s="158">
        <f t="shared" si="13"/>
        <v>0</v>
      </c>
      <c r="AX23" s="421"/>
      <c r="AY23" s="158">
        <f t="shared" si="14"/>
        <v>0</v>
      </c>
      <c r="AZ23" s="421"/>
      <c r="BA23" s="158">
        <f t="shared" si="15"/>
        <v>0</v>
      </c>
      <c r="BB23" s="421"/>
      <c r="BC23" s="158">
        <f t="shared" si="16"/>
        <v>0</v>
      </c>
      <c r="BD23" s="421"/>
      <c r="BE23" s="158">
        <f t="shared" si="17"/>
        <v>0</v>
      </c>
      <c r="BF23" s="421"/>
      <c r="BG23" s="158">
        <f t="shared" si="18"/>
        <v>0</v>
      </c>
      <c r="BH23" s="421"/>
      <c r="BI23" s="158">
        <f t="shared" si="19"/>
        <v>0</v>
      </c>
      <c r="BJ23" s="383">
        <f t="shared" si="20"/>
        <v>0</v>
      </c>
      <c r="BK23" s="158">
        <f t="shared" si="21"/>
        <v>0</v>
      </c>
      <c r="BL23" s="38"/>
      <c r="BN23" s="385"/>
      <c r="BO23" s="385"/>
      <c r="BP23" s="385"/>
      <c r="BQ23" s="385"/>
      <c r="BR23" s="385"/>
      <c r="BS23" s="385"/>
      <c r="BT23" s="385"/>
      <c r="BU23" s="385"/>
      <c r="BV23" s="387">
        <f t="shared" si="1"/>
        <v>0</v>
      </c>
    </row>
    <row r="24" spans="1:80" x14ac:dyDescent="0.25">
      <c r="A24" s="917"/>
      <c r="B24" s="495"/>
      <c r="C24" s="38" t="s">
        <v>184</v>
      </c>
      <c r="D24" s="38" t="s">
        <v>177</v>
      </c>
      <c r="E24" s="375">
        <f>2*100000</f>
        <v>200000</v>
      </c>
      <c r="F24" s="38">
        <f>BJ24</f>
        <v>88</v>
      </c>
      <c r="G24" s="501">
        <f>E24*F24</f>
        <v>17600000</v>
      </c>
      <c r="H24" s="501">
        <f>G24*0.1</f>
        <v>1760000</v>
      </c>
      <c r="I24" s="501">
        <f>G24*0.8</f>
        <v>14080000</v>
      </c>
      <c r="J24" s="501">
        <f>G24*0.1</f>
        <v>1760000</v>
      </c>
      <c r="K24" s="501">
        <f>G24*0</f>
        <v>0</v>
      </c>
      <c r="L24" s="501">
        <f>G24*0</f>
        <v>0</v>
      </c>
      <c r="M24" s="501">
        <f>G24*0</f>
        <v>0</v>
      </c>
      <c r="N24" s="501">
        <f>G24*0</f>
        <v>0</v>
      </c>
      <c r="O24" s="76">
        <f>G24*0</f>
        <v>0</v>
      </c>
      <c r="P24" s="76">
        <f>G24*0</f>
        <v>0</v>
      </c>
      <c r="Q24" s="501">
        <f>G24*0</f>
        <v>0</v>
      </c>
      <c r="R24" s="108"/>
      <c r="S24" s="503">
        <f>F24*0.6</f>
        <v>52.8</v>
      </c>
      <c r="T24" s="503">
        <f>F24*0.4</f>
        <v>35.200000000000003</v>
      </c>
      <c r="U24" s="500"/>
      <c r="V24" s="502">
        <f>R24*E24</f>
        <v>0</v>
      </c>
      <c r="W24" s="502">
        <f>S24*E24</f>
        <v>10560000</v>
      </c>
      <c r="X24" s="502">
        <f>T24*E24</f>
        <v>7040000.0000000009</v>
      </c>
      <c r="Y24" s="502">
        <f>U24*E24</f>
        <v>0</v>
      </c>
      <c r="Z24" s="383">
        <v>3</v>
      </c>
      <c r="AA24" s="158">
        <f t="shared" si="2"/>
        <v>600000</v>
      </c>
      <c r="AB24" s="383">
        <v>3</v>
      </c>
      <c r="AC24" s="158">
        <f t="shared" si="3"/>
        <v>600000</v>
      </c>
      <c r="AD24" s="383">
        <v>4</v>
      </c>
      <c r="AE24" s="158">
        <f t="shared" si="4"/>
        <v>800000</v>
      </c>
      <c r="AF24" s="383">
        <v>5</v>
      </c>
      <c r="AG24" s="158">
        <f t="shared" si="5"/>
        <v>1000000</v>
      </c>
      <c r="AH24" s="383">
        <v>2</v>
      </c>
      <c r="AI24" s="158">
        <f t="shared" si="6"/>
        <v>400000</v>
      </c>
      <c r="AJ24" s="383">
        <v>4</v>
      </c>
      <c r="AK24" s="158">
        <f t="shared" si="7"/>
        <v>800000</v>
      </c>
      <c r="AL24" s="652">
        <v>4</v>
      </c>
      <c r="AM24" s="158">
        <f t="shared" si="8"/>
        <v>800000</v>
      </c>
      <c r="AN24" s="383">
        <v>8</v>
      </c>
      <c r="AO24" s="158">
        <f t="shared" si="9"/>
        <v>1600000</v>
      </c>
      <c r="AP24" s="383">
        <v>2</v>
      </c>
      <c r="AQ24" s="158">
        <f t="shared" si="10"/>
        <v>400000</v>
      </c>
      <c r="AR24" s="383">
        <v>3</v>
      </c>
      <c r="AS24" s="158">
        <f t="shared" si="11"/>
        <v>600000</v>
      </c>
      <c r="AT24" s="383">
        <v>6</v>
      </c>
      <c r="AU24" s="158">
        <f t="shared" si="12"/>
        <v>1200000</v>
      </c>
      <c r="AV24" s="383">
        <v>5</v>
      </c>
      <c r="AW24" s="158">
        <f t="shared" si="13"/>
        <v>1000000</v>
      </c>
      <c r="AX24" s="383">
        <v>9</v>
      </c>
      <c r="AY24" s="158">
        <f t="shared" si="14"/>
        <v>1800000</v>
      </c>
      <c r="AZ24" s="383">
        <v>9</v>
      </c>
      <c r="BA24" s="158">
        <f t="shared" si="15"/>
        <v>1800000</v>
      </c>
      <c r="BB24" s="383">
        <v>3</v>
      </c>
      <c r="BC24" s="158">
        <f t="shared" si="16"/>
        <v>600000</v>
      </c>
      <c r="BD24" s="383">
        <v>12</v>
      </c>
      <c r="BE24" s="158">
        <f t="shared" si="17"/>
        <v>2400000</v>
      </c>
      <c r="BF24" s="383">
        <v>6</v>
      </c>
      <c r="BG24" s="158">
        <f t="shared" si="18"/>
        <v>1200000</v>
      </c>
      <c r="BH24" s="383">
        <v>0</v>
      </c>
      <c r="BI24" s="158">
        <f t="shared" si="19"/>
        <v>0</v>
      </c>
      <c r="BJ24" s="383">
        <f t="shared" si="20"/>
        <v>88</v>
      </c>
      <c r="BK24" s="158">
        <f t="shared" si="21"/>
        <v>17600000</v>
      </c>
      <c r="BL24" s="337" t="s">
        <v>481</v>
      </c>
      <c r="BN24" s="385"/>
      <c r="BO24" s="385"/>
      <c r="BP24" s="385">
        <f>G24</f>
        <v>17600000</v>
      </c>
      <c r="BQ24" s="385"/>
      <c r="BR24" s="385">
        <f>BN24+BO24+BP24+BQ24</f>
        <v>17600000</v>
      </c>
      <c r="BS24" s="385"/>
      <c r="BT24" s="385"/>
      <c r="BU24" s="385">
        <f>BS24+BT24</f>
        <v>0</v>
      </c>
      <c r="BV24" s="387">
        <f t="shared" si="1"/>
        <v>17600000</v>
      </c>
    </row>
    <row r="25" spans="1:80" s="99" customFormat="1" x14ac:dyDescent="0.25">
      <c r="A25" s="917"/>
      <c r="B25" s="510"/>
      <c r="C25" s="171" t="s">
        <v>185</v>
      </c>
      <c r="D25" s="171" t="s">
        <v>177</v>
      </c>
      <c r="E25" s="180">
        <f>0.3*100000</f>
        <v>30000</v>
      </c>
      <c r="F25" s="38">
        <f>BJ25</f>
        <v>89</v>
      </c>
      <c r="G25" s="511">
        <f>E25*F25</f>
        <v>2670000</v>
      </c>
      <c r="H25" s="511">
        <f>G25*0.1</f>
        <v>267000</v>
      </c>
      <c r="I25" s="511">
        <f>G25*0.8</f>
        <v>2136000</v>
      </c>
      <c r="J25" s="511">
        <f>G25*0</f>
        <v>0</v>
      </c>
      <c r="K25" s="511">
        <f>G25*0</f>
        <v>0</v>
      </c>
      <c r="L25" s="511">
        <f>G25*0.1</f>
        <v>267000</v>
      </c>
      <c r="M25" s="511">
        <f>G25*0</f>
        <v>0</v>
      </c>
      <c r="N25" s="511">
        <f>G25*0</f>
        <v>0</v>
      </c>
      <c r="O25" s="280">
        <f>G25*0</f>
        <v>0</v>
      </c>
      <c r="P25" s="280">
        <f>G25*0</f>
        <v>0</v>
      </c>
      <c r="Q25" s="511">
        <f>G25*0</f>
        <v>0</v>
      </c>
      <c r="R25" s="512"/>
      <c r="S25" s="503">
        <f>F25*0.6</f>
        <v>53.4</v>
      </c>
      <c r="T25" s="503">
        <f>F25*0.4</f>
        <v>35.6</v>
      </c>
      <c r="U25" s="500"/>
      <c r="V25" s="502">
        <f>R25*E25</f>
        <v>0</v>
      </c>
      <c r="W25" s="502">
        <f>S25*E25</f>
        <v>1602000</v>
      </c>
      <c r="X25" s="502">
        <f>T25*E25</f>
        <v>1068000</v>
      </c>
      <c r="Y25" s="502">
        <f>U25*E25</f>
        <v>0</v>
      </c>
      <c r="Z25" s="383">
        <v>3</v>
      </c>
      <c r="AA25" s="158">
        <f t="shared" si="2"/>
        <v>90000</v>
      </c>
      <c r="AB25" s="383">
        <v>3</v>
      </c>
      <c r="AC25" s="158">
        <f t="shared" si="3"/>
        <v>90000</v>
      </c>
      <c r="AD25" s="383">
        <v>4</v>
      </c>
      <c r="AE25" s="158">
        <f t="shared" si="4"/>
        <v>120000</v>
      </c>
      <c r="AF25" s="383">
        <v>5</v>
      </c>
      <c r="AG25" s="158">
        <f t="shared" si="5"/>
        <v>150000</v>
      </c>
      <c r="AH25" s="425">
        <v>2</v>
      </c>
      <c r="AI25" s="158">
        <f t="shared" si="6"/>
        <v>60000</v>
      </c>
      <c r="AJ25" s="425">
        <v>4</v>
      </c>
      <c r="AK25" s="158">
        <f t="shared" si="7"/>
        <v>120000</v>
      </c>
      <c r="AL25" s="425">
        <v>5</v>
      </c>
      <c r="AM25" s="158">
        <f t="shared" si="8"/>
        <v>150000</v>
      </c>
      <c r="AN25" s="425">
        <v>8</v>
      </c>
      <c r="AO25" s="158">
        <f t="shared" si="9"/>
        <v>240000</v>
      </c>
      <c r="AP25" s="425">
        <v>2</v>
      </c>
      <c r="AQ25" s="158">
        <f t="shared" si="10"/>
        <v>60000</v>
      </c>
      <c r="AR25" s="425">
        <v>3</v>
      </c>
      <c r="AS25" s="158">
        <f t="shared" si="11"/>
        <v>90000</v>
      </c>
      <c r="AT25" s="425">
        <v>6</v>
      </c>
      <c r="AU25" s="158">
        <f t="shared" si="12"/>
        <v>180000</v>
      </c>
      <c r="AV25" s="425">
        <v>5</v>
      </c>
      <c r="AW25" s="158">
        <f t="shared" si="13"/>
        <v>150000</v>
      </c>
      <c r="AX25" s="425">
        <v>9</v>
      </c>
      <c r="AY25" s="158">
        <f t="shared" si="14"/>
        <v>270000</v>
      </c>
      <c r="AZ25" s="425">
        <v>9</v>
      </c>
      <c r="BA25" s="158">
        <f t="shared" si="15"/>
        <v>270000</v>
      </c>
      <c r="BB25" s="425">
        <v>3</v>
      </c>
      <c r="BC25" s="158">
        <f t="shared" si="16"/>
        <v>90000</v>
      </c>
      <c r="BD25" s="425">
        <v>12</v>
      </c>
      <c r="BE25" s="158">
        <f t="shared" si="17"/>
        <v>360000</v>
      </c>
      <c r="BF25" s="425">
        <v>6</v>
      </c>
      <c r="BG25" s="158">
        <f t="shared" si="18"/>
        <v>180000</v>
      </c>
      <c r="BH25" s="425">
        <v>0</v>
      </c>
      <c r="BI25" s="158">
        <f t="shared" si="19"/>
        <v>0</v>
      </c>
      <c r="BJ25" s="383">
        <f t="shared" si="20"/>
        <v>89</v>
      </c>
      <c r="BK25" s="158">
        <f t="shared" si="21"/>
        <v>2670000</v>
      </c>
      <c r="BL25" s="338" t="s">
        <v>481</v>
      </c>
      <c r="BM25" s="106"/>
      <c r="BN25" s="385"/>
      <c r="BO25" s="385"/>
      <c r="BP25" s="385">
        <f>G25</f>
        <v>2670000</v>
      </c>
      <c r="BQ25" s="385"/>
      <c r="BR25" s="385">
        <f>BN25+BO25+BP25+BQ25</f>
        <v>2670000</v>
      </c>
      <c r="BS25" s="385"/>
      <c r="BT25" s="385"/>
      <c r="BU25" s="385">
        <f>BS25+BT25</f>
        <v>0</v>
      </c>
      <c r="BV25" s="387">
        <f t="shared" si="1"/>
        <v>2670000</v>
      </c>
      <c r="BW25" s="106"/>
      <c r="BX25" s="106"/>
      <c r="BY25" s="106"/>
      <c r="BZ25" s="106"/>
      <c r="CA25" s="106"/>
      <c r="CB25" s="106"/>
    </row>
    <row r="26" spans="1:80" ht="31.5" x14ac:dyDescent="0.25">
      <c r="A26" s="917"/>
      <c r="B26" s="495"/>
      <c r="C26" s="38" t="s">
        <v>893</v>
      </c>
      <c r="D26" s="38" t="s">
        <v>72</v>
      </c>
      <c r="E26" s="375">
        <f>0.05*100000</f>
        <v>5000</v>
      </c>
      <c r="F26" s="38">
        <f>BJ26</f>
        <v>102</v>
      </c>
      <c r="G26" s="501">
        <f>E26*F26</f>
        <v>510000</v>
      </c>
      <c r="H26" s="501">
        <f>G26*0.1</f>
        <v>51000</v>
      </c>
      <c r="I26" s="501">
        <f>G26*0.8</f>
        <v>408000</v>
      </c>
      <c r="J26" s="501">
        <f>G26*0.1</f>
        <v>51000</v>
      </c>
      <c r="K26" s="501">
        <f>G26*0</f>
        <v>0</v>
      </c>
      <c r="L26" s="501">
        <f>G26*0</f>
        <v>0</v>
      </c>
      <c r="M26" s="501">
        <f>G26*0</f>
        <v>0</v>
      </c>
      <c r="N26" s="501">
        <f>G26*0</f>
        <v>0</v>
      </c>
      <c r="O26" s="76">
        <f>G26*0</f>
        <v>0</v>
      </c>
      <c r="P26" s="76">
        <f>G26*0</f>
        <v>0</v>
      </c>
      <c r="Q26" s="501">
        <f>G26*0</f>
        <v>0</v>
      </c>
      <c r="R26" s="108"/>
      <c r="S26" s="503">
        <f>F26*0.6</f>
        <v>61.199999999999996</v>
      </c>
      <c r="T26" s="503">
        <f>F26*0.4</f>
        <v>40.800000000000004</v>
      </c>
      <c r="U26" s="500"/>
      <c r="V26" s="502">
        <f>R26*E26</f>
        <v>0</v>
      </c>
      <c r="W26" s="502">
        <f>S26*E26</f>
        <v>306000</v>
      </c>
      <c r="X26" s="502">
        <f>T26*E26</f>
        <v>204000.00000000003</v>
      </c>
      <c r="Y26" s="502">
        <f>U26*E26</f>
        <v>0</v>
      </c>
      <c r="Z26" s="383">
        <v>6</v>
      </c>
      <c r="AA26" s="158">
        <f t="shared" si="2"/>
        <v>30000</v>
      </c>
      <c r="AB26" s="383">
        <v>6</v>
      </c>
      <c r="AC26" s="158">
        <f t="shared" si="3"/>
        <v>30000</v>
      </c>
      <c r="AD26" s="383">
        <v>6</v>
      </c>
      <c r="AE26" s="158">
        <f t="shared" si="4"/>
        <v>30000</v>
      </c>
      <c r="AF26" s="383">
        <v>6</v>
      </c>
      <c r="AG26" s="158">
        <f t="shared" si="5"/>
        <v>30000</v>
      </c>
      <c r="AH26" s="383">
        <v>6</v>
      </c>
      <c r="AI26" s="158">
        <f t="shared" si="6"/>
        <v>30000</v>
      </c>
      <c r="AJ26" s="383">
        <v>6</v>
      </c>
      <c r="AK26" s="158">
        <f t="shared" si="7"/>
        <v>30000</v>
      </c>
      <c r="AL26" s="383">
        <v>6</v>
      </c>
      <c r="AM26" s="158">
        <f t="shared" si="8"/>
        <v>30000</v>
      </c>
      <c r="AN26" s="383">
        <v>6</v>
      </c>
      <c r="AO26" s="158">
        <f t="shared" si="9"/>
        <v>30000</v>
      </c>
      <c r="AP26" s="383">
        <v>6</v>
      </c>
      <c r="AQ26" s="158">
        <f t="shared" si="10"/>
        <v>30000</v>
      </c>
      <c r="AR26" s="383">
        <v>6</v>
      </c>
      <c r="AS26" s="158">
        <f t="shared" si="11"/>
        <v>30000</v>
      </c>
      <c r="AT26" s="383">
        <v>6</v>
      </c>
      <c r="AU26" s="158">
        <f t="shared" si="12"/>
        <v>30000</v>
      </c>
      <c r="AV26" s="383">
        <v>6</v>
      </c>
      <c r="AW26" s="158">
        <f t="shared" si="13"/>
        <v>30000</v>
      </c>
      <c r="AX26" s="383">
        <v>6</v>
      </c>
      <c r="AY26" s="158">
        <f t="shared" si="14"/>
        <v>30000</v>
      </c>
      <c r="AZ26" s="383">
        <v>6</v>
      </c>
      <c r="BA26" s="158">
        <f t="shared" si="15"/>
        <v>30000</v>
      </c>
      <c r="BB26" s="383">
        <v>6</v>
      </c>
      <c r="BC26" s="158">
        <f t="shared" si="16"/>
        <v>30000</v>
      </c>
      <c r="BD26" s="383">
        <v>6</v>
      </c>
      <c r="BE26" s="158">
        <f t="shared" si="17"/>
        <v>30000</v>
      </c>
      <c r="BF26" s="383">
        <v>6</v>
      </c>
      <c r="BG26" s="158">
        <f t="shared" si="18"/>
        <v>30000</v>
      </c>
      <c r="BH26" s="383">
        <v>0</v>
      </c>
      <c r="BI26" s="158">
        <f t="shared" si="19"/>
        <v>0</v>
      </c>
      <c r="BJ26" s="383">
        <f t="shared" si="20"/>
        <v>102</v>
      </c>
      <c r="BK26" s="158">
        <f t="shared" si="21"/>
        <v>510000</v>
      </c>
      <c r="BL26" s="337" t="s">
        <v>833</v>
      </c>
      <c r="BN26" s="385"/>
      <c r="BO26" s="385"/>
      <c r="BP26" s="385">
        <f>G26</f>
        <v>510000</v>
      </c>
      <c r="BQ26" s="385"/>
      <c r="BR26" s="385">
        <f>BN26+BO26+BP26+BQ26</f>
        <v>510000</v>
      </c>
      <c r="BS26" s="385"/>
      <c r="BT26" s="385"/>
      <c r="BU26" s="385">
        <f>BS26+BT26</f>
        <v>0</v>
      </c>
      <c r="BV26" s="387">
        <f t="shared" si="1"/>
        <v>510000</v>
      </c>
    </row>
    <row r="27" spans="1:80" x14ac:dyDescent="0.25">
      <c r="A27" s="917"/>
      <c r="B27" s="392"/>
      <c r="C27" s="392"/>
      <c r="D27" s="392"/>
      <c r="E27" s="392"/>
      <c r="F27" s="402">
        <f>SUM(F24:F26)</f>
        <v>279</v>
      </c>
      <c r="G27" s="507">
        <f>SUM(G23:G26)</f>
        <v>20780000</v>
      </c>
      <c r="H27" s="507">
        <f t="shared" ref="H27:Q27" si="29">SUM(H23:H26)</f>
        <v>2078000</v>
      </c>
      <c r="I27" s="507">
        <f t="shared" si="29"/>
        <v>16624000</v>
      </c>
      <c r="J27" s="507">
        <f t="shared" si="29"/>
        <v>1811000</v>
      </c>
      <c r="K27" s="507">
        <f t="shared" si="29"/>
        <v>0</v>
      </c>
      <c r="L27" s="507">
        <f t="shared" si="29"/>
        <v>267000</v>
      </c>
      <c r="M27" s="507">
        <f t="shared" si="29"/>
        <v>0</v>
      </c>
      <c r="N27" s="507">
        <f t="shared" si="29"/>
        <v>0</v>
      </c>
      <c r="O27" s="507">
        <f t="shared" si="29"/>
        <v>0</v>
      </c>
      <c r="P27" s="507">
        <f t="shared" si="29"/>
        <v>0</v>
      </c>
      <c r="Q27" s="507">
        <f t="shared" si="29"/>
        <v>0</v>
      </c>
      <c r="R27" s="392">
        <f>SUM(R24:R26)</f>
        <v>0</v>
      </c>
      <c r="S27" s="392">
        <f>SUM(S24:S26)</f>
        <v>167.39999999999998</v>
      </c>
      <c r="T27" s="392">
        <f>SUM(T24:T26)</f>
        <v>111.60000000000002</v>
      </c>
      <c r="U27" s="392">
        <f>SUM(U24:U26)</f>
        <v>0</v>
      </c>
      <c r="V27" s="507">
        <f>SUM(V23:V26)</f>
        <v>0</v>
      </c>
      <c r="W27" s="507">
        <f>SUM(W23:W26)</f>
        <v>12468000</v>
      </c>
      <c r="X27" s="507">
        <f>SUM(X23:X26)</f>
        <v>8312000.0000000009</v>
      </c>
      <c r="Y27" s="507">
        <f>SUM(Y23:Y26)</f>
        <v>0</v>
      </c>
      <c r="Z27" s="509">
        <f>SUM(Z23:Z26)</f>
        <v>12</v>
      </c>
      <c r="AA27" s="509">
        <f t="shared" ref="AA27:BK27" si="30">SUM(AA23:AA26)</f>
        <v>720000</v>
      </c>
      <c r="AB27" s="509">
        <f t="shared" si="30"/>
        <v>12</v>
      </c>
      <c r="AC27" s="509">
        <f t="shared" si="30"/>
        <v>720000</v>
      </c>
      <c r="AD27" s="509">
        <f t="shared" si="30"/>
        <v>14</v>
      </c>
      <c r="AE27" s="509">
        <f t="shared" si="30"/>
        <v>950000</v>
      </c>
      <c r="AF27" s="509">
        <f t="shared" si="30"/>
        <v>16</v>
      </c>
      <c r="AG27" s="509">
        <f t="shared" si="30"/>
        <v>1180000</v>
      </c>
      <c r="AH27" s="509">
        <f t="shared" si="30"/>
        <v>10</v>
      </c>
      <c r="AI27" s="509">
        <f t="shared" si="30"/>
        <v>490000</v>
      </c>
      <c r="AJ27" s="509">
        <f t="shared" si="30"/>
        <v>14</v>
      </c>
      <c r="AK27" s="509">
        <f t="shared" si="30"/>
        <v>950000</v>
      </c>
      <c r="AL27" s="509">
        <f t="shared" si="30"/>
        <v>15</v>
      </c>
      <c r="AM27" s="509">
        <f t="shared" si="30"/>
        <v>980000</v>
      </c>
      <c r="AN27" s="509">
        <f t="shared" si="30"/>
        <v>22</v>
      </c>
      <c r="AO27" s="509">
        <f t="shared" si="30"/>
        <v>1870000</v>
      </c>
      <c r="AP27" s="509">
        <f t="shared" si="30"/>
        <v>10</v>
      </c>
      <c r="AQ27" s="509">
        <f t="shared" si="30"/>
        <v>490000</v>
      </c>
      <c r="AR27" s="509">
        <f t="shared" si="30"/>
        <v>12</v>
      </c>
      <c r="AS27" s="509">
        <f t="shared" si="30"/>
        <v>720000</v>
      </c>
      <c r="AT27" s="509">
        <f t="shared" si="30"/>
        <v>18</v>
      </c>
      <c r="AU27" s="509">
        <f t="shared" si="30"/>
        <v>1410000</v>
      </c>
      <c r="AV27" s="509">
        <f t="shared" si="30"/>
        <v>16</v>
      </c>
      <c r="AW27" s="509">
        <f t="shared" si="30"/>
        <v>1180000</v>
      </c>
      <c r="AX27" s="509">
        <f t="shared" si="30"/>
        <v>24</v>
      </c>
      <c r="AY27" s="509">
        <f t="shared" si="30"/>
        <v>2100000</v>
      </c>
      <c r="AZ27" s="509">
        <f t="shared" si="30"/>
        <v>24</v>
      </c>
      <c r="BA27" s="509">
        <f t="shared" si="30"/>
        <v>2100000</v>
      </c>
      <c r="BB27" s="509">
        <f t="shared" si="30"/>
        <v>12</v>
      </c>
      <c r="BC27" s="509">
        <f t="shared" si="30"/>
        <v>720000</v>
      </c>
      <c r="BD27" s="509">
        <f t="shared" si="30"/>
        <v>30</v>
      </c>
      <c r="BE27" s="509">
        <f t="shared" si="30"/>
        <v>2790000</v>
      </c>
      <c r="BF27" s="509">
        <f t="shared" si="30"/>
        <v>18</v>
      </c>
      <c r="BG27" s="509">
        <f t="shared" si="30"/>
        <v>1410000</v>
      </c>
      <c r="BH27" s="509">
        <f t="shared" si="30"/>
        <v>0</v>
      </c>
      <c r="BI27" s="509">
        <f t="shared" si="30"/>
        <v>0</v>
      </c>
      <c r="BJ27" s="509">
        <f t="shared" si="30"/>
        <v>279</v>
      </c>
      <c r="BK27" s="509">
        <f t="shared" si="30"/>
        <v>20780000</v>
      </c>
      <c r="BL27" s="265"/>
      <c r="BN27" s="504">
        <f t="shared" ref="BN27:BU27" si="31">SUM(BN23:BN26)</f>
        <v>0</v>
      </c>
      <c r="BO27" s="504">
        <f t="shared" si="31"/>
        <v>0</v>
      </c>
      <c r="BP27" s="504">
        <f t="shared" si="31"/>
        <v>20780000</v>
      </c>
      <c r="BQ27" s="504">
        <f t="shared" si="31"/>
        <v>0</v>
      </c>
      <c r="BR27" s="504">
        <f t="shared" si="31"/>
        <v>20780000</v>
      </c>
      <c r="BS27" s="504">
        <f t="shared" si="31"/>
        <v>0</v>
      </c>
      <c r="BT27" s="504">
        <f t="shared" si="31"/>
        <v>0</v>
      </c>
      <c r="BU27" s="504">
        <f t="shared" si="31"/>
        <v>0</v>
      </c>
      <c r="BV27" s="505">
        <f t="shared" si="1"/>
        <v>20780000</v>
      </c>
    </row>
    <row r="28" spans="1:80" x14ac:dyDescent="0.25">
      <c r="A28" s="917"/>
      <c r="B28" s="38">
        <v>23400</v>
      </c>
      <c r="C28" s="38" t="s">
        <v>186</v>
      </c>
      <c r="D28" s="38"/>
      <c r="E28" s="375"/>
      <c r="F28" s="38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45"/>
      <c r="S28" s="45"/>
      <c r="T28" s="45"/>
      <c r="U28" s="45"/>
      <c r="V28" s="45"/>
      <c r="W28" s="45"/>
      <c r="X28" s="45"/>
      <c r="Y28" s="45"/>
      <c r="Z28" s="383">
        <v>0</v>
      </c>
      <c r="AA28" s="158">
        <f t="shared" si="2"/>
        <v>0</v>
      </c>
      <c r="AB28" s="383">
        <v>0</v>
      </c>
      <c r="AC28" s="158">
        <f t="shared" si="3"/>
        <v>0</v>
      </c>
      <c r="AD28" s="383">
        <v>0</v>
      </c>
      <c r="AE28" s="158">
        <f t="shared" si="4"/>
        <v>0</v>
      </c>
      <c r="AF28" s="383">
        <v>0</v>
      </c>
      <c r="AG28" s="158">
        <f t="shared" si="5"/>
        <v>0</v>
      </c>
      <c r="AH28" s="383"/>
      <c r="AI28" s="158">
        <f t="shared" si="6"/>
        <v>0</v>
      </c>
      <c r="AJ28" s="383"/>
      <c r="AK28" s="158">
        <f t="shared" si="7"/>
        <v>0</v>
      </c>
      <c r="AL28" s="383"/>
      <c r="AM28" s="158">
        <f t="shared" si="8"/>
        <v>0</v>
      </c>
      <c r="AN28" s="383"/>
      <c r="AO28" s="158">
        <f t="shared" si="9"/>
        <v>0</v>
      </c>
      <c r="AP28" s="383"/>
      <c r="AQ28" s="158">
        <f t="shared" si="10"/>
        <v>0</v>
      </c>
      <c r="AR28" s="383"/>
      <c r="AS28" s="158">
        <f t="shared" si="11"/>
        <v>0</v>
      </c>
      <c r="AT28" s="383"/>
      <c r="AU28" s="158">
        <f t="shared" si="12"/>
        <v>0</v>
      </c>
      <c r="AV28" s="383"/>
      <c r="AW28" s="158">
        <f t="shared" si="13"/>
        <v>0</v>
      </c>
      <c r="AX28" s="383"/>
      <c r="AY28" s="158">
        <f t="shared" si="14"/>
        <v>0</v>
      </c>
      <c r="AZ28" s="383"/>
      <c r="BA28" s="158">
        <f t="shared" si="15"/>
        <v>0</v>
      </c>
      <c r="BB28" s="383"/>
      <c r="BC28" s="158">
        <f t="shared" si="16"/>
        <v>0</v>
      </c>
      <c r="BD28" s="383"/>
      <c r="BE28" s="158">
        <f t="shared" si="17"/>
        <v>0</v>
      </c>
      <c r="BF28" s="383"/>
      <c r="BG28" s="158">
        <f t="shared" si="18"/>
        <v>0</v>
      </c>
      <c r="BH28" s="383"/>
      <c r="BI28" s="158"/>
      <c r="BJ28" s="383"/>
      <c r="BK28" s="158"/>
      <c r="BL28" s="38"/>
      <c r="BN28" s="385"/>
      <c r="BO28" s="385"/>
      <c r="BP28" s="385"/>
      <c r="BQ28" s="385"/>
      <c r="BR28" s="385"/>
      <c r="BS28" s="385"/>
      <c r="BT28" s="385"/>
      <c r="BU28" s="385"/>
      <c r="BV28" s="387">
        <f t="shared" si="1"/>
        <v>0</v>
      </c>
    </row>
    <row r="29" spans="1:80" ht="64.5" customHeight="1" x14ac:dyDescent="0.25">
      <c r="A29" s="917"/>
      <c r="B29" s="410"/>
      <c r="C29" s="38" t="s">
        <v>884</v>
      </c>
      <c r="D29" s="38" t="s">
        <v>885</v>
      </c>
      <c r="E29" s="235">
        <v>2000</v>
      </c>
      <c r="F29" s="38">
        <f>BJ29</f>
        <v>1903</v>
      </c>
      <c r="G29" s="511">
        <f>E29*F29</f>
        <v>3806000</v>
      </c>
      <c r="H29" s="501">
        <f>G29*0.1</f>
        <v>380600</v>
      </c>
      <c r="I29" s="501">
        <f>G29*0.8</f>
        <v>3044800</v>
      </c>
      <c r="J29" s="501">
        <f>G29*0</f>
        <v>0</v>
      </c>
      <c r="K29" s="501">
        <f>G29*0</f>
        <v>0</v>
      </c>
      <c r="L29" s="501">
        <f>G29*0</f>
        <v>0</v>
      </c>
      <c r="M29" s="501">
        <f>G29*0</f>
        <v>0</v>
      </c>
      <c r="N29" s="501">
        <f>G29*0</f>
        <v>0</v>
      </c>
      <c r="O29" s="76">
        <f>G29*0</f>
        <v>0</v>
      </c>
      <c r="P29" s="76">
        <f>G29*0.1</f>
        <v>380600</v>
      </c>
      <c r="Q29" s="76">
        <f>G29*0</f>
        <v>0</v>
      </c>
      <c r="R29" s="54"/>
      <c r="S29" s="54">
        <f>F29</f>
        <v>1903</v>
      </c>
      <c r="T29" s="54"/>
      <c r="U29" s="54"/>
      <c r="V29" s="502">
        <f>R29*E29</f>
        <v>0</v>
      </c>
      <c r="W29" s="502">
        <f>S29*E29</f>
        <v>3806000</v>
      </c>
      <c r="X29" s="502">
        <f>T29*E29</f>
        <v>0</v>
      </c>
      <c r="Y29" s="502">
        <f>U29*E29</f>
        <v>0</v>
      </c>
      <c r="Z29" s="383">
        <v>48</v>
      </c>
      <c r="AA29" s="158">
        <f t="shared" si="2"/>
        <v>96000</v>
      </c>
      <c r="AB29" s="383">
        <v>23</v>
      </c>
      <c r="AC29" s="158">
        <f t="shared" si="3"/>
        <v>46000</v>
      </c>
      <c r="AD29" s="383">
        <v>80</v>
      </c>
      <c r="AE29" s="158">
        <f t="shared" si="4"/>
        <v>160000</v>
      </c>
      <c r="AF29" s="383">
        <v>105</v>
      </c>
      <c r="AG29" s="158">
        <f t="shared" si="5"/>
        <v>210000</v>
      </c>
      <c r="AH29" s="383">
        <v>80</v>
      </c>
      <c r="AI29" s="158">
        <f t="shared" si="6"/>
        <v>160000</v>
      </c>
      <c r="AJ29" s="383">
        <v>200</v>
      </c>
      <c r="AK29" s="158">
        <f t="shared" si="7"/>
        <v>400000</v>
      </c>
      <c r="AL29" s="383">
        <v>60</v>
      </c>
      <c r="AM29" s="158">
        <f t="shared" si="8"/>
        <v>120000</v>
      </c>
      <c r="AN29" s="383">
        <v>200</v>
      </c>
      <c r="AO29" s="158">
        <f t="shared" si="9"/>
        <v>400000</v>
      </c>
      <c r="AP29" s="383">
        <v>20</v>
      </c>
      <c r="AQ29" s="158">
        <f t="shared" si="10"/>
        <v>40000</v>
      </c>
      <c r="AR29" s="383">
        <v>80</v>
      </c>
      <c r="AS29" s="158">
        <f t="shared" si="11"/>
        <v>160000</v>
      </c>
      <c r="AT29" s="383">
        <v>80</v>
      </c>
      <c r="AU29" s="158">
        <f t="shared" si="12"/>
        <v>160000</v>
      </c>
      <c r="AV29" s="383">
        <v>80</v>
      </c>
      <c r="AW29" s="158">
        <f t="shared" si="13"/>
        <v>160000</v>
      </c>
      <c r="AX29" s="383">
        <v>150</v>
      </c>
      <c r="AY29" s="158">
        <f t="shared" si="14"/>
        <v>300000</v>
      </c>
      <c r="AZ29" s="383">
        <v>150</v>
      </c>
      <c r="BA29" s="158">
        <f t="shared" si="15"/>
        <v>300000</v>
      </c>
      <c r="BB29" s="383">
        <v>190</v>
      </c>
      <c r="BC29" s="158">
        <f t="shared" si="16"/>
        <v>380000</v>
      </c>
      <c r="BD29" s="383">
        <v>261</v>
      </c>
      <c r="BE29" s="158">
        <f t="shared" si="17"/>
        <v>522000</v>
      </c>
      <c r="BF29" s="383">
        <v>96</v>
      </c>
      <c r="BG29" s="158">
        <f t="shared" si="18"/>
        <v>192000</v>
      </c>
      <c r="BH29" s="383">
        <v>0</v>
      </c>
      <c r="BI29" s="158">
        <f t="shared" si="19"/>
        <v>0</v>
      </c>
      <c r="BJ29" s="383">
        <f t="shared" si="20"/>
        <v>1903</v>
      </c>
      <c r="BK29" s="158">
        <f t="shared" si="21"/>
        <v>3806000</v>
      </c>
      <c r="BL29" s="337" t="s">
        <v>479</v>
      </c>
      <c r="BN29" s="385"/>
      <c r="BO29" s="385"/>
      <c r="BP29" s="385">
        <f>G29</f>
        <v>3806000</v>
      </c>
      <c r="BQ29" s="385"/>
      <c r="BR29" s="385">
        <f>BN29+BO29+BP29+BQ29</f>
        <v>3806000</v>
      </c>
      <c r="BS29" s="385"/>
      <c r="BT29" s="385"/>
      <c r="BU29" s="385">
        <f>BS29+BT29</f>
        <v>0</v>
      </c>
      <c r="BV29" s="387">
        <f t="shared" si="1"/>
        <v>3806000</v>
      </c>
    </row>
    <row r="30" spans="1:80" s="515" customFormat="1" ht="31.5" x14ac:dyDescent="0.25">
      <c r="A30" s="917"/>
      <c r="B30" s="514"/>
      <c r="C30" s="171" t="s">
        <v>797</v>
      </c>
      <c r="D30" s="171" t="s">
        <v>796</v>
      </c>
      <c r="E30" s="237">
        <f>0.3*100000</f>
        <v>30000</v>
      </c>
      <c r="F30" s="38">
        <f>BJ30</f>
        <v>234</v>
      </c>
      <c r="G30" s="511">
        <f>E30*F30</f>
        <v>7020000</v>
      </c>
      <c r="H30" s="511">
        <f>G30*0.1</f>
        <v>702000</v>
      </c>
      <c r="I30" s="511">
        <f>G30*0.8</f>
        <v>5616000</v>
      </c>
      <c r="J30" s="511">
        <f>G30*0</f>
        <v>0</v>
      </c>
      <c r="K30" s="511">
        <f>G30*0</f>
        <v>0</v>
      </c>
      <c r="L30" s="511">
        <f>G30*0</f>
        <v>0</v>
      </c>
      <c r="M30" s="511">
        <f>G30*0</f>
        <v>0</v>
      </c>
      <c r="N30" s="511">
        <f>G30*0</f>
        <v>0</v>
      </c>
      <c r="O30" s="280">
        <f>G30*0</f>
        <v>0</v>
      </c>
      <c r="P30" s="280">
        <f>G30*0.1</f>
        <v>702000</v>
      </c>
      <c r="Q30" s="280">
        <f>G30*0</f>
        <v>0</v>
      </c>
      <c r="R30" s="167">
        <v>50</v>
      </c>
      <c r="S30" s="167">
        <v>34</v>
      </c>
      <c r="T30" s="167">
        <v>100</v>
      </c>
      <c r="U30" s="167">
        <v>50</v>
      </c>
      <c r="V30" s="502">
        <f>R30*E30</f>
        <v>1500000</v>
      </c>
      <c r="W30" s="502">
        <f>S30*E30</f>
        <v>1020000</v>
      </c>
      <c r="X30" s="502">
        <f>T30*E30</f>
        <v>3000000</v>
      </c>
      <c r="Y30" s="502">
        <f>U30*E30</f>
        <v>1500000</v>
      </c>
      <c r="Z30" s="383">
        <v>12</v>
      </c>
      <c r="AA30" s="158">
        <f t="shared" si="2"/>
        <v>360000</v>
      </c>
      <c r="AB30" s="383">
        <v>9</v>
      </c>
      <c r="AC30" s="158">
        <f t="shared" si="3"/>
        <v>270000</v>
      </c>
      <c r="AD30" s="383">
        <v>12</v>
      </c>
      <c r="AE30" s="158">
        <f t="shared" si="4"/>
        <v>360000</v>
      </c>
      <c r="AF30" s="383">
        <v>15</v>
      </c>
      <c r="AG30" s="158">
        <f t="shared" si="5"/>
        <v>450000</v>
      </c>
      <c r="AH30" s="425">
        <v>6</v>
      </c>
      <c r="AI30" s="158">
        <f t="shared" si="6"/>
        <v>180000</v>
      </c>
      <c r="AJ30" s="425">
        <v>12</v>
      </c>
      <c r="AK30" s="158">
        <f t="shared" si="7"/>
        <v>360000</v>
      </c>
      <c r="AL30" s="425">
        <v>15</v>
      </c>
      <c r="AM30" s="158">
        <f t="shared" si="8"/>
        <v>450000</v>
      </c>
      <c r="AN30" s="425">
        <v>24</v>
      </c>
      <c r="AO30" s="158">
        <f t="shared" si="9"/>
        <v>720000</v>
      </c>
      <c r="AP30" s="425">
        <v>6</v>
      </c>
      <c r="AQ30" s="158">
        <f t="shared" si="10"/>
        <v>180000</v>
      </c>
      <c r="AR30" s="425">
        <v>9</v>
      </c>
      <c r="AS30" s="158">
        <f t="shared" si="11"/>
        <v>270000</v>
      </c>
      <c r="AT30" s="425">
        <v>18</v>
      </c>
      <c r="AU30" s="158">
        <f t="shared" si="12"/>
        <v>540000</v>
      </c>
      <c r="AV30" s="425">
        <v>15</v>
      </c>
      <c r="AW30" s="158">
        <f t="shared" si="13"/>
        <v>450000</v>
      </c>
      <c r="AX30" s="425">
        <v>18</v>
      </c>
      <c r="AY30" s="158">
        <f t="shared" si="14"/>
        <v>540000</v>
      </c>
      <c r="AZ30" s="425">
        <v>18</v>
      </c>
      <c r="BA30" s="158">
        <f t="shared" si="15"/>
        <v>540000</v>
      </c>
      <c r="BB30" s="425">
        <v>9</v>
      </c>
      <c r="BC30" s="158">
        <f t="shared" si="16"/>
        <v>270000</v>
      </c>
      <c r="BD30" s="425">
        <v>24</v>
      </c>
      <c r="BE30" s="158">
        <f t="shared" si="17"/>
        <v>720000</v>
      </c>
      <c r="BF30" s="425">
        <v>12</v>
      </c>
      <c r="BG30" s="158">
        <f t="shared" si="18"/>
        <v>360000</v>
      </c>
      <c r="BH30" s="425">
        <v>0</v>
      </c>
      <c r="BI30" s="158">
        <f t="shared" si="19"/>
        <v>0</v>
      </c>
      <c r="BJ30" s="383">
        <f t="shared" si="20"/>
        <v>234</v>
      </c>
      <c r="BK30" s="158">
        <f t="shared" si="21"/>
        <v>7020000</v>
      </c>
      <c r="BL30" s="338" t="s">
        <v>479</v>
      </c>
      <c r="BM30" s="106"/>
      <c r="BN30" s="385"/>
      <c r="BO30" s="385"/>
      <c r="BP30" s="385">
        <f>G30</f>
        <v>7020000</v>
      </c>
      <c r="BQ30" s="385"/>
      <c r="BR30" s="385">
        <f>BN30+BO30+BP30+BQ30</f>
        <v>7020000</v>
      </c>
      <c r="BS30" s="385"/>
      <c r="BT30" s="385"/>
      <c r="BU30" s="385">
        <f>BS30+BT30</f>
        <v>0</v>
      </c>
      <c r="BV30" s="387">
        <f t="shared" si="1"/>
        <v>7020000</v>
      </c>
      <c r="BW30" s="106"/>
      <c r="BX30" s="106"/>
      <c r="BY30" s="106"/>
      <c r="BZ30" s="106"/>
      <c r="CA30" s="106"/>
      <c r="CB30" s="106"/>
    </row>
    <row r="31" spans="1:80" s="99" customFormat="1" ht="31.5" x14ac:dyDescent="0.25">
      <c r="A31" s="917"/>
      <c r="B31" s="514"/>
      <c r="C31" s="171" t="s">
        <v>798</v>
      </c>
      <c r="D31" s="171" t="s">
        <v>796</v>
      </c>
      <c r="E31" s="237">
        <v>333000</v>
      </c>
      <c r="F31" s="38">
        <f>BJ31</f>
        <v>176</v>
      </c>
      <c r="G31" s="511">
        <f>E31*F31</f>
        <v>58608000</v>
      </c>
      <c r="H31" s="511">
        <f>G31*0</f>
        <v>0</v>
      </c>
      <c r="I31" s="511">
        <f>G31*0.75</f>
        <v>43956000</v>
      </c>
      <c r="J31" s="511">
        <f>G31*0</f>
        <v>0</v>
      </c>
      <c r="K31" s="511">
        <f>G31*0</f>
        <v>0</v>
      </c>
      <c r="L31" s="511">
        <f>G31*0.15</f>
        <v>8791200</v>
      </c>
      <c r="M31" s="511">
        <f>G31*0</f>
        <v>0</v>
      </c>
      <c r="N31" s="511">
        <f>G31*0</f>
        <v>0</v>
      </c>
      <c r="O31" s="280">
        <f>G31*0</f>
        <v>0</v>
      </c>
      <c r="P31" s="280">
        <f>G31*0.1</f>
        <v>5860800</v>
      </c>
      <c r="Q31" s="280">
        <f>G31*0</f>
        <v>0</v>
      </c>
      <c r="R31" s="167">
        <v>36</v>
      </c>
      <c r="S31" s="167">
        <v>70</v>
      </c>
      <c r="T31" s="167">
        <v>50</v>
      </c>
      <c r="U31" s="167">
        <v>20</v>
      </c>
      <c r="V31" s="502">
        <f>R31*E31</f>
        <v>11988000</v>
      </c>
      <c r="W31" s="502">
        <f>S31*E31</f>
        <v>23310000</v>
      </c>
      <c r="X31" s="502">
        <f>T31*E31</f>
        <v>16650000</v>
      </c>
      <c r="Y31" s="502">
        <f>U31*E31</f>
        <v>6660000</v>
      </c>
      <c r="Z31" s="383">
        <v>10</v>
      </c>
      <c r="AA31" s="158">
        <f>Z31*E31</f>
        <v>3330000</v>
      </c>
      <c r="AB31" s="383">
        <v>6</v>
      </c>
      <c r="AC31" s="158">
        <f>AB31*E31</f>
        <v>1998000</v>
      </c>
      <c r="AD31" s="383">
        <v>10</v>
      </c>
      <c r="AE31" s="158">
        <f>AD31*E31</f>
        <v>3330000</v>
      </c>
      <c r="AF31" s="383">
        <v>15</v>
      </c>
      <c r="AG31" s="158">
        <f>AF31*E31</f>
        <v>4995000</v>
      </c>
      <c r="AH31" s="425">
        <v>6</v>
      </c>
      <c r="AI31" s="158">
        <f>AH31*E31</f>
        <v>1998000</v>
      </c>
      <c r="AJ31" s="425">
        <v>12</v>
      </c>
      <c r="AK31" s="158">
        <f>AJ31*E31</f>
        <v>3996000</v>
      </c>
      <c r="AL31" s="425">
        <v>20</v>
      </c>
      <c r="AM31" s="158">
        <f>AL31*E31</f>
        <v>6660000</v>
      </c>
      <c r="AN31" s="425">
        <v>16</v>
      </c>
      <c r="AO31" s="158">
        <f>AN31*E31</f>
        <v>5328000</v>
      </c>
      <c r="AP31" s="425">
        <v>4</v>
      </c>
      <c r="AQ31" s="158">
        <f>AP31*E31</f>
        <v>1332000</v>
      </c>
      <c r="AR31" s="425">
        <v>6</v>
      </c>
      <c r="AS31" s="158">
        <f>AR31*E31</f>
        <v>1998000</v>
      </c>
      <c r="AT31" s="425">
        <v>12</v>
      </c>
      <c r="AU31" s="158">
        <f>AT31*E31</f>
        <v>3996000</v>
      </c>
      <c r="AV31" s="425">
        <v>5</v>
      </c>
      <c r="AW31" s="158">
        <f>AV31*E31</f>
        <v>1665000</v>
      </c>
      <c r="AX31" s="425">
        <v>6</v>
      </c>
      <c r="AY31" s="158">
        <f t="shared" si="14"/>
        <v>1998000</v>
      </c>
      <c r="AZ31" s="425">
        <v>18</v>
      </c>
      <c r="BA31" s="158">
        <f>AZ31*E31</f>
        <v>5994000</v>
      </c>
      <c r="BB31" s="425">
        <v>10</v>
      </c>
      <c r="BC31" s="158">
        <f>BB31*E31</f>
        <v>3330000</v>
      </c>
      <c r="BD31" s="425">
        <v>10</v>
      </c>
      <c r="BE31" s="158">
        <f>BD31*E31</f>
        <v>3330000</v>
      </c>
      <c r="BF31" s="425">
        <v>10</v>
      </c>
      <c r="BG31" s="158">
        <f>BF31*E31</f>
        <v>3330000</v>
      </c>
      <c r="BH31" s="425">
        <v>0</v>
      </c>
      <c r="BI31" s="158">
        <f>BH31*E31</f>
        <v>0</v>
      </c>
      <c r="BJ31" s="383">
        <f>Z31+AB31+AD31+AF31+AH31+AJ31+AL31+AN31+AP31+AR31+AT31+AV31+AX31+AZ31+BB31+BD31+BF31+BH31</f>
        <v>176</v>
      </c>
      <c r="BK31" s="158">
        <f>AA31+AC31+AE31+AG31+AI31+AK31+AM31+AO31+AQ31+AS31+AU31+AW31+AY31+BA31+BC31+BE31+BG31+BI31</f>
        <v>58608000</v>
      </c>
      <c r="BL31" s="338" t="s">
        <v>834</v>
      </c>
      <c r="BM31" s="106"/>
      <c r="BN31" s="385"/>
      <c r="BO31" s="385"/>
      <c r="BP31" s="385">
        <f>G31</f>
        <v>58608000</v>
      </c>
      <c r="BQ31" s="385"/>
      <c r="BR31" s="385">
        <f>BN31+BO31+BP31+BQ31</f>
        <v>58608000</v>
      </c>
      <c r="BS31" s="385"/>
      <c r="BT31" s="385"/>
      <c r="BU31" s="385">
        <f>BS31+BT31</f>
        <v>0</v>
      </c>
      <c r="BV31" s="387">
        <f>BR31+BU31</f>
        <v>58608000</v>
      </c>
      <c r="BW31" s="106"/>
      <c r="BX31" s="106"/>
      <c r="BY31" s="106"/>
      <c r="BZ31" s="106"/>
      <c r="CA31" s="106"/>
      <c r="CB31" s="106"/>
    </row>
    <row r="32" spans="1:80" ht="31.5" x14ac:dyDescent="0.25">
      <c r="A32" s="917"/>
      <c r="B32" s="410"/>
      <c r="C32" s="38" t="s">
        <v>187</v>
      </c>
      <c r="D32" s="38" t="s">
        <v>854</v>
      </c>
      <c r="E32" s="235">
        <f>0.3*100000</f>
        <v>30000</v>
      </c>
      <c r="F32" s="38">
        <f>BJ32</f>
        <v>441</v>
      </c>
      <c r="G32" s="501">
        <f>E32*F32</f>
        <v>13230000</v>
      </c>
      <c r="H32" s="501">
        <f>G32*0.1</f>
        <v>1323000</v>
      </c>
      <c r="I32" s="501">
        <f>G32*0.8</f>
        <v>10584000</v>
      </c>
      <c r="J32" s="501">
        <f>G32*0</f>
        <v>0</v>
      </c>
      <c r="K32" s="501">
        <f>G32*0</f>
        <v>0</v>
      </c>
      <c r="L32" s="501">
        <f>G32*0</f>
        <v>0</v>
      </c>
      <c r="M32" s="501">
        <f>G32*0</f>
        <v>0</v>
      </c>
      <c r="N32" s="501">
        <f>G32*0</f>
        <v>0</v>
      </c>
      <c r="O32" s="76">
        <f>G32*0</f>
        <v>0</v>
      </c>
      <c r="P32" s="76">
        <f>G32*0.1</f>
        <v>1323000</v>
      </c>
      <c r="Q32" s="76">
        <f>G32*0</f>
        <v>0</v>
      </c>
      <c r="R32" s="54">
        <v>41</v>
      </c>
      <c r="S32" s="54">
        <v>100</v>
      </c>
      <c r="T32" s="54">
        <v>200</v>
      </c>
      <c r="U32" s="54">
        <v>100</v>
      </c>
      <c r="V32" s="502">
        <f>R32*E32</f>
        <v>1230000</v>
      </c>
      <c r="W32" s="502">
        <f>S32*E32</f>
        <v>3000000</v>
      </c>
      <c r="X32" s="502">
        <f>T32*E32</f>
        <v>6000000</v>
      </c>
      <c r="Y32" s="502">
        <f>U32*E32</f>
        <v>3000000</v>
      </c>
      <c r="Z32" s="383">
        <v>20</v>
      </c>
      <c r="AA32" s="158">
        <f t="shared" si="2"/>
        <v>600000</v>
      </c>
      <c r="AB32" s="383">
        <v>20</v>
      </c>
      <c r="AC32" s="158">
        <f t="shared" si="3"/>
        <v>600000</v>
      </c>
      <c r="AD32" s="383">
        <v>20</v>
      </c>
      <c r="AE32" s="158">
        <f t="shared" si="4"/>
        <v>600000</v>
      </c>
      <c r="AF32" s="383">
        <v>20</v>
      </c>
      <c r="AG32" s="158">
        <f t="shared" si="5"/>
        <v>600000</v>
      </c>
      <c r="AH32" s="383">
        <v>15</v>
      </c>
      <c r="AI32" s="158">
        <f t="shared" si="6"/>
        <v>450000</v>
      </c>
      <c r="AJ32" s="383">
        <v>16</v>
      </c>
      <c r="AK32" s="158">
        <f t="shared" si="7"/>
        <v>480000</v>
      </c>
      <c r="AL32" s="383">
        <v>22</v>
      </c>
      <c r="AM32" s="158">
        <f t="shared" si="8"/>
        <v>660000</v>
      </c>
      <c r="AN32" s="383">
        <v>44</v>
      </c>
      <c r="AO32" s="158">
        <f t="shared" si="9"/>
        <v>1320000</v>
      </c>
      <c r="AP32" s="383">
        <v>9</v>
      </c>
      <c r="AQ32" s="158">
        <f t="shared" si="10"/>
        <v>270000</v>
      </c>
      <c r="AR32" s="383">
        <v>20</v>
      </c>
      <c r="AS32" s="158">
        <f t="shared" si="11"/>
        <v>600000</v>
      </c>
      <c r="AT32" s="383">
        <v>40</v>
      </c>
      <c r="AU32" s="158">
        <f t="shared" si="12"/>
        <v>1200000</v>
      </c>
      <c r="AV32" s="383">
        <v>30</v>
      </c>
      <c r="AW32" s="158">
        <f t="shared" si="13"/>
        <v>900000</v>
      </c>
      <c r="AX32" s="383">
        <v>40</v>
      </c>
      <c r="AY32" s="158">
        <f t="shared" si="14"/>
        <v>1200000</v>
      </c>
      <c r="AZ32" s="383">
        <v>15</v>
      </c>
      <c r="BA32" s="158">
        <f t="shared" si="15"/>
        <v>450000</v>
      </c>
      <c r="BB32" s="383">
        <v>40</v>
      </c>
      <c r="BC32" s="158">
        <f t="shared" si="16"/>
        <v>1200000</v>
      </c>
      <c r="BD32" s="383">
        <v>40</v>
      </c>
      <c r="BE32" s="158">
        <f t="shared" si="17"/>
        <v>1200000</v>
      </c>
      <c r="BF32" s="383">
        <v>30</v>
      </c>
      <c r="BG32" s="158">
        <f t="shared" si="18"/>
        <v>900000</v>
      </c>
      <c r="BH32" s="383">
        <v>0</v>
      </c>
      <c r="BI32" s="158">
        <f t="shared" si="19"/>
        <v>0</v>
      </c>
      <c r="BJ32" s="383">
        <f t="shared" si="20"/>
        <v>441</v>
      </c>
      <c r="BK32" s="158">
        <f t="shared" si="21"/>
        <v>13230000</v>
      </c>
      <c r="BL32" s="337" t="s">
        <v>479</v>
      </c>
      <c r="BN32" s="385"/>
      <c r="BO32" s="385"/>
      <c r="BP32" s="385">
        <f>G32</f>
        <v>13230000</v>
      </c>
      <c r="BQ32" s="385"/>
      <c r="BR32" s="385">
        <f>BN32+BO32+BP32+BQ32</f>
        <v>13230000</v>
      </c>
      <c r="BS32" s="385"/>
      <c r="BT32" s="385"/>
      <c r="BU32" s="385">
        <f>BS32+BT32</f>
        <v>0</v>
      </c>
      <c r="BV32" s="387">
        <f t="shared" si="1"/>
        <v>13230000</v>
      </c>
    </row>
    <row r="33" spans="1:74" x14ac:dyDescent="0.25">
      <c r="A33" s="917"/>
      <c r="B33" s="402"/>
      <c r="C33" s="402"/>
      <c r="D33" s="402"/>
      <c r="E33" s="402"/>
      <c r="F33" s="402">
        <f>SUM(F29:F32)</f>
        <v>2754</v>
      </c>
      <c r="G33" s="507">
        <f>SUM(G29:G32)</f>
        <v>82664000</v>
      </c>
      <c r="H33" s="507">
        <f t="shared" ref="H33:Q33" si="32">SUM(H28:H32)</f>
        <v>2405600</v>
      </c>
      <c r="I33" s="507">
        <f t="shared" si="32"/>
        <v>63200800</v>
      </c>
      <c r="J33" s="507">
        <f t="shared" si="32"/>
        <v>0</v>
      </c>
      <c r="K33" s="507">
        <f t="shared" si="32"/>
        <v>0</v>
      </c>
      <c r="L33" s="507">
        <f t="shared" si="32"/>
        <v>8791200</v>
      </c>
      <c r="M33" s="507">
        <f t="shared" si="32"/>
        <v>0</v>
      </c>
      <c r="N33" s="507">
        <f t="shared" si="32"/>
        <v>0</v>
      </c>
      <c r="O33" s="507">
        <f t="shared" si="32"/>
        <v>0</v>
      </c>
      <c r="P33" s="507">
        <f t="shared" si="32"/>
        <v>8266400</v>
      </c>
      <c r="Q33" s="507">
        <f t="shared" si="32"/>
        <v>0</v>
      </c>
      <c r="R33" s="402">
        <f>SUM(R29:R32)</f>
        <v>127</v>
      </c>
      <c r="S33" s="402">
        <f>SUM(S29:S32)</f>
        <v>2107</v>
      </c>
      <c r="T33" s="402">
        <f>SUM(T29:T32)</f>
        <v>350</v>
      </c>
      <c r="U33" s="402">
        <f>SUM(U29:U32)</f>
        <v>170</v>
      </c>
      <c r="V33" s="507">
        <f t="shared" ref="V33:BK33" si="33">SUM(V28:V32)</f>
        <v>14718000</v>
      </c>
      <c r="W33" s="507">
        <f t="shared" si="33"/>
        <v>31136000</v>
      </c>
      <c r="X33" s="507">
        <f t="shared" si="33"/>
        <v>25650000</v>
      </c>
      <c r="Y33" s="507">
        <f t="shared" si="33"/>
        <v>11160000</v>
      </c>
      <c r="Z33" s="509">
        <f t="shared" si="33"/>
        <v>90</v>
      </c>
      <c r="AA33" s="509">
        <f t="shared" si="33"/>
        <v>4386000</v>
      </c>
      <c r="AB33" s="509">
        <f t="shared" si="33"/>
        <v>58</v>
      </c>
      <c r="AC33" s="509">
        <f t="shared" si="33"/>
        <v>2914000</v>
      </c>
      <c r="AD33" s="509">
        <f t="shared" si="33"/>
        <v>122</v>
      </c>
      <c r="AE33" s="509">
        <f t="shared" si="33"/>
        <v>4450000</v>
      </c>
      <c r="AF33" s="509">
        <f t="shared" si="33"/>
        <v>155</v>
      </c>
      <c r="AG33" s="509">
        <f t="shared" si="33"/>
        <v>6255000</v>
      </c>
      <c r="AH33" s="509">
        <f t="shared" si="33"/>
        <v>107</v>
      </c>
      <c r="AI33" s="509">
        <f t="shared" si="33"/>
        <v>2788000</v>
      </c>
      <c r="AJ33" s="509">
        <f t="shared" si="33"/>
        <v>240</v>
      </c>
      <c r="AK33" s="509">
        <f t="shared" si="33"/>
        <v>5236000</v>
      </c>
      <c r="AL33" s="509">
        <f t="shared" si="33"/>
        <v>117</v>
      </c>
      <c r="AM33" s="509">
        <f t="shared" si="33"/>
        <v>7890000</v>
      </c>
      <c r="AN33" s="509">
        <f t="shared" si="33"/>
        <v>284</v>
      </c>
      <c r="AO33" s="509">
        <f t="shared" si="33"/>
        <v>7768000</v>
      </c>
      <c r="AP33" s="509">
        <f t="shared" si="33"/>
        <v>39</v>
      </c>
      <c r="AQ33" s="509">
        <f t="shared" si="33"/>
        <v>1822000</v>
      </c>
      <c r="AR33" s="509">
        <f t="shared" si="33"/>
        <v>115</v>
      </c>
      <c r="AS33" s="509">
        <f t="shared" si="33"/>
        <v>3028000</v>
      </c>
      <c r="AT33" s="509">
        <f t="shared" si="33"/>
        <v>150</v>
      </c>
      <c r="AU33" s="509">
        <f t="shared" si="33"/>
        <v>5896000</v>
      </c>
      <c r="AV33" s="509">
        <f t="shared" si="33"/>
        <v>130</v>
      </c>
      <c r="AW33" s="509">
        <f t="shared" si="33"/>
        <v>3175000</v>
      </c>
      <c r="AX33" s="509">
        <f t="shared" si="33"/>
        <v>214</v>
      </c>
      <c r="AY33" s="509">
        <f t="shared" si="33"/>
        <v>4038000</v>
      </c>
      <c r="AZ33" s="509">
        <f t="shared" si="33"/>
        <v>201</v>
      </c>
      <c r="BA33" s="509">
        <f t="shared" si="33"/>
        <v>7284000</v>
      </c>
      <c r="BB33" s="509">
        <f t="shared" si="33"/>
        <v>249</v>
      </c>
      <c r="BC33" s="509">
        <f t="shared" si="33"/>
        <v>5180000</v>
      </c>
      <c r="BD33" s="509">
        <f t="shared" si="33"/>
        <v>335</v>
      </c>
      <c r="BE33" s="509">
        <f t="shared" si="33"/>
        <v>5772000</v>
      </c>
      <c r="BF33" s="509">
        <f t="shared" si="33"/>
        <v>148</v>
      </c>
      <c r="BG33" s="509">
        <f t="shared" si="33"/>
        <v>4782000</v>
      </c>
      <c r="BH33" s="509">
        <f t="shared" si="33"/>
        <v>0</v>
      </c>
      <c r="BI33" s="509">
        <f t="shared" si="33"/>
        <v>0</v>
      </c>
      <c r="BJ33" s="509">
        <f t="shared" si="33"/>
        <v>2754</v>
      </c>
      <c r="BK33" s="509">
        <f t="shared" si="33"/>
        <v>82664000</v>
      </c>
      <c r="BL33" s="265"/>
      <c r="BN33" s="504">
        <f t="shared" ref="BN33:BU33" si="34">SUM(BN28:BN32)</f>
        <v>0</v>
      </c>
      <c r="BO33" s="504">
        <f t="shared" si="34"/>
        <v>0</v>
      </c>
      <c r="BP33" s="504">
        <f t="shared" si="34"/>
        <v>82664000</v>
      </c>
      <c r="BQ33" s="504">
        <f t="shared" si="34"/>
        <v>0</v>
      </c>
      <c r="BR33" s="504">
        <f t="shared" si="34"/>
        <v>82664000</v>
      </c>
      <c r="BS33" s="504">
        <f t="shared" si="34"/>
        <v>0</v>
      </c>
      <c r="BT33" s="504">
        <f t="shared" si="34"/>
        <v>0</v>
      </c>
      <c r="BU33" s="504">
        <f t="shared" si="34"/>
        <v>0</v>
      </c>
      <c r="BV33" s="505">
        <f t="shared" si="1"/>
        <v>82664000</v>
      </c>
    </row>
    <row r="34" spans="1:74" x14ac:dyDescent="0.25">
      <c r="A34" s="917"/>
      <c r="B34" s="38">
        <v>23500</v>
      </c>
      <c r="C34" s="38" t="s">
        <v>188</v>
      </c>
      <c r="D34" s="38"/>
      <c r="E34" s="375"/>
      <c r="F34" s="3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54"/>
      <c r="S34" s="54"/>
      <c r="T34" s="54"/>
      <c r="U34" s="54"/>
      <c r="V34" s="76"/>
      <c r="W34" s="76"/>
      <c r="X34" s="76"/>
      <c r="Y34" s="76"/>
      <c r="Z34" s="383">
        <v>0</v>
      </c>
      <c r="AA34" s="158">
        <f t="shared" si="2"/>
        <v>0</v>
      </c>
      <c r="AB34" s="383">
        <v>0</v>
      </c>
      <c r="AC34" s="158">
        <f t="shared" si="3"/>
        <v>0</v>
      </c>
      <c r="AD34" s="383">
        <v>0</v>
      </c>
      <c r="AE34" s="158">
        <f t="shared" si="4"/>
        <v>0</v>
      </c>
      <c r="AF34" s="383">
        <v>0</v>
      </c>
      <c r="AG34" s="158">
        <f t="shared" si="5"/>
        <v>0</v>
      </c>
      <c r="AH34" s="383"/>
      <c r="AI34" s="158">
        <f t="shared" si="6"/>
        <v>0</v>
      </c>
      <c r="AJ34" s="383"/>
      <c r="AK34" s="158">
        <f t="shared" si="7"/>
        <v>0</v>
      </c>
      <c r="AL34" s="383"/>
      <c r="AM34" s="158">
        <f t="shared" si="8"/>
        <v>0</v>
      </c>
      <c r="AN34" s="383"/>
      <c r="AO34" s="158">
        <f t="shared" si="9"/>
        <v>0</v>
      </c>
      <c r="AP34" s="383"/>
      <c r="AQ34" s="158">
        <f t="shared" si="10"/>
        <v>0</v>
      </c>
      <c r="AR34" s="383"/>
      <c r="AS34" s="158">
        <f t="shared" si="11"/>
        <v>0</v>
      </c>
      <c r="AT34" s="383"/>
      <c r="AU34" s="158">
        <f t="shared" si="12"/>
        <v>0</v>
      </c>
      <c r="AV34" s="383"/>
      <c r="AW34" s="158">
        <f t="shared" si="13"/>
        <v>0</v>
      </c>
      <c r="AX34" s="383"/>
      <c r="AY34" s="158">
        <f t="shared" si="14"/>
        <v>0</v>
      </c>
      <c r="AZ34" s="383"/>
      <c r="BA34" s="158">
        <f t="shared" si="15"/>
        <v>0</v>
      </c>
      <c r="BB34" s="383"/>
      <c r="BC34" s="158">
        <f t="shared" si="16"/>
        <v>0</v>
      </c>
      <c r="BD34" s="383"/>
      <c r="BE34" s="158">
        <f t="shared" si="17"/>
        <v>0</v>
      </c>
      <c r="BF34" s="383"/>
      <c r="BG34" s="158">
        <f t="shared" si="18"/>
        <v>0</v>
      </c>
      <c r="BH34" s="383"/>
      <c r="BI34" s="158">
        <f t="shared" si="19"/>
        <v>0</v>
      </c>
      <c r="BJ34" s="383">
        <f t="shared" si="20"/>
        <v>0</v>
      </c>
      <c r="BK34" s="158">
        <f t="shared" si="21"/>
        <v>0</v>
      </c>
      <c r="BL34" s="38"/>
      <c r="BN34" s="385"/>
      <c r="BO34" s="385"/>
      <c r="BP34" s="385"/>
      <c r="BQ34" s="385"/>
      <c r="BR34" s="385"/>
      <c r="BS34" s="385"/>
      <c r="BT34" s="385"/>
      <c r="BU34" s="385"/>
      <c r="BV34" s="387">
        <f t="shared" si="1"/>
        <v>0</v>
      </c>
    </row>
    <row r="35" spans="1:74" x14ac:dyDescent="0.25">
      <c r="A35" s="917"/>
      <c r="B35" s="38">
        <v>23510</v>
      </c>
      <c r="C35" s="38" t="s">
        <v>189</v>
      </c>
      <c r="D35" s="38" t="s">
        <v>190</v>
      </c>
      <c r="E35" s="375">
        <f>1*100000</f>
        <v>100000</v>
      </c>
      <c r="F35" s="38">
        <f>BJ35</f>
        <v>17</v>
      </c>
      <c r="G35" s="501">
        <f>E35*F35</f>
        <v>1700000</v>
      </c>
      <c r="H35" s="501">
        <f>G35*0.2</f>
        <v>340000</v>
      </c>
      <c r="I35" s="501">
        <f>G35*0.8</f>
        <v>1360000</v>
      </c>
      <c r="J35" s="501">
        <f>G35*0</f>
        <v>0</v>
      </c>
      <c r="K35" s="501">
        <f>G35*0</f>
        <v>0</v>
      </c>
      <c r="L35" s="501">
        <f>G35*0</f>
        <v>0</v>
      </c>
      <c r="M35" s="501">
        <f>G35*0</f>
        <v>0</v>
      </c>
      <c r="N35" s="501">
        <f>G35*0</f>
        <v>0</v>
      </c>
      <c r="O35" s="76">
        <f>G35*0</f>
        <v>0</v>
      </c>
      <c r="P35" s="76">
        <f>G35*0</f>
        <v>0</v>
      </c>
      <c r="Q35" s="76">
        <f>G35*0</f>
        <v>0</v>
      </c>
      <c r="R35" s="54"/>
      <c r="S35" s="54">
        <v>17</v>
      </c>
      <c r="T35" s="54"/>
      <c r="U35" s="54"/>
      <c r="V35" s="502">
        <f>R35*E35</f>
        <v>0</v>
      </c>
      <c r="W35" s="502">
        <f>S35*E35</f>
        <v>1700000</v>
      </c>
      <c r="X35" s="502">
        <f>T35*E35</f>
        <v>0</v>
      </c>
      <c r="Y35" s="502">
        <f>U35*E35</f>
        <v>0</v>
      </c>
      <c r="Z35" s="383">
        <v>0</v>
      </c>
      <c r="AA35" s="158">
        <f t="shared" si="2"/>
        <v>0</v>
      </c>
      <c r="AB35" s="383">
        <v>0</v>
      </c>
      <c r="AC35" s="158">
        <f t="shared" si="3"/>
        <v>0</v>
      </c>
      <c r="AD35" s="383">
        <v>0</v>
      </c>
      <c r="AE35" s="158">
        <f t="shared" si="4"/>
        <v>0</v>
      </c>
      <c r="AF35" s="383">
        <v>0</v>
      </c>
      <c r="AG35" s="158">
        <f t="shared" si="5"/>
        <v>0</v>
      </c>
      <c r="AH35" s="383">
        <v>0</v>
      </c>
      <c r="AI35" s="158">
        <f t="shared" si="6"/>
        <v>0</v>
      </c>
      <c r="AJ35" s="383">
        <v>0</v>
      </c>
      <c r="AK35" s="158">
        <f t="shared" si="7"/>
        <v>0</v>
      </c>
      <c r="AL35" s="383">
        <v>0</v>
      </c>
      <c r="AM35" s="158">
        <f t="shared" si="8"/>
        <v>0</v>
      </c>
      <c r="AN35" s="383">
        <v>0</v>
      </c>
      <c r="AO35" s="158">
        <f t="shared" si="9"/>
        <v>0</v>
      </c>
      <c r="AP35" s="383">
        <v>0</v>
      </c>
      <c r="AQ35" s="158">
        <f t="shared" si="10"/>
        <v>0</v>
      </c>
      <c r="AR35" s="383">
        <v>0</v>
      </c>
      <c r="AS35" s="158">
        <f t="shared" si="11"/>
        <v>0</v>
      </c>
      <c r="AT35" s="383">
        <v>0</v>
      </c>
      <c r="AU35" s="158">
        <f t="shared" si="12"/>
        <v>0</v>
      </c>
      <c r="AV35" s="383">
        <v>0</v>
      </c>
      <c r="AW35" s="158">
        <f t="shared" si="13"/>
        <v>0</v>
      </c>
      <c r="AX35" s="383">
        <v>0</v>
      </c>
      <c r="AY35" s="158">
        <f t="shared" si="14"/>
        <v>0</v>
      </c>
      <c r="AZ35" s="383">
        <v>0</v>
      </c>
      <c r="BA35" s="158">
        <f t="shared" si="15"/>
        <v>0</v>
      </c>
      <c r="BB35" s="383">
        <v>0</v>
      </c>
      <c r="BC35" s="158">
        <f t="shared" si="16"/>
        <v>0</v>
      </c>
      <c r="BD35" s="383">
        <v>0</v>
      </c>
      <c r="BE35" s="158">
        <f t="shared" si="17"/>
        <v>0</v>
      </c>
      <c r="BF35" s="383">
        <v>0</v>
      </c>
      <c r="BG35" s="158">
        <f t="shared" si="18"/>
        <v>0</v>
      </c>
      <c r="BH35" s="383">
        <v>17</v>
      </c>
      <c r="BI35" s="158">
        <f t="shared" si="19"/>
        <v>1700000</v>
      </c>
      <c r="BJ35" s="383">
        <f t="shared" si="20"/>
        <v>17</v>
      </c>
      <c r="BK35" s="158">
        <f t="shared" si="21"/>
        <v>1700000</v>
      </c>
      <c r="BL35" s="337" t="s">
        <v>469</v>
      </c>
      <c r="BN35" s="385"/>
      <c r="BO35" s="385"/>
      <c r="BP35" s="385">
        <f>G35</f>
        <v>1700000</v>
      </c>
      <c r="BQ35" s="385"/>
      <c r="BR35" s="385">
        <f>BN35+BO35+BP35+BQ35</f>
        <v>1700000</v>
      </c>
      <c r="BS35" s="385"/>
      <c r="BT35" s="385"/>
      <c r="BU35" s="385">
        <f>BS35+BT35</f>
        <v>0</v>
      </c>
      <c r="BV35" s="387">
        <f t="shared" si="1"/>
        <v>1700000</v>
      </c>
    </row>
    <row r="36" spans="1:74" x14ac:dyDescent="0.25">
      <c r="A36" s="917"/>
      <c r="B36" s="38">
        <v>23520</v>
      </c>
      <c r="C36" s="38" t="s">
        <v>191</v>
      </c>
      <c r="D36" s="38" t="s">
        <v>192</v>
      </c>
      <c r="E36" s="375">
        <f>7.5*100000</f>
        <v>750000</v>
      </c>
      <c r="F36" s="38">
        <f>BJ36</f>
        <v>3</v>
      </c>
      <c r="G36" s="501">
        <f>E36*F36</f>
        <v>2250000</v>
      </c>
      <c r="H36" s="501">
        <f>G36*0.2</f>
        <v>450000</v>
      </c>
      <c r="I36" s="501">
        <f>G36*0.8</f>
        <v>1800000</v>
      </c>
      <c r="J36" s="501">
        <f>G36*0</f>
        <v>0</v>
      </c>
      <c r="K36" s="501">
        <f>G36*0</f>
        <v>0</v>
      </c>
      <c r="L36" s="501">
        <f>G36*0</f>
        <v>0</v>
      </c>
      <c r="M36" s="501">
        <f>G36*0</f>
        <v>0</v>
      </c>
      <c r="N36" s="501">
        <f>G36*0</f>
        <v>0</v>
      </c>
      <c r="O36" s="76">
        <f>G36*0</f>
        <v>0</v>
      </c>
      <c r="P36" s="76">
        <f>G36*0</f>
        <v>0</v>
      </c>
      <c r="Q36" s="76">
        <f>G36*0</f>
        <v>0</v>
      </c>
      <c r="R36" s="54"/>
      <c r="S36" s="54">
        <v>3</v>
      </c>
      <c r="T36" s="54"/>
      <c r="U36" s="54"/>
      <c r="V36" s="502">
        <f>R36*E36</f>
        <v>0</v>
      </c>
      <c r="W36" s="502">
        <f>S36*E36</f>
        <v>2250000</v>
      </c>
      <c r="X36" s="502">
        <f>T36*E36</f>
        <v>0</v>
      </c>
      <c r="Y36" s="502">
        <f>U36*E36</f>
        <v>0</v>
      </c>
      <c r="Z36" s="383">
        <v>0</v>
      </c>
      <c r="AA36" s="158">
        <f t="shared" si="2"/>
        <v>0</v>
      </c>
      <c r="AB36" s="383">
        <v>0</v>
      </c>
      <c r="AC36" s="158">
        <f t="shared" si="3"/>
        <v>0</v>
      </c>
      <c r="AD36" s="383">
        <v>0</v>
      </c>
      <c r="AE36" s="158">
        <f t="shared" si="4"/>
        <v>0</v>
      </c>
      <c r="AF36" s="383">
        <v>0</v>
      </c>
      <c r="AG36" s="158">
        <f t="shared" si="5"/>
        <v>0</v>
      </c>
      <c r="AH36" s="383">
        <v>0</v>
      </c>
      <c r="AI36" s="158">
        <f t="shared" si="6"/>
        <v>0</v>
      </c>
      <c r="AJ36" s="383">
        <v>0</v>
      </c>
      <c r="AK36" s="158">
        <f t="shared" si="7"/>
        <v>0</v>
      </c>
      <c r="AL36" s="383">
        <v>0</v>
      </c>
      <c r="AM36" s="158">
        <f t="shared" si="8"/>
        <v>0</v>
      </c>
      <c r="AN36" s="383">
        <v>0</v>
      </c>
      <c r="AO36" s="158">
        <f t="shared" si="9"/>
        <v>0</v>
      </c>
      <c r="AP36" s="383">
        <v>0</v>
      </c>
      <c r="AQ36" s="158">
        <f t="shared" si="10"/>
        <v>0</v>
      </c>
      <c r="AR36" s="383">
        <v>0</v>
      </c>
      <c r="AS36" s="158">
        <f t="shared" si="11"/>
        <v>0</v>
      </c>
      <c r="AT36" s="383">
        <v>0</v>
      </c>
      <c r="AU36" s="158">
        <f t="shared" si="12"/>
        <v>0</v>
      </c>
      <c r="AV36" s="383">
        <v>0</v>
      </c>
      <c r="AW36" s="158">
        <f t="shared" si="13"/>
        <v>0</v>
      </c>
      <c r="AX36" s="383">
        <v>0</v>
      </c>
      <c r="AY36" s="158">
        <f t="shared" si="14"/>
        <v>0</v>
      </c>
      <c r="AZ36" s="383">
        <v>0</v>
      </c>
      <c r="BA36" s="158">
        <f t="shared" si="15"/>
        <v>0</v>
      </c>
      <c r="BB36" s="383">
        <v>0</v>
      </c>
      <c r="BC36" s="158">
        <f t="shared" si="16"/>
        <v>0</v>
      </c>
      <c r="BD36" s="383">
        <v>0</v>
      </c>
      <c r="BE36" s="158">
        <f t="shared" si="17"/>
        <v>0</v>
      </c>
      <c r="BF36" s="383">
        <v>0</v>
      </c>
      <c r="BG36" s="158">
        <f t="shared" si="18"/>
        <v>0</v>
      </c>
      <c r="BH36" s="383">
        <v>3</v>
      </c>
      <c r="BI36" s="158">
        <f t="shared" si="19"/>
        <v>2250000</v>
      </c>
      <c r="BJ36" s="383">
        <f t="shared" si="20"/>
        <v>3</v>
      </c>
      <c r="BK36" s="158">
        <f t="shared" si="21"/>
        <v>2250000</v>
      </c>
      <c r="BL36" s="337" t="s">
        <v>469</v>
      </c>
      <c r="BN36" s="385"/>
      <c r="BO36" s="385"/>
      <c r="BP36" s="385">
        <f>G36</f>
        <v>2250000</v>
      </c>
      <c r="BQ36" s="385"/>
      <c r="BR36" s="385">
        <f>BN36+BO36+BP36+BQ36</f>
        <v>2250000</v>
      </c>
      <c r="BS36" s="385"/>
      <c r="BT36" s="385"/>
      <c r="BU36" s="385">
        <f>BS36+BT36</f>
        <v>0</v>
      </c>
      <c r="BV36" s="387">
        <f t="shared" si="1"/>
        <v>2250000</v>
      </c>
    </row>
    <row r="37" spans="1:74" x14ac:dyDescent="0.25">
      <c r="A37" s="917"/>
      <c r="B37" s="410"/>
      <c r="C37" s="38" t="s">
        <v>193</v>
      </c>
      <c r="D37" s="38" t="s">
        <v>194</v>
      </c>
      <c r="E37" s="375">
        <f>4*100000</f>
        <v>400000</v>
      </c>
      <c r="F37" s="38">
        <f>BJ37</f>
        <v>3</v>
      </c>
      <c r="G37" s="501">
        <f>E37*F37</f>
        <v>1200000</v>
      </c>
      <c r="H37" s="501">
        <f>G37*0.2</f>
        <v>240000</v>
      </c>
      <c r="I37" s="501">
        <f>G37*0.8</f>
        <v>960000</v>
      </c>
      <c r="J37" s="501">
        <f>G37*0</f>
        <v>0</v>
      </c>
      <c r="K37" s="501">
        <f>G37*0</f>
        <v>0</v>
      </c>
      <c r="L37" s="501">
        <f>G37*0</f>
        <v>0</v>
      </c>
      <c r="M37" s="501">
        <f>G37*0</f>
        <v>0</v>
      </c>
      <c r="N37" s="501">
        <f>G37*0</f>
        <v>0</v>
      </c>
      <c r="O37" s="76">
        <f>G37*0</f>
        <v>0</v>
      </c>
      <c r="P37" s="76">
        <f>G37*0</f>
        <v>0</v>
      </c>
      <c r="Q37" s="76">
        <f>G37*0</f>
        <v>0</v>
      </c>
      <c r="R37" s="54"/>
      <c r="S37" s="54"/>
      <c r="T37" s="54">
        <v>3</v>
      </c>
      <c r="U37" s="54"/>
      <c r="V37" s="502">
        <f>R37*E37</f>
        <v>0</v>
      </c>
      <c r="W37" s="502">
        <f>S37*E37</f>
        <v>0</v>
      </c>
      <c r="X37" s="502">
        <f>T37*E37</f>
        <v>1200000</v>
      </c>
      <c r="Y37" s="502">
        <f>U37*E37</f>
        <v>0</v>
      </c>
      <c r="Z37" s="383">
        <v>0</v>
      </c>
      <c r="AA37" s="158">
        <f t="shared" si="2"/>
        <v>0</v>
      </c>
      <c r="AB37" s="383">
        <v>0</v>
      </c>
      <c r="AC37" s="158">
        <f t="shared" si="3"/>
        <v>0</v>
      </c>
      <c r="AD37" s="383">
        <v>0</v>
      </c>
      <c r="AE37" s="158">
        <f t="shared" si="4"/>
        <v>0</v>
      </c>
      <c r="AF37" s="383">
        <v>0</v>
      </c>
      <c r="AG37" s="158">
        <f t="shared" si="5"/>
        <v>0</v>
      </c>
      <c r="AH37" s="383">
        <v>0</v>
      </c>
      <c r="AI37" s="158">
        <f t="shared" si="6"/>
        <v>0</v>
      </c>
      <c r="AJ37" s="383">
        <v>0</v>
      </c>
      <c r="AK37" s="158">
        <f t="shared" si="7"/>
        <v>0</v>
      </c>
      <c r="AL37" s="383">
        <v>0</v>
      </c>
      <c r="AM37" s="158">
        <f t="shared" si="8"/>
        <v>0</v>
      </c>
      <c r="AN37" s="383">
        <v>0</v>
      </c>
      <c r="AO37" s="158">
        <f t="shared" si="9"/>
        <v>0</v>
      </c>
      <c r="AP37" s="383">
        <v>0</v>
      </c>
      <c r="AQ37" s="158">
        <f t="shared" si="10"/>
        <v>0</v>
      </c>
      <c r="AR37" s="383">
        <v>0</v>
      </c>
      <c r="AS37" s="158">
        <f t="shared" si="11"/>
        <v>0</v>
      </c>
      <c r="AT37" s="383">
        <v>0</v>
      </c>
      <c r="AU37" s="158">
        <f t="shared" si="12"/>
        <v>0</v>
      </c>
      <c r="AV37" s="383">
        <v>0</v>
      </c>
      <c r="AW37" s="158">
        <f t="shared" si="13"/>
        <v>0</v>
      </c>
      <c r="AX37" s="383">
        <v>0</v>
      </c>
      <c r="AY37" s="158">
        <f t="shared" si="14"/>
        <v>0</v>
      </c>
      <c r="AZ37" s="383">
        <v>0</v>
      </c>
      <c r="BA37" s="158">
        <f t="shared" si="15"/>
        <v>0</v>
      </c>
      <c r="BB37" s="383">
        <v>0</v>
      </c>
      <c r="BC37" s="158">
        <f t="shared" si="16"/>
        <v>0</v>
      </c>
      <c r="BD37" s="383">
        <v>0</v>
      </c>
      <c r="BE37" s="158">
        <f t="shared" si="17"/>
        <v>0</v>
      </c>
      <c r="BF37" s="383">
        <v>0</v>
      </c>
      <c r="BG37" s="158">
        <f t="shared" si="18"/>
        <v>0</v>
      </c>
      <c r="BH37" s="383">
        <v>3</v>
      </c>
      <c r="BI37" s="158">
        <f t="shared" si="19"/>
        <v>1200000</v>
      </c>
      <c r="BJ37" s="383">
        <f t="shared" si="20"/>
        <v>3</v>
      </c>
      <c r="BK37" s="158">
        <f t="shared" si="21"/>
        <v>1200000</v>
      </c>
      <c r="BL37" s="337" t="s">
        <v>469</v>
      </c>
      <c r="BN37" s="385"/>
      <c r="BO37" s="385"/>
      <c r="BP37" s="385">
        <f>G37</f>
        <v>1200000</v>
      </c>
      <c r="BQ37" s="385"/>
      <c r="BR37" s="385">
        <f>BN37+BO37+BP37+BQ37</f>
        <v>1200000</v>
      </c>
      <c r="BS37" s="385"/>
      <c r="BT37" s="385"/>
      <c r="BU37" s="385">
        <f>BS37+BT37</f>
        <v>0</v>
      </c>
      <c r="BV37" s="387">
        <f t="shared" si="1"/>
        <v>1200000</v>
      </c>
    </row>
    <row r="38" spans="1:74" x14ac:dyDescent="0.25">
      <c r="A38" s="917"/>
      <c r="B38" s="410"/>
      <c r="C38" s="38" t="s">
        <v>195</v>
      </c>
      <c r="D38" s="38" t="s">
        <v>192</v>
      </c>
      <c r="E38" s="375">
        <f>8*100000</f>
        <v>800000</v>
      </c>
      <c r="F38" s="38">
        <f>BJ38</f>
        <v>3</v>
      </c>
      <c r="G38" s="501">
        <f>E38*F38</f>
        <v>2400000</v>
      </c>
      <c r="H38" s="501">
        <f>G38*0.2</f>
        <v>480000</v>
      </c>
      <c r="I38" s="501">
        <f>G38*0.8</f>
        <v>1920000</v>
      </c>
      <c r="J38" s="501">
        <f>G38*0</f>
        <v>0</v>
      </c>
      <c r="K38" s="501">
        <f>G38*0</f>
        <v>0</v>
      </c>
      <c r="L38" s="501">
        <f>G38*0</f>
        <v>0</v>
      </c>
      <c r="M38" s="501">
        <f>G38*0</f>
        <v>0</v>
      </c>
      <c r="N38" s="501">
        <f>G38*0</f>
        <v>0</v>
      </c>
      <c r="O38" s="76">
        <f>G38*0</f>
        <v>0</v>
      </c>
      <c r="P38" s="76">
        <f>G38*0</f>
        <v>0</v>
      </c>
      <c r="Q38" s="76">
        <f>G38*0</f>
        <v>0</v>
      </c>
      <c r="R38" s="54"/>
      <c r="S38" s="54"/>
      <c r="T38" s="54">
        <v>3</v>
      </c>
      <c r="U38" s="54"/>
      <c r="V38" s="502">
        <f>R38*E38</f>
        <v>0</v>
      </c>
      <c r="W38" s="502">
        <f>S38*E38</f>
        <v>0</v>
      </c>
      <c r="X38" s="502">
        <f>T38*E38</f>
        <v>2400000</v>
      </c>
      <c r="Y38" s="502">
        <f>U38*E38</f>
        <v>0</v>
      </c>
      <c r="Z38" s="383">
        <v>0</v>
      </c>
      <c r="AA38" s="158">
        <f t="shared" si="2"/>
        <v>0</v>
      </c>
      <c r="AB38" s="383">
        <v>0</v>
      </c>
      <c r="AC38" s="158">
        <f t="shared" si="3"/>
        <v>0</v>
      </c>
      <c r="AD38" s="383">
        <v>0</v>
      </c>
      <c r="AE38" s="158">
        <f t="shared" si="4"/>
        <v>0</v>
      </c>
      <c r="AF38" s="383">
        <v>0</v>
      </c>
      <c r="AG38" s="158">
        <f t="shared" si="5"/>
        <v>0</v>
      </c>
      <c r="AH38" s="383">
        <v>0</v>
      </c>
      <c r="AI38" s="158">
        <f t="shared" si="6"/>
        <v>0</v>
      </c>
      <c r="AJ38" s="383">
        <v>0</v>
      </c>
      <c r="AK38" s="158">
        <f t="shared" si="7"/>
        <v>0</v>
      </c>
      <c r="AL38" s="383">
        <v>0</v>
      </c>
      <c r="AM38" s="158">
        <f t="shared" si="8"/>
        <v>0</v>
      </c>
      <c r="AN38" s="383">
        <v>0</v>
      </c>
      <c r="AO38" s="158">
        <f t="shared" si="9"/>
        <v>0</v>
      </c>
      <c r="AP38" s="383">
        <v>0</v>
      </c>
      <c r="AQ38" s="158">
        <f t="shared" si="10"/>
        <v>0</v>
      </c>
      <c r="AR38" s="383">
        <v>0</v>
      </c>
      <c r="AS38" s="158">
        <f t="shared" si="11"/>
        <v>0</v>
      </c>
      <c r="AT38" s="383">
        <v>0</v>
      </c>
      <c r="AU38" s="158">
        <f t="shared" si="12"/>
        <v>0</v>
      </c>
      <c r="AV38" s="383">
        <v>0</v>
      </c>
      <c r="AW38" s="158">
        <f t="shared" si="13"/>
        <v>0</v>
      </c>
      <c r="AX38" s="383">
        <v>0</v>
      </c>
      <c r="AY38" s="158">
        <f t="shared" si="14"/>
        <v>0</v>
      </c>
      <c r="AZ38" s="383">
        <v>0</v>
      </c>
      <c r="BA38" s="158">
        <f t="shared" si="15"/>
        <v>0</v>
      </c>
      <c r="BB38" s="383">
        <v>0</v>
      </c>
      <c r="BC38" s="158">
        <f t="shared" si="16"/>
        <v>0</v>
      </c>
      <c r="BD38" s="383">
        <v>0</v>
      </c>
      <c r="BE38" s="158">
        <f t="shared" si="17"/>
        <v>0</v>
      </c>
      <c r="BF38" s="383">
        <v>0</v>
      </c>
      <c r="BG38" s="158">
        <f t="shared" si="18"/>
        <v>0</v>
      </c>
      <c r="BH38" s="383">
        <v>3</v>
      </c>
      <c r="BI38" s="158">
        <f t="shared" si="19"/>
        <v>2400000</v>
      </c>
      <c r="BJ38" s="383">
        <f t="shared" si="20"/>
        <v>3</v>
      </c>
      <c r="BK38" s="158">
        <f t="shared" si="21"/>
        <v>2400000</v>
      </c>
      <c r="BL38" s="337" t="s">
        <v>469</v>
      </c>
      <c r="BN38" s="385"/>
      <c r="BO38" s="385"/>
      <c r="BP38" s="385">
        <f>G38</f>
        <v>2400000</v>
      </c>
      <c r="BQ38" s="385"/>
      <c r="BR38" s="385">
        <f>BN38+BO38+BP38+BQ38</f>
        <v>2400000</v>
      </c>
      <c r="BS38" s="385"/>
      <c r="BT38" s="385"/>
      <c r="BU38" s="385">
        <f>BS38+BT38</f>
        <v>0</v>
      </c>
      <c r="BV38" s="387">
        <f t="shared" si="1"/>
        <v>2400000</v>
      </c>
    </row>
    <row r="39" spans="1:74" x14ac:dyDescent="0.25">
      <c r="A39" s="917"/>
      <c r="B39" s="410"/>
      <c r="C39" s="38" t="s">
        <v>196</v>
      </c>
      <c r="D39" s="38" t="s">
        <v>192</v>
      </c>
      <c r="E39" s="375">
        <f>1*100000</f>
        <v>100000</v>
      </c>
      <c r="F39" s="38">
        <f>BJ39</f>
        <v>3</v>
      </c>
      <c r="G39" s="501">
        <f>E39*F39</f>
        <v>300000</v>
      </c>
      <c r="H39" s="501">
        <f>G39*0.2</f>
        <v>60000</v>
      </c>
      <c r="I39" s="501">
        <f>G39*0.8</f>
        <v>240000</v>
      </c>
      <c r="J39" s="501">
        <f>G39*0</f>
        <v>0</v>
      </c>
      <c r="K39" s="501">
        <f>G39*0</f>
        <v>0</v>
      </c>
      <c r="L39" s="501">
        <f>G39*0</f>
        <v>0</v>
      </c>
      <c r="M39" s="501">
        <f>G39*0</f>
        <v>0</v>
      </c>
      <c r="N39" s="501">
        <f>G39*0</f>
        <v>0</v>
      </c>
      <c r="O39" s="76">
        <f>G39*0</f>
        <v>0</v>
      </c>
      <c r="P39" s="76">
        <f>G39*0</f>
        <v>0</v>
      </c>
      <c r="Q39" s="76">
        <f>G39*0</f>
        <v>0</v>
      </c>
      <c r="R39" s="54"/>
      <c r="S39" s="54"/>
      <c r="T39" s="54">
        <v>3</v>
      </c>
      <c r="U39" s="54"/>
      <c r="V39" s="502">
        <f>R39*E39</f>
        <v>0</v>
      </c>
      <c r="W39" s="502">
        <f>S39*E39</f>
        <v>0</v>
      </c>
      <c r="X39" s="502">
        <f>T39*E39</f>
        <v>300000</v>
      </c>
      <c r="Y39" s="502">
        <f>U39*E39</f>
        <v>0</v>
      </c>
      <c r="Z39" s="383">
        <v>0</v>
      </c>
      <c r="AA39" s="158">
        <f t="shared" si="2"/>
        <v>0</v>
      </c>
      <c r="AB39" s="383">
        <v>0</v>
      </c>
      <c r="AC39" s="158">
        <f t="shared" si="3"/>
        <v>0</v>
      </c>
      <c r="AD39" s="383">
        <v>0</v>
      </c>
      <c r="AE39" s="158">
        <f t="shared" si="4"/>
        <v>0</v>
      </c>
      <c r="AF39" s="383">
        <v>0</v>
      </c>
      <c r="AG39" s="158">
        <f t="shared" si="5"/>
        <v>0</v>
      </c>
      <c r="AH39" s="383">
        <v>0</v>
      </c>
      <c r="AI39" s="158">
        <f t="shared" si="6"/>
        <v>0</v>
      </c>
      <c r="AJ39" s="383">
        <v>0</v>
      </c>
      <c r="AK39" s="158">
        <f t="shared" si="7"/>
        <v>0</v>
      </c>
      <c r="AL39" s="383">
        <v>0</v>
      </c>
      <c r="AM39" s="158">
        <f t="shared" si="8"/>
        <v>0</v>
      </c>
      <c r="AN39" s="383">
        <v>0</v>
      </c>
      <c r="AO39" s="158">
        <f t="shared" si="9"/>
        <v>0</v>
      </c>
      <c r="AP39" s="383">
        <v>0</v>
      </c>
      <c r="AQ39" s="158">
        <f t="shared" si="10"/>
        <v>0</v>
      </c>
      <c r="AR39" s="383">
        <v>0</v>
      </c>
      <c r="AS39" s="158">
        <f t="shared" si="11"/>
        <v>0</v>
      </c>
      <c r="AT39" s="383">
        <v>0</v>
      </c>
      <c r="AU39" s="158">
        <f t="shared" si="12"/>
        <v>0</v>
      </c>
      <c r="AV39" s="383">
        <v>0</v>
      </c>
      <c r="AW39" s="158">
        <f t="shared" si="13"/>
        <v>0</v>
      </c>
      <c r="AX39" s="383">
        <v>0</v>
      </c>
      <c r="AY39" s="158">
        <f t="shared" si="14"/>
        <v>0</v>
      </c>
      <c r="AZ39" s="383">
        <v>0</v>
      </c>
      <c r="BA39" s="158">
        <f t="shared" si="15"/>
        <v>0</v>
      </c>
      <c r="BB39" s="383">
        <v>0</v>
      </c>
      <c r="BC39" s="158">
        <f t="shared" si="16"/>
        <v>0</v>
      </c>
      <c r="BD39" s="383">
        <v>0</v>
      </c>
      <c r="BE39" s="158">
        <f t="shared" si="17"/>
        <v>0</v>
      </c>
      <c r="BF39" s="383">
        <v>0</v>
      </c>
      <c r="BG39" s="158">
        <f t="shared" si="18"/>
        <v>0</v>
      </c>
      <c r="BH39" s="383">
        <v>3</v>
      </c>
      <c r="BI39" s="158">
        <f t="shared" si="19"/>
        <v>300000</v>
      </c>
      <c r="BJ39" s="383">
        <f t="shared" si="20"/>
        <v>3</v>
      </c>
      <c r="BK39" s="158">
        <f t="shared" si="21"/>
        <v>300000</v>
      </c>
      <c r="BL39" s="337" t="s">
        <v>469</v>
      </c>
      <c r="BN39" s="385"/>
      <c r="BO39" s="385"/>
      <c r="BP39" s="385">
        <f>G39</f>
        <v>300000</v>
      </c>
      <c r="BQ39" s="385"/>
      <c r="BR39" s="385">
        <f>BN39+BO39+BP39+BQ39</f>
        <v>300000</v>
      </c>
      <c r="BS39" s="385"/>
      <c r="BT39" s="385"/>
      <c r="BU39" s="385">
        <f>BS39+BT39</f>
        <v>0</v>
      </c>
      <c r="BV39" s="387">
        <f t="shared" si="1"/>
        <v>300000</v>
      </c>
    </row>
    <row r="40" spans="1:74" x14ac:dyDescent="0.25">
      <c r="A40" s="917"/>
      <c r="B40" s="392"/>
      <c r="C40" s="392"/>
      <c r="D40" s="392"/>
      <c r="E40" s="392"/>
      <c r="F40" s="402">
        <f>SUM(F35:F39)</f>
        <v>29</v>
      </c>
      <c r="G40" s="507">
        <f>SUM(G35:G39)</f>
        <v>7850000</v>
      </c>
      <c r="H40" s="507">
        <f t="shared" ref="H40:Q40" si="35">SUM(H35:H39)</f>
        <v>1570000</v>
      </c>
      <c r="I40" s="507">
        <f t="shared" si="35"/>
        <v>6280000</v>
      </c>
      <c r="J40" s="507">
        <f t="shared" si="35"/>
        <v>0</v>
      </c>
      <c r="K40" s="507">
        <f t="shared" si="35"/>
        <v>0</v>
      </c>
      <c r="L40" s="507">
        <f t="shared" si="35"/>
        <v>0</v>
      </c>
      <c r="M40" s="507">
        <f t="shared" si="35"/>
        <v>0</v>
      </c>
      <c r="N40" s="507">
        <f t="shared" si="35"/>
        <v>0</v>
      </c>
      <c r="O40" s="507">
        <f t="shared" si="35"/>
        <v>0</v>
      </c>
      <c r="P40" s="507">
        <f t="shared" si="35"/>
        <v>0</v>
      </c>
      <c r="Q40" s="507">
        <f t="shared" si="35"/>
        <v>0</v>
      </c>
      <c r="R40" s="392">
        <f t="shared" ref="R40:Y40" si="36">SUM(R35:R39)</f>
        <v>0</v>
      </c>
      <c r="S40" s="392">
        <f t="shared" si="36"/>
        <v>20</v>
      </c>
      <c r="T40" s="392">
        <f t="shared" si="36"/>
        <v>9</v>
      </c>
      <c r="U40" s="392">
        <f t="shared" si="36"/>
        <v>0</v>
      </c>
      <c r="V40" s="507">
        <f t="shared" si="36"/>
        <v>0</v>
      </c>
      <c r="W40" s="507">
        <f t="shared" si="36"/>
        <v>3950000</v>
      </c>
      <c r="X40" s="507">
        <f t="shared" si="36"/>
        <v>3900000</v>
      </c>
      <c r="Y40" s="507">
        <f t="shared" si="36"/>
        <v>0</v>
      </c>
      <c r="Z40" s="509">
        <f>SUM(Z34:Z39)</f>
        <v>0</v>
      </c>
      <c r="AA40" s="509">
        <f t="shared" ref="AA40:BK40" si="37">SUM(AA34:AA39)</f>
        <v>0</v>
      </c>
      <c r="AB40" s="509">
        <f t="shared" si="37"/>
        <v>0</v>
      </c>
      <c r="AC40" s="509">
        <f t="shared" si="37"/>
        <v>0</v>
      </c>
      <c r="AD40" s="509">
        <f t="shared" si="37"/>
        <v>0</v>
      </c>
      <c r="AE40" s="509">
        <f t="shared" si="37"/>
        <v>0</v>
      </c>
      <c r="AF40" s="509">
        <f t="shared" si="37"/>
        <v>0</v>
      </c>
      <c r="AG40" s="509">
        <f t="shared" si="37"/>
        <v>0</v>
      </c>
      <c r="AH40" s="509">
        <f t="shared" si="37"/>
        <v>0</v>
      </c>
      <c r="AI40" s="509">
        <f t="shared" si="37"/>
        <v>0</v>
      </c>
      <c r="AJ40" s="509">
        <f t="shared" si="37"/>
        <v>0</v>
      </c>
      <c r="AK40" s="509">
        <f t="shared" si="37"/>
        <v>0</v>
      </c>
      <c r="AL40" s="509">
        <f t="shared" si="37"/>
        <v>0</v>
      </c>
      <c r="AM40" s="509">
        <f t="shared" si="37"/>
        <v>0</v>
      </c>
      <c r="AN40" s="509">
        <f t="shared" si="37"/>
        <v>0</v>
      </c>
      <c r="AO40" s="509">
        <f t="shared" si="37"/>
        <v>0</v>
      </c>
      <c r="AP40" s="509">
        <f t="shared" si="37"/>
        <v>0</v>
      </c>
      <c r="AQ40" s="509">
        <f t="shared" si="37"/>
        <v>0</v>
      </c>
      <c r="AR40" s="509">
        <f t="shared" si="37"/>
        <v>0</v>
      </c>
      <c r="AS40" s="509">
        <f t="shared" si="37"/>
        <v>0</v>
      </c>
      <c r="AT40" s="509">
        <f t="shared" si="37"/>
        <v>0</v>
      </c>
      <c r="AU40" s="509">
        <f t="shared" si="37"/>
        <v>0</v>
      </c>
      <c r="AV40" s="509">
        <f t="shared" si="37"/>
        <v>0</v>
      </c>
      <c r="AW40" s="509">
        <f t="shared" si="37"/>
        <v>0</v>
      </c>
      <c r="AX40" s="509">
        <f t="shared" si="37"/>
        <v>0</v>
      </c>
      <c r="AY40" s="509">
        <f t="shared" si="37"/>
        <v>0</v>
      </c>
      <c r="AZ40" s="509">
        <f t="shared" si="37"/>
        <v>0</v>
      </c>
      <c r="BA40" s="509">
        <f t="shared" si="37"/>
        <v>0</v>
      </c>
      <c r="BB40" s="509">
        <f t="shared" si="37"/>
        <v>0</v>
      </c>
      <c r="BC40" s="509">
        <f t="shared" si="37"/>
        <v>0</v>
      </c>
      <c r="BD40" s="509">
        <f t="shared" si="37"/>
        <v>0</v>
      </c>
      <c r="BE40" s="509">
        <f t="shared" si="37"/>
        <v>0</v>
      </c>
      <c r="BF40" s="509">
        <f t="shared" si="37"/>
        <v>0</v>
      </c>
      <c r="BG40" s="509">
        <f t="shared" si="37"/>
        <v>0</v>
      </c>
      <c r="BH40" s="509">
        <f t="shared" si="37"/>
        <v>29</v>
      </c>
      <c r="BI40" s="509">
        <f t="shared" si="37"/>
        <v>7850000</v>
      </c>
      <c r="BJ40" s="509">
        <f t="shared" si="37"/>
        <v>29</v>
      </c>
      <c r="BK40" s="509">
        <f t="shared" si="37"/>
        <v>7850000</v>
      </c>
      <c r="BL40" s="265"/>
      <c r="BN40" s="504">
        <f t="shared" ref="BN40:BU40" si="38">SUM(BN35:BN39)</f>
        <v>0</v>
      </c>
      <c r="BO40" s="504">
        <f t="shared" si="38"/>
        <v>0</v>
      </c>
      <c r="BP40" s="504">
        <f t="shared" si="38"/>
        <v>7850000</v>
      </c>
      <c r="BQ40" s="504">
        <f t="shared" si="38"/>
        <v>0</v>
      </c>
      <c r="BR40" s="504">
        <f t="shared" si="38"/>
        <v>7850000</v>
      </c>
      <c r="BS40" s="504">
        <f t="shared" si="38"/>
        <v>0</v>
      </c>
      <c r="BT40" s="504">
        <f t="shared" si="38"/>
        <v>0</v>
      </c>
      <c r="BU40" s="504">
        <f t="shared" si="38"/>
        <v>0</v>
      </c>
      <c r="BV40" s="505">
        <f t="shared" si="1"/>
        <v>7850000</v>
      </c>
    </row>
    <row r="41" spans="1:74" x14ac:dyDescent="0.25">
      <c r="A41" s="917"/>
      <c r="B41" s="38">
        <v>23600</v>
      </c>
      <c r="C41" s="500" t="s">
        <v>197</v>
      </c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383">
        <v>0</v>
      </c>
      <c r="AA41" s="158">
        <f t="shared" si="2"/>
        <v>0</v>
      </c>
      <c r="AB41" s="383">
        <v>0</v>
      </c>
      <c r="AC41" s="158">
        <f t="shared" si="3"/>
        <v>0</v>
      </c>
      <c r="AD41" s="383">
        <v>0</v>
      </c>
      <c r="AE41" s="158">
        <f t="shared" si="4"/>
        <v>0</v>
      </c>
      <c r="AF41" s="383">
        <v>0</v>
      </c>
      <c r="AG41" s="158">
        <f t="shared" si="5"/>
        <v>0</v>
      </c>
      <c r="AH41" s="410"/>
      <c r="AI41" s="158">
        <f t="shared" si="6"/>
        <v>0</v>
      </c>
      <c r="AJ41" s="410"/>
      <c r="AK41" s="158">
        <f t="shared" si="7"/>
        <v>0</v>
      </c>
      <c r="AL41" s="410"/>
      <c r="AM41" s="158">
        <f t="shared" si="8"/>
        <v>0</v>
      </c>
      <c r="AN41" s="410"/>
      <c r="AO41" s="158">
        <f t="shared" si="9"/>
        <v>0</v>
      </c>
      <c r="AP41" s="410"/>
      <c r="AQ41" s="158">
        <f t="shared" si="10"/>
        <v>0</v>
      </c>
      <c r="AR41" s="410"/>
      <c r="AS41" s="158">
        <f t="shared" si="11"/>
        <v>0</v>
      </c>
      <c r="AT41" s="410"/>
      <c r="AU41" s="158">
        <f t="shared" si="12"/>
        <v>0</v>
      </c>
      <c r="AV41" s="410"/>
      <c r="AW41" s="158">
        <f t="shared" si="13"/>
        <v>0</v>
      </c>
      <c r="AX41" s="410"/>
      <c r="AY41" s="158">
        <f t="shared" si="14"/>
        <v>0</v>
      </c>
      <c r="AZ41" s="410"/>
      <c r="BA41" s="158">
        <f t="shared" si="15"/>
        <v>0</v>
      </c>
      <c r="BB41" s="410"/>
      <c r="BC41" s="158">
        <f t="shared" si="16"/>
        <v>0</v>
      </c>
      <c r="BD41" s="410"/>
      <c r="BE41" s="158">
        <f t="shared" si="17"/>
        <v>0</v>
      </c>
      <c r="BF41" s="410"/>
      <c r="BG41" s="158">
        <f t="shared" si="18"/>
        <v>0</v>
      </c>
      <c r="BH41" s="410"/>
      <c r="BI41" s="158">
        <f t="shared" si="19"/>
        <v>0</v>
      </c>
      <c r="BJ41" s="383">
        <f t="shared" si="20"/>
        <v>0</v>
      </c>
      <c r="BK41" s="158">
        <f t="shared" si="21"/>
        <v>0</v>
      </c>
      <c r="BL41" s="38"/>
      <c r="BN41" s="385"/>
      <c r="BO41" s="385"/>
      <c r="BP41" s="385"/>
      <c r="BQ41" s="385"/>
      <c r="BR41" s="385"/>
      <c r="BS41" s="385"/>
      <c r="BT41" s="385"/>
      <c r="BU41" s="385"/>
      <c r="BV41" s="387">
        <f t="shared" si="1"/>
        <v>0</v>
      </c>
    </row>
    <row r="42" spans="1:74" ht="31.5" x14ac:dyDescent="0.25">
      <c r="A42" s="917"/>
      <c r="B42" s="38">
        <v>23610</v>
      </c>
      <c r="C42" s="38" t="s">
        <v>841</v>
      </c>
      <c r="D42" s="38" t="s">
        <v>198</v>
      </c>
      <c r="E42" s="375">
        <f>3*100000</f>
        <v>300000</v>
      </c>
      <c r="F42" s="38">
        <f>BJ42</f>
        <v>27</v>
      </c>
      <c r="G42" s="501">
        <f>E42*F42</f>
        <v>8100000</v>
      </c>
      <c r="H42" s="501">
        <f>G42*0.2</f>
        <v>1620000</v>
      </c>
      <c r="I42" s="501">
        <f>G42*0.8</f>
        <v>6480000</v>
      </c>
      <c r="J42" s="501">
        <f>G42*0</f>
        <v>0</v>
      </c>
      <c r="K42" s="501">
        <f>G42*0</f>
        <v>0</v>
      </c>
      <c r="L42" s="501">
        <f>G42*0</f>
        <v>0</v>
      </c>
      <c r="M42" s="501">
        <f>G42*0</f>
        <v>0</v>
      </c>
      <c r="N42" s="501">
        <f>G42*0</f>
        <v>0</v>
      </c>
      <c r="O42" s="76">
        <f>G42*0</f>
        <v>0</v>
      </c>
      <c r="P42" s="76">
        <f>G42*0</f>
        <v>0</v>
      </c>
      <c r="Q42" s="76">
        <f>G42*0</f>
        <v>0</v>
      </c>
      <c r="R42" s="54">
        <v>8</v>
      </c>
      <c r="S42" s="54">
        <v>10</v>
      </c>
      <c r="T42" s="54">
        <v>10</v>
      </c>
      <c r="U42" s="54"/>
      <c r="V42" s="502">
        <f>R42*E42</f>
        <v>2400000</v>
      </c>
      <c r="W42" s="502">
        <f>S42*E42</f>
        <v>3000000</v>
      </c>
      <c r="X42" s="502">
        <f>T42*E42</f>
        <v>3000000</v>
      </c>
      <c r="Y42" s="502">
        <f>U42*E42</f>
        <v>0</v>
      </c>
      <c r="Z42" s="383">
        <v>1</v>
      </c>
      <c r="AA42" s="158">
        <f t="shared" si="2"/>
        <v>300000</v>
      </c>
      <c r="AB42" s="383">
        <v>1</v>
      </c>
      <c r="AC42" s="158">
        <f t="shared" si="3"/>
        <v>300000</v>
      </c>
      <c r="AD42" s="383">
        <v>1</v>
      </c>
      <c r="AE42" s="158">
        <f t="shared" si="4"/>
        <v>300000</v>
      </c>
      <c r="AF42" s="383">
        <v>2</v>
      </c>
      <c r="AG42" s="158">
        <f t="shared" si="5"/>
        <v>600000</v>
      </c>
      <c r="AH42" s="383">
        <v>1</v>
      </c>
      <c r="AI42" s="158">
        <f t="shared" si="6"/>
        <v>300000</v>
      </c>
      <c r="AJ42" s="383">
        <v>1</v>
      </c>
      <c r="AK42" s="158">
        <f t="shared" si="7"/>
        <v>300000</v>
      </c>
      <c r="AL42" s="383">
        <v>2</v>
      </c>
      <c r="AM42" s="158">
        <f t="shared" si="8"/>
        <v>600000</v>
      </c>
      <c r="AN42" s="383">
        <v>2</v>
      </c>
      <c r="AO42" s="158">
        <f t="shared" si="9"/>
        <v>600000</v>
      </c>
      <c r="AP42" s="383">
        <v>1</v>
      </c>
      <c r="AQ42" s="158">
        <f t="shared" si="10"/>
        <v>300000</v>
      </c>
      <c r="AR42" s="383">
        <v>1</v>
      </c>
      <c r="AS42" s="158">
        <f t="shared" si="11"/>
        <v>300000</v>
      </c>
      <c r="AT42" s="383">
        <v>1</v>
      </c>
      <c r="AU42" s="158">
        <f t="shared" si="12"/>
        <v>300000</v>
      </c>
      <c r="AV42" s="383">
        <v>2</v>
      </c>
      <c r="AW42" s="158">
        <f t="shared" si="13"/>
        <v>600000</v>
      </c>
      <c r="AX42" s="383">
        <v>2</v>
      </c>
      <c r="AY42" s="158">
        <f t="shared" si="14"/>
        <v>600000</v>
      </c>
      <c r="AZ42" s="383">
        <v>3</v>
      </c>
      <c r="BA42" s="158">
        <f t="shared" si="15"/>
        <v>900000</v>
      </c>
      <c r="BB42" s="383">
        <v>1</v>
      </c>
      <c r="BC42" s="158">
        <f t="shared" si="16"/>
        <v>300000</v>
      </c>
      <c r="BD42" s="383">
        <v>3</v>
      </c>
      <c r="BE42" s="158">
        <f t="shared" si="17"/>
        <v>900000</v>
      </c>
      <c r="BF42" s="383">
        <v>2</v>
      </c>
      <c r="BG42" s="158">
        <f t="shared" si="18"/>
        <v>600000</v>
      </c>
      <c r="BH42" s="383">
        <v>0</v>
      </c>
      <c r="BI42" s="158">
        <f t="shared" si="19"/>
        <v>0</v>
      </c>
      <c r="BJ42" s="383">
        <f t="shared" si="20"/>
        <v>27</v>
      </c>
      <c r="BK42" s="158">
        <f t="shared" si="21"/>
        <v>8100000</v>
      </c>
      <c r="BL42" s="337" t="s">
        <v>469</v>
      </c>
      <c r="BN42" s="385"/>
      <c r="BO42" s="385"/>
      <c r="BP42" s="385">
        <f>G42</f>
        <v>8100000</v>
      </c>
      <c r="BQ42" s="385"/>
      <c r="BR42" s="385">
        <f>BN42+BO42+BP42+BQ42</f>
        <v>8100000</v>
      </c>
      <c r="BS42" s="385"/>
      <c r="BT42" s="385"/>
      <c r="BU42" s="385">
        <f>BS42+BT42</f>
        <v>0</v>
      </c>
      <c r="BV42" s="387">
        <f t="shared" si="1"/>
        <v>8100000</v>
      </c>
    </row>
    <row r="43" spans="1:74" ht="47.25" x14ac:dyDescent="0.25">
      <c r="A43" s="917"/>
      <c r="B43" s="38">
        <v>23620</v>
      </c>
      <c r="C43" s="38" t="s">
        <v>851</v>
      </c>
      <c r="D43" s="38" t="s">
        <v>190</v>
      </c>
      <c r="E43" s="180">
        <f>30*100000</f>
        <v>3000000</v>
      </c>
      <c r="F43" s="38">
        <f>BJ43</f>
        <v>17</v>
      </c>
      <c r="G43" s="501">
        <f>E43*F43</f>
        <v>51000000</v>
      </c>
      <c r="H43" s="501">
        <f>G43*0</f>
        <v>0</v>
      </c>
      <c r="I43" s="501">
        <f>G43*0.8</f>
        <v>40800000</v>
      </c>
      <c r="J43" s="501">
        <f>G43*0</f>
        <v>0</v>
      </c>
      <c r="K43" s="501">
        <f>G43*0</f>
        <v>0</v>
      </c>
      <c r="L43" s="501">
        <f>G43*0</f>
        <v>0</v>
      </c>
      <c r="M43" s="501">
        <f>G43*0</f>
        <v>0</v>
      </c>
      <c r="N43" s="501">
        <f>G43*0</f>
        <v>0</v>
      </c>
      <c r="O43" s="76">
        <f>G43*0</f>
        <v>0</v>
      </c>
      <c r="P43" s="76">
        <f>G43*0</f>
        <v>0</v>
      </c>
      <c r="Q43" s="76">
        <f>G43*0.2</f>
        <v>10200000</v>
      </c>
      <c r="R43" s="54"/>
      <c r="S43" s="54"/>
      <c r="T43" s="54">
        <f>F43*0.6</f>
        <v>10.199999999999999</v>
      </c>
      <c r="U43" s="54">
        <f>F43*0.4</f>
        <v>6.8000000000000007</v>
      </c>
      <c r="V43" s="502">
        <f>R43*E43</f>
        <v>0</v>
      </c>
      <c r="W43" s="502">
        <f>S43*E43</f>
        <v>0</v>
      </c>
      <c r="X43" s="502">
        <f>T43*E43</f>
        <v>30599999.999999996</v>
      </c>
      <c r="Y43" s="502">
        <f>U43*E43</f>
        <v>20400000.000000004</v>
      </c>
      <c r="Z43" s="383">
        <v>1</v>
      </c>
      <c r="AA43" s="158">
        <f t="shared" si="2"/>
        <v>3000000</v>
      </c>
      <c r="AB43" s="383">
        <v>1</v>
      </c>
      <c r="AC43" s="158">
        <f t="shared" si="3"/>
        <v>3000000</v>
      </c>
      <c r="AD43" s="383">
        <v>1</v>
      </c>
      <c r="AE43" s="158">
        <f t="shared" si="4"/>
        <v>3000000</v>
      </c>
      <c r="AF43" s="383">
        <v>1</v>
      </c>
      <c r="AG43" s="158">
        <f t="shared" si="5"/>
        <v>3000000</v>
      </c>
      <c r="AH43" s="383">
        <v>1</v>
      </c>
      <c r="AI43" s="158">
        <f t="shared" si="6"/>
        <v>3000000</v>
      </c>
      <c r="AJ43" s="383">
        <v>1</v>
      </c>
      <c r="AK43" s="158">
        <f t="shared" si="7"/>
        <v>3000000</v>
      </c>
      <c r="AL43" s="383">
        <v>1</v>
      </c>
      <c r="AM43" s="158">
        <f t="shared" si="8"/>
        <v>3000000</v>
      </c>
      <c r="AN43" s="383">
        <v>1</v>
      </c>
      <c r="AO43" s="158">
        <f t="shared" si="9"/>
        <v>3000000</v>
      </c>
      <c r="AP43" s="383">
        <v>1</v>
      </c>
      <c r="AQ43" s="158">
        <f t="shared" si="10"/>
        <v>3000000</v>
      </c>
      <c r="AR43" s="383">
        <v>1</v>
      </c>
      <c r="AS43" s="158">
        <f t="shared" si="11"/>
        <v>3000000</v>
      </c>
      <c r="AT43" s="383">
        <v>1</v>
      </c>
      <c r="AU43" s="158">
        <f t="shared" si="12"/>
        <v>3000000</v>
      </c>
      <c r="AV43" s="383">
        <v>1</v>
      </c>
      <c r="AW43" s="158">
        <f t="shared" si="13"/>
        <v>3000000</v>
      </c>
      <c r="AX43" s="383">
        <v>1</v>
      </c>
      <c r="AY43" s="158">
        <f t="shared" si="14"/>
        <v>3000000</v>
      </c>
      <c r="AZ43" s="383">
        <v>1</v>
      </c>
      <c r="BA43" s="158">
        <f t="shared" si="15"/>
        <v>3000000</v>
      </c>
      <c r="BB43" s="383">
        <v>1</v>
      </c>
      <c r="BC43" s="158">
        <f t="shared" si="16"/>
        <v>3000000</v>
      </c>
      <c r="BD43" s="383">
        <v>1</v>
      </c>
      <c r="BE43" s="158">
        <f t="shared" si="17"/>
        <v>3000000</v>
      </c>
      <c r="BF43" s="383">
        <v>1</v>
      </c>
      <c r="BG43" s="158">
        <f t="shared" si="18"/>
        <v>3000000</v>
      </c>
      <c r="BH43" s="383">
        <v>0</v>
      </c>
      <c r="BI43" s="158">
        <f t="shared" si="19"/>
        <v>0</v>
      </c>
      <c r="BJ43" s="383">
        <f t="shared" si="20"/>
        <v>17</v>
      </c>
      <c r="BK43" s="158">
        <f t="shared" si="21"/>
        <v>51000000</v>
      </c>
      <c r="BL43" s="337" t="s">
        <v>469</v>
      </c>
      <c r="BN43" s="385">
        <f>G43</f>
        <v>51000000</v>
      </c>
      <c r="BO43" s="385"/>
      <c r="BP43" s="385"/>
      <c r="BQ43" s="385"/>
      <c r="BR43" s="385">
        <f>BN43+BO43+BP43+BQ43</f>
        <v>51000000</v>
      </c>
      <c r="BS43" s="385"/>
      <c r="BT43" s="385"/>
      <c r="BU43" s="385">
        <f>BS43+BT43</f>
        <v>0</v>
      </c>
      <c r="BV43" s="387">
        <f t="shared" si="1"/>
        <v>51000000</v>
      </c>
    </row>
    <row r="44" spans="1:74" x14ac:dyDescent="0.25">
      <c r="A44" s="917"/>
      <c r="B44" s="392"/>
      <c r="C44" s="392"/>
      <c r="D44" s="392"/>
      <c r="E44" s="392"/>
      <c r="F44" s="402">
        <f>SUM(F42:F43)</f>
        <v>44</v>
      </c>
      <c r="G44" s="507">
        <f>SUM(G42:G43)</f>
        <v>59100000</v>
      </c>
      <c r="H44" s="507">
        <f t="shared" ref="H44:Q44" si="39">SUM(H42:H43)</f>
        <v>1620000</v>
      </c>
      <c r="I44" s="507">
        <f t="shared" si="39"/>
        <v>47280000</v>
      </c>
      <c r="J44" s="507">
        <f t="shared" si="39"/>
        <v>0</v>
      </c>
      <c r="K44" s="507">
        <f t="shared" si="39"/>
        <v>0</v>
      </c>
      <c r="L44" s="507">
        <f t="shared" si="39"/>
        <v>0</v>
      </c>
      <c r="M44" s="507">
        <f t="shared" si="39"/>
        <v>0</v>
      </c>
      <c r="N44" s="507">
        <f t="shared" si="39"/>
        <v>0</v>
      </c>
      <c r="O44" s="507">
        <f t="shared" si="39"/>
        <v>0</v>
      </c>
      <c r="P44" s="507">
        <f t="shared" si="39"/>
        <v>0</v>
      </c>
      <c r="Q44" s="507">
        <f t="shared" si="39"/>
        <v>10200000</v>
      </c>
      <c r="R44" s="392">
        <f t="shared" ref="R44:Y44" si="40">SUM(R42:R43)</f>
        <v>8</v>
      </c>
      <c r="S44" s="392">
        <f t="shared" si="40"/>
        <v>10</v>
      </c>
      <c r="T44" s="392">
        <f t="shared" si="40"/>
        <v>20.2</v>
      </c>
      <c r="U44" s="392">
        <f t="shared" si="40"/>
        <v>6.8000000000000007</v>
      </c>
      <c r="V44" s="507">
        <f t="shared" si="40"/>
        <v>2400000</v>
      </c>
      <c r="W44" s="507">
        <f t="shared" si="40"/>
        <v>3000000</v>
      </c>
      <c r="X44" s="507">
        <f t="shared" si="40"/>
        <v>33600000</v>
      </c>
      <c r="Y44" s="507">
        <f t="shared" si="40"/>
        <v>20400000.000000004</v>
      </c>
      <c r="Z44" s="509">
        <f>SUM(Z41:Z43)</f>
        <v>2</v>
      </c>
      <c r="AA44" s="509">
        <f t="shared" ref="AA44:BK44" si="41">SUM(AA41:AA43)</f>
        <v>3300000</v>
      </c>
      <c r="AB44" s="509">
        <f t="shared" si="41"/>
        <v>2</v>
      </c>
      <c r="AC44" s="509">
        <f t="shared" si="41"/>
        <v>3300000</v>
      </c>
      <c r="AD44" s="509">
        <f t="shared" si="41"/>
        <v>2</v>
      </c>
      <c r="AE44" s="509">
        <f t="shared" si="41"/>
        <v>3300000</v>
      </c>
      <c r="AF44" s="509">
        <f t="shared" si="41"/>
        <v>3</v>
      </c>
      <c r="AG44" s="509">
        <f t="shared" si="41"/>
        <v>3600000</v>
      </c>
      <c r="AH44" s="509">
        <f t="shared" si="41"/>
        <v>2</v>
      </c>
      <c r="AI44" s="509">
        <f t="shared" si="41"/>
        <v>3300000</v>
      </c>
      <c r="AJ44" s="509">
        <f t="shared" si="41"/>
        <v>2</v>
      </c>
      <c r="AK44" s="509">
        <f t="shared" si="41"/>
        <v>3300000</v>
      </c>
      <c r="AL44" s="509">
        <f t="shared" si="41"/>
        <v>3</v>
      </c>
      <c r="AM44" s="509">
        <f t="shared" si="41"/>
        <v>3600000</v>
      </c>
      <c r="AN44" s="509">
        <f t="shared" si="41"/>
        <v>3</v>
      </c>
      <c r="AO44" s="509">
        <f t="shared" si="41"/>
        <v>3600000</v>
      </c>
      <c r="AP44" s="509">
        <f t="shared" si="41"/>
        <v>2</v>
      </c>
      <c r="AQ44" s="509">
        <f t="shared" si="41"/>
        <v>3300000</v>
      </c>
      <c r="AR44" s="509">
        <f t="shared" si="41"/>
        <v>2</v>
      </c>
      <c r="AS44" s="509">
        <f t="shared" si="41"/>
        <v>3300000</v>
      </c>
      <c r="AT44" s="509">
        <f t="shared" si="41"/>
        <v>2</v>
      </c>
      <c r="AU44" s="509">
        <f t="shared" si="41"/>
        <v>3300000</v>
      </c>
      <c r="AV44" s="509">
        <f t="shared" si="41"/>
        <v>3</v>
      </c>
      <c r="AW44" s="509">
        <f t="shared" si="41"/>
        <v>3600000</v>
      </c>
      <c r="AX44" s="509">
        <f t="shared" si="41"/>
        <v>3</v>
      </c>
      <c r="AY44" s="509">
        <f t="shared" si="41"/>
        <v>3600000</v>
      </c>
      <c r="AZ44" s="509">
        <f t="shared" si="41"/>
        <v>4</v>
      </c>
      <c r="BA44" s="509">
        <f t="shared" si="41"/>
        <v>3900000</v>
      </c>
      <c r="BB44" s="509">
        <f t="shared" si="41"/>
        <v>2</v>
      </c>
      <c r="BC44" s="509">
        <f t="shared" si="41"/>
        <v>3300000</v>
      </c>
      <c r="BD44" s="509">
        <f t="shared" si="41"/>
        <v>4</v>
      </c>
      <c r="BE44" s="509">
        <f t="shared" si="41"/>
        <v>3900000</v>
      </c>
      <c r="BF44" s="509">
        <f t="shared" si="41"/>
        <v>3</v>
      </c>
      <c r="BG44" s="509">
        <f t="shared" si="41"/>
        <v>3600000</v>
      </c>
      <c r="BH44" s="509">
        <f t="shared" si="41"/>
        <v>0</v>
      </c>
      <c r="BI44" s="509">
        <f t="shared" si="41"/>
        <v>0</v>
      </c>
      <c r="BJ44" s="509">
        <f t="shared" si="41"/>
        <v>44</v>
      </c>
      <c r="BK44" s="509">
        <f t="shared" si="41"/>
        <v>59100000</v>
      </c>
      <c r="BL44" s="265"/>
      <c r="BN44" s="504">
        <f t="shared" ref="BN44:BU44" si="42">SUM(BN42:BN43)</f>
        <v>51000000</v>
      </c>
      <c r="BO44" s="504">
        <f t="shared" si="42"/>
        <v>0</v>
      </c>
      <c r="BP44" s="504">
        <f t="shared" si="42"/>
        <v>8100000</v>
      </c>
      <c r="BQ44" s="504">
        <f t="shared" si="42"/>
        <v>0</v>
      </c>
      <c r="BR44" s="504">
        <f t="shared" si="42"/>
        <v>59100000</v>
      </c>
      <c r="BS44" s="504">
        <f t="shared" si="42"/>
        <v>0</v>
      </c>
      <c r="BT44" s="504">
        <f t="shared" si="42"/>
        <v>0</v>
      </c>
      <c r="BU44" s="504">
        <f t="shared" si="42"/>
        <v>0</v>
      </c>
      <c r="BV44" s="505">
        <f t="shared" si="1"/>
        <v>59100000</v>
      </c>
    </row>
    <row r="45" spans="1:74" x14ac:dyDescent="0.25">
      <c r="A45" s="917"/>
      <c r="B45" s="38">
        <v>23700</v>
      </c>
      <c r="C45" s="38" t="s">
        <v>199</v>
      </c>
      <c r="D45" s="38" t="s">
        <v>120</v>
      </c>
      <c r="E45" s="375">
        <f>0.3*100000</f>
        <v>30000</v>
      </c>
      <c r="F45" s="38">
        <f>BJ45</f>
        <v>100</v>
      </c>
      <c r="G45" s="501">
        <f>E45*F45</f>
        <v>3000000</v>
      </c>
      <c r="H45" s="501">
        <f>G45*0</f>
        <v>0</v>
      </c>
      <c r="I45" s="501">
        <f>G45*1</f>
        <v>3000000</v>
      </c>
      <c r="J45" s="501">
        <f>G45*0</f>
        <v>0</v>
      </c>
      <c r="K45" s="501">
        <f>G45*0</f>
        <v>0</v>
      </c>
      <c r="L45" s="501">
        <f>G45*0</f>
        <v>0</v>
      </c>
      <c r="M45" s="501">
        <f>G45*0</f>
        <v>0</v>
      </c>
      <c r="N45" s="501">
        <f>G45*0</f>
        <v>0</v>
      </c>
      <c r="O45" s="76">
        <f>G45*0</f>
        <v>0</v>
      </c>
      <c r="P45" s="76">
        <f>G45*0</f>
        <v>0</v>
      </c>
      <c r="Q45" s="76">
        <f>G45*0</f>
        <v>0</v>
      </c>
      <c r="R45" s="54"/>
      <c r="S45" s="54">
        <f>F45*0.6</f>
        <v>60</v>
      </c>
      <c r="T45" s="54">
        <f>F45*0.2</f>
        <v>20</v>
      </c>
      <c r="U45" s="54">
        <f>F45*0.2</f>
        <v>20</v>
      </c>
      <c r="V45" s="502">
        <f>R45*E45</f>
        <v>0</v>
      </c>
      <c r="W45" s="502">
        <f>S45*E45</f>
        <v>1800000</v>
      </c>
      <c r="X45" s="502">
        <f>T45*E45</f>
        <v>600000</v>
      </c>
      <c r="Y45" s="502">
        <f>U45*E45</f>
        <v>600000</v>
      </c>
      <c r="Z45" s="383">
        <v>4</v>
      </c>
      <c r="AA45" s="158">
        <f t="shared" si="2"/>
        <v>120000</v>
      </c>
      <c r="AB45" s="383">
        <v>3</v>
      </c>
      <c r="AC45" s="158">
        <f t="shared" si="3"/>
        <v>90000</v>
      </c>
      <c r="AD45" s="383">
        <v>4</v>
      </c>
      <c r="AE45" s="158">
        <f t="shared" si="4"/>
        <v>120000</v>
      </c>
      <c r="AF45" s="383">
        <v>5</v>
      </c>
      <c r="AG45" s="158">
        <f t="shared" si="5"/>
        <v>150000</v>
      </c>
      <c r="AH45" s="383">
        <v>5</v>
      </c>
      <c r="AI45" s="158">
        <f t="shared" si="6"/>
        <v>150000</v>
      </c>
      <c r="AJ45" s="383">
        <v>5</v>
      </c>
      <c r="AK45" s="158">
        <f t="shared" si="7"/>
        <v>150000</v>
      </c>
      <c r="AL45" s="383">
        <v>5</v>
      </c>
      <c r="AM45" s="158">
        <f t="shared" si="8"/>
        <v>150000</v>
      </c>
      <c r="AN45" s="383">
        <v>8</v>
      </c>
      <c r="AO45" s="158">
        <f t="shared" si="9"/>
        <v>240000</v>
      </c>
      <c r="AP45" s="383">
        <v>5</v>
      </c>
      <c r="AQ45" s="158">
        <f t="shared" si="10"/>
        <v>150000</v>
      </c>
      <c r="AR45" s="383">
        <v>5</v>
      </c>
      <c r="AS45" s="158">
        <f t="shared" si="11"/>
        <v>150000</v>
      </c>
      <c r="AT45" s="383">
        <v>6</v>
      </c>
      <c r="AU45" s="158">
        <f t="shared" si="12"/>
        <v>180000</v>
      </c>
      <c r="AV45" s="383">
        <v>5</v>
      </c>
      <c r="AW45" s="158">
        <f t="shared" si="13"/>
        <v>150000</v>
      </c>
      <c r="AX45" s="383">
        <v>9</v>
      </c>
      <c r="AY45" s="158">
        <f t="shared" si="14"/>
        <v>270000</v>
      </c>
      <c r="AZ45" s="383">
        <v>9</v>
      </c>
      <c r="BA45" s="158">
        <f t="shared" si="15"/>
        <v>270000</v>
      </c>
      <c r="BB45" s="383">
        <v>5</v>
      </c>
      <c r="BC45" s="158">
        <f t="shared" si="16"/>
        <v>150000</v>
      </c>
      <c r="BD45" s="383">
        <v>11</v>
      </c>
      <c r="BE45" s="158">
        <f t="shared" si="17"/>
        <v>330000</v>
      </c>
      <c r="BF45" s="383">
        <v>6</v>
      </c>
      <c r="BG45" s="158">
        <f t="shared" si="18"/>
        <v>180000</v>
      </c>
      <c r="BH45" s="383"/>
      <c r="BI45" s="158">
        <f t="shared" si="19"/>
        <v>0</v>
      </c>
      <c r="BJ45" s="383">
        <f t="shared" si="20"/>
        <v>100</v>
      </c>
      <c r="BK45" s="158">
        <f t="shared" si="21"/>
        <v>3000000</v>
      </c>
      <c r="BL45" s="337" t="s">
        <v>471</v>
      </c>
      <c r="BN45" s="385"/>
      <c r="BO45" s="385">
        <f>G45</f>
        <v>3000000</v>
      </c>
      <c r="BP45" s="385"/>
      <c r="BQ45" s="385"/>
      <c r="BR45" s="385">
        <f>BN45+BO45+BP45+BQ45</f>
        <v>3000000</v>
      </c>
      <c r="BS45" s="385"/>
      <c r="BT45" s="385"/>
      <c r="BU45" s="385">
        <f>BS45+BT45</f>
        <v>0</v>
      </c>
      <c r="BV45" s="387">
        <f t="shared" si="1"/>
        <v>3000000</v>
      </c>
    </row>
    <row r="46" spans="1:74" x14ac:dyDescent="0.25">
      <c r="A46" s="917"/>
      <c r="B46" s="392"/>
      <c r="C46" s="392"/>
      <c r="D46" s="392"/>
      <c r="E46" s="392"/>
      <c r="F46" s="265">
        <f>F45</f>
        <v>100</v>
      </c>
      <c r="G46" s="507">
        <f>SUM(G45)</f>
        <v>3000000</v>
      </c>
      <c r="H46" s="507">
        <f t="shared" ref="H46:Q46" si="43">SUM(H45)</f>
        <v>0</v>
      </c>
      <c r="I46" s="507">
        <f t="shared" si="43"/>
        <v>3000000</v>
      </c>
      <c r="J46" s="507">
        <f t="shared" si="43"/>
        <v>0</v>
      </c>
      <c r="K46" s="507">
        <f t="shared" si="43"/>
        <v>0</v>
      </c>
      <c r="L46" s="507">
        <f t="shared" si="43"/>
        <v>0</v>
      </c>
      <c r="M46" s="507">
        <f t="shared" si="43"/>
        <v>0</v>
      </c>
      <c r="N46" s="507">
        <f t="shared" si="43"/>
        <v>0</v>
      </c>
      <c r="O46" s="507">
        <f t="shared" si="43"/>
        <v>0</v>
      </c>
      <c r="P46" s="507">
        <f t="shared" si="43"/>
        <v>0</v>
      </c>
      <c r="Q46" s="507">
        <f t="shared" si="43"/>
        <v>0</v>
      </c>
      <c r="R46" s="392">
        <f t="shared" ref="R46:Y46" si="44">SUM(R45)</f>
        <v>0</v>
      </c>
      <c r="S46" s="392">
        <f t="shared" si="44"/>
        <v>60</v>
      </c>
      <c r="T46" s="392">
        <f t="shared" si="44"/>
        <v>20</v>
      </c>
      <c r="U46" s="392">
        <f t="shared" si="44"/>
        <v>20</v>
      </c>
      <c r="V46" s="507">
        <f t="shared" si="44"/>
        <v>0</v>
      </c>
      <c r="W46" s="507">
        <f t="shared" si="44"/>
        <v>1800000</v>
      </c>
      <c r="X46" s="507">
        <f t="shared" si="44"/>
        <v>600000</v>
      </c>
      <c r="Y46" s="507">
        <f t="shared" si="44"/>
        <v>600000</v>
      </c>
      <c r="Z46" s="509">
        <f>Z45</f>
        <v>4</v>
      </c>
      <c r="AA46" s="509">
        <f t="shared" ref="AA46:BK46" si="45">AA45</f>
        <v>120000</v>
      </c>
      <c r="AB46" s="509">
        <f t="shared" si="45"/>
        <v>3</v>
      </c>
      <c r="AC46" s="509">
        <f t="shared" si="45"/>
        <v>90000</v>
      </c>
      <c r="AD46" s="509">
        <f t="shared" si="45"/>
        <v>4</v>
      </c>
      <c r="AE46" s="509">
        <f t="shared" si="45"/>
        <v>120000</v>
      </c>
      <c r="AF46" s="509">
        <f t="shared" si="45"/>
        <v>5</v>
      </c>
      <c r="AG46" s="509">
        <f t="shared" si="45"/>
        <v>150000</v>
      </c>
      <c r="AH46" s="509">
        <f t="shared" si="45"/>
        <v>5</v>
      </c>
      <c r="AI46" s="509">
        <f t="shared" si="45"/>
        <v>150000</v>
      </c>
      <c r="AJ46" s="509">
        <f t="shared" si="45"/>
        <v>5</v>
      </c>
      <c r="AK46" s="509">
        <f t="shared" si="45"/>
        <v>150000</v>
      </c>
      <c r="AL46" s="509">
        <f t="shared" si="45"/>
        <v>5</v>
      </c>
      <c r="AM46" s="509">
        <f t="shared" si="45"/>
        <v>150000</v>
      </c>
      <c r="AN46" s="509">
        <f t="shared" si="45"/>
        <v>8</v>
      </c>
      <c r="AO46" s="509">
        <f t="shared" si="45"/>
        <v>240000</v>
      </c>
      <c r="AP46" s="509">
        <f t="shared" si="45"/>
        <v>5</v>
      </c>
      <c r="AQ46" s="509">
        <f t="shared" si="45"/>
        <v>150000</v>
      </c>
      <c r="AR46" s="509">
        <f t="shared" si="45"/>
        <v>5</v>
      </c>
      <c r="AS46" s="509">
        <f t="shared" si="45"/>
        <v>150000</v>
      </c>
      <c r="AT46" s="509">
        <f t="shared" si="45"/>
        <v>6</v>
      </c>
      <c r="AU46" s="509">
        <f t="shared" si="45"/>
        <v>180000</v>
      </c>
      <c r="AV46" s="509">
        <f t="shared" si="45"/>
        <v>5</v>
      </c>
      <c r="AW46" s="509">
        <f t="shared" si="45"/>
        <v>150000</v>
      </c>
      <c r="AX46" s="509">
        <f t="shared" si="45"/>
        <v>9</v>
      </c>
      <c r="AY46" s="509">
        <f t="shared" si="45"/>
        <v>270000</v>
      </c>
      <c r="AZ46" s="509">
        <f t="shared" si="45"/>
        <v>9</v>
      </c>
      <c r="BA46" s="509">
        <f t="shared" si="45"/>
        <v>270000</v>
      </c>
      <c r="BB46" s="509">
        <f t="shared" si="45"/>
        <v>5</v>
      </c>
      <c r="BC46" s="509">
        <f t="shared" si="45"/>
        <v>150000</v>
      </c>
      <c r="BD46" s="509">
        <f t="shared" si="45"/>
        <v>11</v>
      </c>
      <c r="BE46" s="509">
        <f t="shared" si="45"/>
        <v>330000</v>
      </c>
      <c r="BF46" s="509">
        <f t="shared" si="45"/>
        <v>6</v>
      </c>
      <c r="BG46" s="509">
        <f t="shared" si="45"/>
        <v>180000</v>
      </c>
      <c r="BH46" s="509">
        <f t="shared" si="45"/>
        <v>0</v>
      </c>
      <c r="BI46" s="509">
        <f t="shared" si="45"/>
        <v>0</v>
      </c>
      <c r="BJ46" s="509">
        <f t="shared" si="45"/>
        <v>100</v>
      </c>
      <c r="BK46" s="509">
        <f t="shared" si="45"/>
        <v>3000000</v>
      </c>
      <c r="BL46" s="265"/>
      <c r="BN46" s="504">
        <f t="shared" ref="BN46:BU46" si="46">SUM(BN45)</f>
        <v>0</v>
      </c>
      <c r="BO46" s="504">
        <f t="shared" si="46"/>
        <v>3000000</v>
      </c>
      <c r="BP46" s="504">
        <f t="shared" si="46"/>
        <v>0</v>
      </c>
      <c r="BQ46" s="504">
        <f t="shared" si="46"/>
        <v>0</v>
      </c>
      <c r="BR46" s="504">
        <f t="shared" si="46"/>
        <v>3000000</v>
      </c>
      <c r="BS46" s="504">
        <f t="shared" si="46"/>
        <v>0</v>
      </c>
      <c r="BT46" s="504">
        <f t="shared" si="46"/>
        <v>0</v>
      </c>
      <c r="BU46" s="504">
        <f t="shared" si="46"/>
        <v>0</v>
      </c>
      <c r="BV46" s="505">
        <f t="shared" si="1"/>
        <v>3000000</v>
      </c>
    </row>
    <row r="47" spans="1:74" s="671" customFormat="1" x14ac:dyDescent="0.25">
      <c r="A47" s="917"/>
      <c r="B47" s="667">
        <v>23800</v>
      </c>
      <c r="C47" s="710" t="s">
        <v>744</v>
      </c>
      <c r="D47" s="667" t="s">
        <v>209</v>
      </c>
      <c r="E47" s="675">
        <v>200000</v>
      </c>
      <c r="F47" s="676">
        <f t="shared" ref="F47:F53" si="47">BJ47</f>
        <v>5</v>
      </c>
      <c r="G47" s="669">
        <f t="shared" ref="G47:G54" si="48">E47*F47</f>
        <v>1000000</v>
      </c>
      <c r="H47" s="669">
        <f t="shared" ref="H47:H53" si="49">G47*0.1</f>
        <v>100000</v>
      </c>
      <c r="I47" s="669">
        <f t="shared" ref="I47:I53" si="50">G47*0.8</f>
        <v>800000</v>
      </c>
      <c r="J47" s="669"/>
      <c r="K47" s="669"/>
      <c r="L47" s="669"/>
      <c r="M47" s="669"/>
      <c r="N47" s="669"/>
      <c r="O47" s="669"/>
      <c r="P47" s="669">
        <f t="shared" ref="P47:P54" si="51">G47*0.1</f>
        <v>100000</v>
      </c>
      <c r="Q47" s="677"/>
      <c r="R47" s="678">
        <v>0</v>
      </c>
      <c r="S47" s="679">
        <v>2</v>
      </c>
      <c r="T47" s="679">
        <v>3</v>
      </c>
      <c r="U47" s="679"/>
      <c r="V47" s="677">
        <f t="shared" ref="V47:V54" si="52">R47*E47</f>
        <v>0</v>
      </c>
      <c r="W47" s="677">
        <f t="shared" ref="W47:W54" si="53">S47*E47</f>
        <v>400000</v>
      </c>
      <c r="X47" s="677">
        <f t="shared" ref="X47:X53" si="54">T47*E47</f>
        <v>600000</v>
      </c>
      <c r="Y47" s="677">
        <f t="shared" ref="Y47:Y53" si="55">U47*E47</f>
        <v>0</v>
      </c>
      <c r="Z47" s="670">
        <v>0</v>
      </c>
      <c r="AA47" s="680">
        <f t="shared" ref="AA47:AA54" si="56">Z47*E47</f>
        <v>0</v>
      </c>
      <c r="AB47" s="670">
        <v>0</v>
      </c>
      <c r="AC47" s="680">
        <f t="shared" ref="AC47:AC54" si="57">AB47*E47</f>
        <v>0</v>
      </c>
      <c r="AD47" s="670">
        <v>0</v>
      </c>
      <c r="AE47" s="680">
        <f t="shared" ref="AE47:AE54" si="58">AD47*E47</f>
        <v>0</v>
      </c>
      <c r="AF47" s="670">
        <v>0</v>
      </c>
      <c r="AG47" s="680">
        <f t="shared" ref="AG47:AG54" si="59">AF47*E47</f>
        <v>0</v>
      </c>
      <c r="AH47" s="670">
        <v>0</v>
      </c>
      <c r="AI47" s="680">
        <f t="shared" ref="AI47:AI54" si="60">AH47*E47</f>
        <v>0</v>
      </c>
      <c r="AJ47" s="670">
        <v>0</v>
      </c>
      <c r="AK47" s="680">
        <f t="shared" ref="AK47:AK54" si="61">AJ47*E47</f>
        <v>0</v>
      </c>
      <c r="AL47" s="670">
        <v>0</v>
      </c>
      <c r="AM47" s="680">
        <f t="shared" ref="AM47:AM54" si="62">AL47*E47</f>
        <v>0</v>
      </c>
      <c r="AN47" s="670">
        <v>1</v>
      </c>
      <c r="AO47" s="680">
        <f t="shared" ref="AO47:AO54" si="63">AN47*E47</f>
        <v>200000</v>
      </c>
      <c r="AP47" s="670">
        <v>0</v>
      </c>
      <c r="AQ47" s="680">
        <f t="shared" ref="AQ47:AQ54" si="64">AP47*E47</f>
        <v>0</v>
      </c>
      <c r="AR47" s="670">
        <v>1</v>
      </c>
      <c r="AS47" s="680">
        <f t="shared" ref="AS47:AS54" si="65">AR47*E47</f>
        <v>200000</v>
      </c>
      <c r="AT47" s="670">
        <v>0</v>
      </c>
      <c r="AU47" s="680">
        <f t="shared" ref="AU47:AU54" si="66">AT47*E47</f>
        <v>0</v>
      </c>
      <c r="AV47" s="670">
        <v>1</v>
      </c>
      <c r="AW47" s="680">
        <f t="shared" ref="AW47:AW54" si="67">AV47*E47</f>
        <v>200000</v>
      </c>
      <c r="AX47" s="670">
        <v>0</v>
      </c>
      <c r="AY47" s="680">
        <f t="shared" ref="AY47:AY54" si="68">AX47*E47</f>
        <v>0</v>
      </c>
      <c r="AZ47" s="670">
        <v>0</v>
      </c>
      <c r="BA47" s="680">
        <f t="shared" ref="BA47:BA54" si="69">AZ47*E47</f>
        <v>0</v>
      </c>
      <c r="BB47" s="670">
        <v>1</v>
      </c>
      <c r="BC47" s="680">
        <f t="shared" ref="BC47:BC54" si="70">BB47*E47</f>
        <v>200000</v>
      </c>
      <c r="BD47" s="670">
        <v>1</v>
      </c>
      <c r="BE47" s="680">
        <f t="shared" ref="BE47:BE54" si="71">BD47*E47</f>
        <v>200000</v>
      </c>
      <c r="BF47" s="670">
        <v>0</v>
      </c>
      <c r="BG47" s="680">
        <f t="shared" ref="BG47:BG54" si="72">BF47*E47</f>
        <v>0</v>
      </c>
      <c r="BH47" s="670"/>
      <c r="BI47" s="680">
        <f t="shared" ref="BI47:BI54" si="73">BH47*E47</f>
        <v>0</v>
      </c>
      <c r="BJ47" s="670">
        <f t="shared" ref="BJ47:BK54" si="74">Z47+AB47+AD47+AF47+AH47+AJ47+AL47+AN47+AP47+AR47+AT47+AV47+AX47+AZ47+BB47+BD47+BF47+BH47</f>
        <v>5</v>
      </c>
      <c r="BK47" s="680">
        <f t="shared" si="74"/>
        <v>1000000</v>
      </c>
      <c r="BL47" s="668" t="s">
        <v>473</v>
      </c>
      <c r="BN47" s="672">
        <f t="shared" ref="BN47:BN54" si="75">G47</f>
        <v>1000000</v>
      </c>
      <c r="BO47" s="672"/>
      <c r="BP47" s="672"/>
      <c r="BQ47" s="672"/>
      <c r="BR47" s="672">
        <f t="shared" ref="BR47:BR54" si="76">BN47+BO47+BP47+BQ47</f>
        <v>1000000</v>
      </c>
      <c r="BS47" s="672"/>
      <c r="BT47" s="672"/>
      <c r="BU47" s="672"/>
      <c r="BV47" s="673">
        <f t="shared" si="1"/>
        <v>1000000</v>
      </c>
    </row>
    <row r="48" spans="1:74" s="671" customFormat="1" x14ac:dyDescent="0.25">
      <c r="A48" s="917"/>
      <c r="B48" s="667"/>
      <c r="C48" s="710" t="s">
        <v>672</v>
      </c>
      <c r="D48" s="667" t="s">
        <v>209</v>
      </c>
      <c r="E48" s="675">
        <v>1000000</v>
      </c>
      <c r="F48" s="676">
        <f t="shared" si="47"/>
        <v>12</v>
      </c>
      <c r="G48" s="669">
        <f t="shared" si="48"/>
        <v>12000000</v>
      </c>
      <c r="H48" s="669">
        <f t="shared" si="49"/>
        <v>1200000</v>
      </c>
      <c r="I48" s="669">
        <f t="shared" si="50"/>
        <v>9600000</v>
      </c>
      <c r="J48" s="669"/>
      <c r="K48" s="669"/>
      <c r="L48" s="669"/>
      <c r="M48" s="669"/>
      <c r="N48" s="669"/>
      <c r="O48" s="669"/>
      <c r="P48" s="669">
        <f t="shared" si="51"/>
        <v>1200000</v>
      </c>
      <c r="Q48" s="677"/>
      <c r="R48" s="678"/>
      <c r="S48" s="679">
        <v>6</v>
      </c>
      <c r="T48" s="679">
        <v>3</v>
      </c>
      <c r="U48" s="679">
        <v>3</v>
      </c>
      <c r="V48" s="677">
        <f t="shared" si="52"/>
        <v>0</v>
      </c>
      <c r="W48" s="677">
        <f t="shared" si="53"/>
        <v>6000000</v>
      </c>
      <c r="X48" s="677">
        <f t="shared" si="54"/>
        <v>3000000</v>
      </c>
      <c r="Y48" s="677">
        <f t="shared" si="55"/>
        <v>3000000</v>
      </c>
      <c r="Z48" s="670">
        <v>0</v>
      </c>
      <c r="AA48" s="680">
        <f t="shared" si="56"/>
        <v>0</v>
      </c>
      <c r="AB48" s="670">
        <v>1</v>
      </c>
      <c r="AC48" s="680">
        <f t="shared" si="57"/>
        <v>1000000</v>
      </c>
      <c r="AD48" s="670">
        <v>1</v>
      </c>
      <c r="AE48" s="680">
        <f t="shared" si="58"/>
        <v>1000000</v>
      </c>
      <c r="AF48" s="670">
        <v>1</v>
      </c>
      <c r="AG48" s="680">
        <f t="shared" si="59"/>
        <v>1000000</v>
      </c>
      <c r="AH48" s="670">
        <v>1</v>
      </c>
      <c r="AI48" s="680">
        <f t="shared" si="60"/>
        <v>1000000</v>
      </c>
      <c r="AJ48" s="670">
        <v>0</v>
      </c>
      <c r="AK48" s="680">
        <f t="shared" si="61"/>
        <v>0</v>
      </c>
      <c r="AL48" s="670">
        <v>1</v>
      </c>
      <c r="AM48" s="680">
        <f t="shared" si="62"/>
        <v>1000000</v>
      </c>
      <c r="AN48" s="670">
        <v>0</v>
      </c>
      <c r="AO48" s="680">
        <f t="shared" si="63"/>
        <v>0</v>
      </c>
      <c r="AP48" s="670">
        <v>0</v>
      </c>
      <c r="AQ48" s="680">
        <f t="shared" si="64"/>
        <v>0</v>
      </c>
      <c r="AR48" s="670">
        <v>1</v>
      </c>
      <c r="AS48" s="680">
        <f t="shared" si="65"/>
        <v>1000000</v>
      </c>
      <c r="AT48" s="670">
        <v>1</v>
      </c>
      <c r="AU48" s="680">
        <f t="shared" si="66"/>
        <v>1000000</v>
      </c>
      <c r="AV48" s="670">
        <v>1</v>
      </c>
      <c r="AW48" s="680">
        <f t="shared" si="67"/>
        <v>1000000</v>
      </c>
      <c r="AX48" s="670">
        <v>0</v>
      </c>
      <c r="AY48" s="680">
        <f t="shared" si="68"/>
        <v>0</v>
      </c>
      <c r="AZ48" s="670">
        <v>1</v>
      </c>
      <c r="BA48" s="680">
        <f t="shared" si="69"/>
        <v>1000000</v>
      </c>
      <c r="BB48" s="670">
        <v>1</v>
      </c>
      <c r="BC48" s="680">
        <f t="shared" si="70"/>
        <v>1000000</v>
      </c>
      <c r="BD48" s="670">
        <v>1</v>
      </c>
      <c r="BE48" s="680">
        <f t="shared" si="71"/>
        <v>1000000</v>
      </c>
      <c r="BF48" s="670">
        <v>1</v>
      </c>
      <c r="BG48" s="680">
        <f t="shared" si="72"/>
        <v>1000000</v>
      </c>
      <c r="BH48" s="670">
        <v>0</v>
      </c>
      <c r="BI48" s="680">
        <f t="shared" si="73"/>
        <v>0</v>
      </c>
      <c r="BJ48" s="670">
        <f t="shared" si="74"/>
        <v>12</v>
      </c>
      <c r="BK48" s="680">
        <f t="shared" si="74"/>
        <v>12000000</v>
      </c>
      <c r="BL48" s="668" t="s">
        <v>473</v>
      </c>
      <c r="BN48" s="672">
        <f t="shared" si="75"/>
        <v>12000000</v>
      </c>
      <c r="BO48" s="672"/>
      <c r="BP48" s="672"/>
      <c r="BQ48" s="672"/>
      <c r="BR48" s="672">
        <f t="shared" si="76"/>
        <v>12000000</v>
      </c>
      <c r="BS48" s="672"/>
      <c r="BT48" s="672"/>
      <c r="BU48" s="672"/>
      <c r="BV48" s="673">
        <f t="shared" si="1"/>
        <v>12000000</v>
      </c>
    </row>
    <row r="49" spans="1:74" s="671" customFormat="1" x14ac:dyDescent="0.25">
      <c r="A49" s="917"/>
      <c r="B49" s="667"/>
      <c r="C49" s="710" t="s">
        <v>674</v>
      </c>
      <c r="D49" s="667" t="s">
        <v>209</v>
      </c>
      <c r="E49" s="675">
        <v>10000</v>
      </c>
      <c r="F49" s="676">
        <f t="shared" si="47"/>
        <v>12</v>
      </c>
      <c r="G49" s="669">
        <f t="shared" si="48"/>
        <v>120000</v>
      </c>
      <c r="H49" s="669">
        <f t="shared" si="49"/>
        <v>12000</v>
      </c>
      <c r="I49" s="669">
        <f t="shared" si="50"/>
        <v>96000</v>
      </c>
      <c r="J49" s="669"/>
      <c r="K49" s="669"/>
      <c r="L49" s="669"/>
      <c r="M49" s="669"/>
      <c r="N49" s="669"/>
      <c r="O49" s="669"/>
      <c r="P49" s="669">
        <f t="shared" si="51"/>
        <v>12000</v>
      </c>
      <c r="Q49" s="677"/>
      <c r="R49" s="678"/>
      <c r="S49" s="679">
        <v>4</v>
      </c>
      <c r="T49" s="679">
        <f>F49*0.3</f>
        <v>3.5999999999999996</v>
      </c>
      <c r="U49" s="679">
        <f>F49*0.3</f>
        <v>3.5999999999999996</v>
      </c>
      <c r="V49" s="677">
        <f t="shared" si="52"/>
        <v>0</v>
      </c>
      <c r="W49" s="677">
        <f t="shared" si="53"/>
        <v>40000</v>
      </c>
      <c r="X49" s="677">
        <f t="shared" si="54"/>
        <v>36000</v>
      </c>
      <c r="Y49" s="677">
        <f t="shared" si="55"/>
        <v>36000</v>
      </c>
      <c r="Z49" s="670"/>
      <c r="AA49" s="680">
        <f t="shared" si="56"/>
        <v>0</v>
      </c>
      <c r="AB49" s="670"/>
      <c r="AC49" s="680">
        <f t="shared" si="57"/>
        <v>0</v>
      </c>
      <c r="AD49" s="670"/>
      <c r="AE49" s="680">
        <f t="shared" si="58"/>
        <v>0</v>
      </c>
      <c r="AF49" s="670"/>
      <c r="AG49" s="680">
        <f t="shared" si="59"/>
        <v>0</v>
      </c>
      <c r="AH49" s="670"/>
      <c r="AI49" s="680">
        <f t="shared" si="60"/>
        <v>0</v>
      </c>
      <c r="AJ49" s="670">
        <v>0</v>
      </c>
      <c r="AK49" s="680">
        <f t="shared" si="61"/>
        <v>0</v>
      </c>
      <c r="AL49" s="670"/>
      <c r="AM49" s="680">
        <f t="shared" si="62"/>
        <v>0</v>
      </c>
      <c r="AN49" s="670"/>
      <c r="AO49" s="680">
        <f t="shared" si="63"/>
        <v>0</v>
      </c>
      <c r="AP49" s="670"/>
      <c r="AQ49" s="680">
        <f t="shared" si="64"/>
        <v>0</v>
      </c>
      <c r="AR49" s="670"/>
      <c r="AS49" s="680">
        <f t="shared" si="65"/>
        <v>0</v>
      </c>
      <c r="AT49" s="670"/>
      <c r="AU49" s="680">
        <f t="shared" si="66"/>
        <v>0</v>
      </c>
      <c r="AV49" s="670">
        <v>10</v>
      </c>
      <c r="AW49" s="680">
        <f t="shared" si="67"/>
        <v>100000</v>
      </c>
      <c r="AX49" s="670">
        <v>2</v>
      </c>
      <c r="AY49" s="680">
        <f t="shared" si="68"/>
        <v>20000</v>
      </c>
      <c r="AZ49" s="670"/>
      <c r="BA49" s="680">
        <f t="shared" si="69"/>
        <v>0</v>
      </c>
      <c r="BB49" s="670"/>
      <c r="BC49" s="680">
        <f t="shared" si="70"/>
        <v>0</v>
      </c>
      <c r="BD49" s="670"/>
      <c r="BE49" s="680">
        <f t="shared" si="71"/>
        <v>0</v>
      </c>
      <c r="BF49" s="670"/>
      <c r="BG49" s="680">
        <f t="shared" si="72"/>
        <v>0</v>
      </c>
      <c r="BH49" s="670"/>
      <c r="BI49" s="680">
        <f t="shared" si="73"/>
        <v>0</v>
      </c>
      <c r="BJ49" s="670">
        <f t="shared" si="74"/>
        <v>12</v>
      </c>
      <c r="BK49" s="680">
        <f t="shared" si="74"/>
        <v>120000</v>
      </c>
      <c r="BL49" s="668" t="s">
        <v>473</v>
      </c>
      <c r="BN49" s="672">
        <f t="shared" si="75"/>
        <v>120000</v>
      </c>
      <c r="BO49" s="672"/>
      <c r="BP49" s="672"/>
      <c r="BQ49" s="672"/>
      <c r="BR49" s="672">
        <f t="shared" si="76"/>
        <v>120000</v>
      </c>
      <c r="BS49" s="672"/>
      <c r="BT49" s="672"/>
      <c r="BU49" s="672"/>
      <c r="BV49" s="673">
        <f t="shared" si="1"/>
        <v>120000</v>
      </c>
    </row>
    <row r="50" spans="1:74" s="671" customFormat="1" x14ac:dyDescent="0.25">
      <c r="A50" s="917"/>
      <c r="B50" s="667"/>
      <c r="C50" s="710" t="s">
        <v>675</v>
      </c>
      <c r="D50" s="667" t="s">
        <v>209</v>
      </c>
      <c r="E50" s="675">
        <v>2000</v>
      </c>
      <c r="F50" s="676">
        <f t="shared" si="47"/>
        <v>2</v>
      </c>
      <c r="G50" s="669">
        <f t="shared" si="48"/>
        <v>4000</v>
      </c>
      <c r="H50" s="669">
        <f t="shared" si="49"/>
        <v>400</v>
      </c>
      <c r="I50" s="669">
        <f t="shared" si="50"/>
        <v>3200</v>
      </c>
      <c r="J50" s="669"/>
      <c r="K50" s="669"/>
      <c r="L50" s="669"/>
      <c r="M50" s="669"/>
      <c r="N50" s="669"/>
      <c r="O50" s="669"/>
      <c r="P50" s="669">
        <f t="shared" si="51"/>
        <v>400</v>
      </c>
      <c r="Q50" s="677"/>
      <c r="R50" s="678"/>
      <c r="S50" s="679"/>
      <c r="T50" s="679">
        <f>F50*0.3</f>
        <v>0.6</v>
      </c>
      <c r="U50" s="679">
        <f>F50*0.3</f>
        <v>0.6</v>
      </c>
      <c r="V50" s="677">
        <f t="shared" si="52"/>
        <v>0</v>
      </c>
      <c r="W50" s="677">
        <f t="shared" si="53"/>
        <v>0</v>
      </c>
      <c r="X50" s="677">
        <f t="shared" si="54"/>
        <v>1200</v>
      </c>
      <c r="Y50" s="677">
        <f t="shared" si="55"/>
        <v>1200</v>
      </c>
      <c r="Z50" s="670"/>
      <c r="AA50" s="680">
        <f t="shared" si="56"/>
        <v>0</v>
      </c>
      <c r="AB50" s="670"/>
      <c r="AC50" s="680">
        <f t="shared" si="57"/>
        <v>0</v>
      </c>
      <c r="AD50" s="670"/>
      <c r="AE50" s="680">
        <f t="shared" si="58"/>
        <v>0</v>
      </c>
      <c r="AF50" s="670"/>
      <c r="AG50" s="680">
        <f t="shared" si="59"/>
        <v>0</v>
      </c>
      <c r="AH50" s="670"/>
      <c r="AI50" s="680">
        <f t="shared" si="60"/>
        <v>0</v>
      </c>
      <c r="AJ50" s="670">
        <v>0</v>
      </c>
      <c r="AK50" s="680">
        <f t="shared" si="61"/>
        <v>0</v>
      </c>
      <c r="AL50" s="670"/>
      <c r="AM50" s="680">
        <f t="shared" si="62"/>
        <v>0</v>
      </c>
      <c r="AN50" s="670"/>
      <c r="AO50" s="680">
        <f t="shared" si="63"/>
        <v>0</v>
      </c>
      <c r="AP50" s="670"/>
      <c r="AQ50" s="680">
        <f t="shared" si="64"/>
        <v>0</v>
      </c>
      <c r="AR50" s="670"/>
      <c r="AS50" s="680">
        <f t="shared" si="65"/>
        <v>0</v>
      </c>
      <c r="AT50" s="670"/>
      <c r="AU50" s="680">
        <f t="shared" si="66"/>
        <v>0</v>
      </c>
      <c r="AV50" s="670"/>
      <c r="AW50" s="680">
        <f t="shared" si="67"/>
        <v>0</v>
      </c>
      <c r="AX50" s="670">
        <v>2</v>
      </c>
      <c r="AY50" s="680">
        <f t="shared" si="68"/>
        <v>4000</v>
      </c>
      <c r="AZ50" s="670"/>
      <c r="BA50" s="680">
        <f t="shared" si="69"/>
        <v>0</v>
      </c>
      <c r="BB50" s="670"/>
      <c r="BC50" s="680">
        <f t="shared" si="70"/>
        <v>0</v>
      </c>
      <c r="BD50" s="670"/>
      <c r="BE50" s="680">
        <f t="shared" si="71"/>
        <v>0</v>
      </c>
      <c r="BF50" s="670"/>
      <c r="BG50" s="680">
        <f t="shared" si="72"/>
        <v>0</v>
      </c>
      <c r="BH50" s="670"/>
      <c r="BI50" s="680">
        <f t="shared" si="73"/>
        <v>0</v>
      </c>
      <c r="BJ50" s="670">
        <f t="shared" si="74"/>
        <v>2</v>
      </c>
      <c r="BK50" s="680">
        <f t="shared" si="74"/>
        <v>4000</v>
      </c>
      <c r="BL50" s="668" t="s">
        <v>473</v>
      </c>
      <c r="BN50" s="672">
        <f t="shared" si="75"/>
        <v>4000</v>
      </c>
      <c r="BO50" s="672"/>
      <c r="BP50" s="672"/>
      <c r="BQ50" s="672"/>
      <c r="BR50" s="672">
        <f t="shared" si="76"/>
        <v>4000</v>
      </c>
      <c r="BS50" s="672"/>
      <c r="BT50" s="672"/>
      <c r="BU50" s="672"/>
      <c r="BV50" s="673">
        <f t="shared" si="1"/>
        <v>4000</v>
      </c>
    </row>
    <row r="51" spans="1:74" s="671" customFormat="1" x14ac:dyDescent="0.25">
      <c r="A51" s="917"/>
      <c r="B51" s="667"/>
      <c r="C51" s="710" t="s">
        <v>676</v>
      </c>
      <c r="D51" s="667" t="s">
        <v>209</v>
      </c>
      <c r="E51" s="675">
        <v>1000000</v>
      </c>
      <c r="F51" s="676">
        <f t="shared" si="47"/>
        <v>9</v>
      </c>
      <c r="G51" s="669">
        <f t="shared" si="48"/>
        <v>9000000</v>
      </c>
      <c r="H51" s="669">
        <f t="shared" si="49"/>
        <v>900000</v>
      </c>
      <c r="I51" s="669">
        <f t="shared" si="50"/>
        <v>7200000</v>
      </c>
      <c r="J51" s="669"/>
      <c r="K51" s="669"/>
      <c r="L51" s="669"/>
      <c r="M51" s="669"/>
      <c r="N51" s="669"/>
      <c r="O51" s="669"/>
      <c r="P51" s="669">
        <f t="shared" si="51"/>
        <v>900000</v>
      </c>
      <c r="Q51" s="677"/>
      <c r="R51" s="678"/>
      <c r="S51" s="679">
        <v>9</v>
      </c>
      <c r="T51" s="679"/>
      <c r="U51" s="679"/>
      <c r="V51" s="677">
        <f t="shared" si="52"/>
        <v>0</v>
      </c>
      <c r="W51" s="677">
        <f t="shared" si="53"/>
        <v>9000000</v>
      </c>
      <c r="X51" s="677">
        <f t="shared" si="54"/>
        <v>0</v>
      </c>
      <c r="Y51" s="677">
        <f t="shared" si="55"/>
        <v>0</v>
      </c>
      <c r="Z51" s="670"/>
      <c r="AA51" s="680">
        <f t="shared" si="56"/>
        <v>0</v>
      </c>
      <c r="AB51" s="670">
        <v>1</v>
      </c>
      <c r="AC51" s="680">
        <f t="shared" si="57"/>
        <v>1000000</v>
      </c>
      <c r="AD51" s="670">
        <v>2</v>
      </c>
      <c r="AE51" s="680">
        <f t="shared" si="58"/>
        <v>2000000</v>
      </c>
      <c r="AF51" s="670">
        <v>1</v>
      </c>
      <c r="AG51" s="680">
        <f t="shared" si="59"/>
        <v>1000000</v>
      </c>
      <c r="AH51" s="670"/>
      <c r="AI51" s="680">
        <f t="shared" si="60"/>
        <v>0</v>
      </c>
      <c r="AJ51" s="670">
        <v>0</v>
      </c>
      <c r="AK51" s="680">
        <f t="shared" si="61"/>
        <v>0</v>
      </c>
      <c r="AL51" s="670">
        <v>1</v>
      </c>
      <c r="AM51" s="680">
        <f t="shared" si="62"/>
        <v>1000000</v>
      </c>
      <c r="AN51" s="670">
        <v>1</v>
      </c>
      <c r="AO51" s="680">
        <f t="shared" si="63"/>
        <v>1000000</v>
      </c>
      <c r="AP51" s="670"/>
      <c r="AQ51" s="680">
        <f t="shared" si="64"/>
        <v>0</v>
      </c>
      <c r="AR51" s="670"/>
      <c r="AS51" s="680">
        <f t="shared" si="65"/>
        <v>0</v>
      </c>
      <c r="AT51" s="670">
        <v>1</v>
      </c>
      <c r="AU51" s="680">
        <f t="shared" si="66"/>
        <v>1000000</v>
      </c>
      <c r="AV51" s="670">
        <v>1</v>
      </c>
      <c r="AW51" s="680">
        <f t="shared" si="67"/>
        <v>1000000</v>
      </c>
      <c r="AX51" s="670"/>
      <c r="AY51" s="680">
        <f t="shared" si="68"/>
        <v>0</v>
      </c>
      <c r="AZ51" s="670">
        <v>1</v>
      </c>
      <c r="BA51" s="680">
        <f t="shared" si="69"/>
        <v>1000000</v>
      </c>
      <c r="BB51" s="670"/>
      <c r="BC51" s="680">
        <f t="shared" si="70"/>
        <v>0</v>
      </c>
      <c r="BD51" s="670"/>
      <c r="BE51" s="680">
        <f t="shared" si="71"/>
        <v>0</v>
      </c>
      <c r="BF51" s="670">
        <v>0</v>
      </c>
      <c r="BG51" s="680">
        <f t="shared" si="72"/>
        <v>0</v>
      </c>
      <c r="BH51" s="670"/>
      <c r="BI51" s="680">
        <f t="shared" si="73"/>
        <v>0</v>
      </c>
      <c r="BJ51" s="670">
        <f t="shared" si="74"/>
        <v>9</v>
      </c>
      <c r="BK51" s="680">
        <f t="shared" si="74"/>
        <v>9000000</v>
      </c>
      <c r="BL51" s="668" t="s">
        <v>473</v>
      </c>
      <c r="BN51" s="672">
        <f t="shared" si="75"/>
        <v>9000000</v>
      </c>
      <c r="BO51" s="672"/>
      <c r="BP51" s="672"/>
      <c r="BQ51" s="672"/>
      <c r="BR51" s="672">
        <f t="shared" si="76"/>
        <v>9000000</v>
      </c>
      <c r="BS51" s="672"/>
      <c r="BT51" s="672"/>
      <c r="BU51" s="672"/>
      <c r="BV51" s="673">
        <f t="shared" si="1"/>
        <v>9000000</v>
      </c>
    </row>
    <row r="52" spans="1:74" s="671" customFormat="1" x14ac:dyDescent="0.25">
      <c r="A52" s="917"/>
      <c r="B52" s="667"/>
      <c r="C52" s="710" t="s">
        <v>682</v>
      </c>
      <c r="D52" s="667" t="s">
        <v>209</v>
      </c>
      <c r="E52" s="675">
        <v>100000</v>
      </c>
      <c r="F52" s="676">
        <f t="shared" si="47"/>
        <v>53</v>
      </c>
      <c r="G52" s="669">
        <f t="shared" si="48"/>
        <v>5300000</v>
      </c>
      <c r="H52" s="669">
        <f t="shared" si="49"/>
        <v>530000</v>
      </c>
      <c r="I52" s="669">
        <f t="shared" si="50"/>
        <v>4240000</v>
      </c>
      <c r="J52" s="669"/>
      <c r="K52" s="669"/>
      <c r="L52" s="669"/>
      <c r="M52" s="669"/>
      <c r="N52" s="669"/>
      <c r="O52" s="669"/>
      <c r="P52" s="669">
        <f t="shared" si="51"/>
        <v>530000</v>
      </c>
      <c r="Q52" s="677"/>
      <c r="R52" s="678"/>
      <c r="S52" s="679">
        <v>33</v>
      </c>
      <c r="T52" s="679">
        <v>20</v>
      </c>
      <c r="U52" s="679"/>
      <c r="V52" s="677">
        <f t="shared" si="52"/>
        <v>0</v>
      </c>
      <c r="W52" s="677">
        <f t="shared" si="53"/>
        <v>3300000</v>
      </c>
      <c r="X52" s="677">
        <f t="shared" si="54"/>
        <v>2000000</v>
      </c>
      <c r="Y52" s="677">
        <f t="shared" si="55"/>
        <v>0</v>
      </c>
      <c r="Z52" s="670">
        <v>10</v>
      </c>
      <c r="AA52" s="680">
        <f t="shared" si="56"/>
        <v>1000000</v>
      </c>
      <c r="AB52" s="670">
        <v>0</v>
      </c>
      <c r="AC52" s="680">
        <f t="shared" si="57"/>
        <v>0</v>
      </c>
      <c r="AD52" s="670"/>
      <c r="AE52" s="680">
        <f t="shared" si="58"/>
        <v>0</v>
      </c>
      <c r="AF52" s="670"/>
      <c r="AG52" s="680">
        <f t="shared" si="59"/>
        <v>0</v>
      </c>
      <c r="AH52" s="670"/>
      <c r="AI52" s="680">
        <f t="shared" si="60"/>
        <v>0</v>
      </c>
      <c r="AJ52" s="670">
        <v>1</v>
      </c>
      <c r="AK52" s="680">
        <f t="shared" si="61"/>
        <v>100000</v>
      </c>
      <c r="AL52" s="670"/>
      <c r="AM52" s="680">
        <f t="shared" si="62"/>
        <v>0</v>
      </c>
      <c r="AN52" s="670">
        <v>0</v>
      </c>
      <c r="AO52" s="680">
        <f t="shared" si="63"/>
        <v>0</v>
      </c>
      <c r="AP52" s="670"/>
      <c r="AQ52" s="680">
        <f t="shared" si="64"/>
        <v>0</v>
      </c>
      <c r="AR52" s="670"/>
      <c r="AS52" s="680">
        <f t="shared" si="65"/>
        <v>0</v>
      </c>
      <c r="AT52" s="670"/>
      <c r="AU52" s="680">
        <f t="shared" si="66"/>
        <v>0</v>
      </c>
      <c r="AV52" s="670"/>
      <c r="AW52" s="680">
        <f t="shared" si="67"/>
        <v>0</v>
      </c>
      <c r="AX52" s="670">
        <v>2</v>
      </c>
      <c r="AY52" s="680">
        <f t="shared" si="68"/>
        <v>200000</v>
      </c>
      <c r="AZ52" s="670"/>
      <c r="BA52" s="680">
        <f t="shared" si="69"/>
        <v>0</v>
      </c>
      <c r="BB52" s="670"/>
      <c r="BC52" s="680">
        <f t="shared" si="70"/>
        <v>0</v>
      </c>
      <c r="BD52" s="670">
        <v>30</v>
      </c>
      <c r="BE52" s="680">
        <f t="shared" si="71"/>
        <v>3000000</v>
      </c>
      <c r="BF52" s="670">
        <v>10</v>
      </c>
      <c r="BG52" s="680">
        <f t="shared" si="72"/>
        <v>1000000</v>
      </c>
      <c r="BH52" s="670"/>
      <c r="BI52" s="680">
        <f t="shared" si="73"/>
        <v>0</v>
      </c>
      <c r="BJ52" s="670">
        <f t="shared" si="74"/>
        <v>53</v>
      </c>
      <c r="BK52" s="680">
        <f t="shared" si="74"/>
        <v>5300000</v>
      </c>
      <c r="BL52" s="668" t="s">
        <v>473</v>
      </c>
      <c r="BN52" s="672">
        <f t="shared" si="75"/>
        <v>5300000</v>
      </c>
      <c r="BO52" s="672"/>
      <c r="BP52" s="672"/>
      <c r="BQ52" s="672"/>
      <c r="BR52" s="672">
        <f t="shared" si="76"/>
        <v>5300000</v>
      </c>
      <c r="BS52" s="672"/>
      <c r="BT52" s="672"/>
      <c r="BU52" s="672"/>
      <c r="BV52" s="673">
        <f t="shared" si="1"/>
        <v>5300000</v>
      </c>
    </row>
    <row r="53" spans="1:74" s="671" customFormat="1" x14ac:dyDescent="0.25">
      <c r="A53" s="917"/>
      <c r="B53" s="667"/>
      <c r="C53" s="710" t="s">
        <v>684</v>
      </c>
      <c r="D53" s="667" t="s">
        <v>209</v>
      </c>
      <c r="E53" s="675">
        <v>50000</v>
      </c>
      <c r="F53" s="676">
        <f t="shared" si="47"/>
        <v>12</v>
      </c>
      <c r="G53" s="669">
        <f t="shared" si="48"/>
        <v>600000</v>
      </c>
      <c r="H53" s="669">
        <f t="shared" si="49"/>
        <v>60000</v>
      </c>
      <c r="I53" s="669">
        <f t="shared" si="50"/>
        <v>480000</v>
      </c>
      <c r="J53" s="669"/>
      <c r="K53" s="669"/>
      <c r="L53" s="669"/>
      <c r="M53" s="669"/>
      <c r="N53" s="669"/>
      <c r="O53" s="669"/>
      <c r="P53" s="669">
        <f t="shared" si="51"/>
        <v>60000</v>
      </c>
      <c r="Q53" s="677"/>
      <c r="R53" s="678"/>
      <c r="S53" s="679">
        <v>4</v>
      </c>
      <c r="T53" s="679">
        <f>F53*0.3</f>
        <v>3.5999999999999996</v>
      </c>
      <c r="U53" s="679">
        <f>F53*0.3</f>
        <v>3.5999999999999996</v>
      </c>
      <c r="V53" s="677">
        <f t="shared" si="52"/>
        <v>0</v>
      </c>
      <c r="W53" s="677">
        <f t="shared" si="53"/>
        <v>200000</v>
      </c>
      <c r="X53" s="677">
        <f t="shared" si="54"/>
        <v>179999.99999999997</v>
      </c>
      <c r="Y53" s="677">
        <f t="shared" si="55"/>
        <v>179999.99999999997</v>
      </c>
      <c r="Z53" s="670"/>
      <c r="AA53" s="680">
        <f t="shared" si="56"/>
        <v>0</v>
      </c>
      <c r="AB53" s="670">
        <v>0</v>
      </c>
      <c r="AC53" s="680">
        <f t="shared" si="57"/>
        <v>0</v>
      </c>
      <c r="AD53" s="670">
        <v>0</v>
      </c>
      <c r="AE53" s="680">
        <f t="shared" si="58"/>
        <v>0</v>
      </c>
      <c r="AF53" s="670"/>
      <c r="AG53" s="680">
        <f t="shared" si="59"/>
        <v>0</v>
      </c>
      <c r="AH53" s="670">
        <v>1</v>
      </c>
      <c r="AI53" s="680">
        <f t="shared" si="60"/>
        <v>50000</v>
      </c>
      <c r="AJ53" s="670">
        <v>0</v>
      </c>
      <c r="AK53" s="680">
        <f t="shared" si="61"/>
        <v>0</v>
      </c>
      <c r="AL53" s="670"/>
      <c r="AM53" s="680">
        <f t="shared" si="62"/>
        <v>0</v>
      </c>
      <c r="AN53" s="670">
        <v>1</v>
      </c>
      <c r="AO53" s="680">
        <f t="shared" si="63"/>
        <v>50000</v>
      </c>
      <c r="AP53" s="670"/>
      <c r="AQ53" s="680">
        <f t="shared" si="64"/>
        <v>0</v>
      </c>
      <c r="AR53" s="670">
        <v>3</v>
      </c>
      <c r="AS53" s="680">
        <f t="shared" si="65"/>
        <v>150000</v>
      </c>
      <c r="AT53" s="670"/>
      <c r="AU53" s="680">
        <f t="shared" si="66"/>
        <v>0</v>
      </c>
      <c r="AV53" s="670"/>
      <c r="AW53" s="680">
        <f t="shared" si="67"/>
        <v>0</v>
      </c>
      <c r="AX53" s="670">
        <v>5</v>
      </c>
      <c r="AY53" s="680">
        <f t="shared" si="68"/>
        <v>250000</v>
      </c>
      <c r="AZ53" s="670"/>
      <c r="BA53" s="680">
        <f t="shared" si="69"/>
        <v>0</v>
      </c>
      <c r="BB53" s="670">
        <v>2</v>
      </c>
      <c r="BC53" s="680">
        <f t="shared" si="70"/>
        <v>100000</v>
      </c>
      <c r="BD53" s="670"/>
      <c r="BE53" s="680">
        <f t="shared" si="71"/>
        <v>0</v>
      </c>
      <c r="BF53" s="670"/>
      <c r="BG53" s="680">
        <f t="shared" si="72"/>
        <v>0</v>
      </c>
      <c r="BH53" s="670"/>
      <c r="BI53" s="680">
        <f t="shared" si="73"/>
        <v>0</v>
      </c>
      <c r="BJ53" s="670">
        <f t="shared" si="74"/>
        <v>12</v>
      </c>
      <c r="BK53" s="680">
        <f t="shared" si="74"/>
        <v>600000</v>
      </c>
      <c r="BL53" s="668" t="s">
        <v>473</v>
      </c>
      <c r="BN53" s="672">
        <f t="shared" si="75"/>
        <v>600000</v>
      </c>
      <c r="BO53" s="672"/>
      <c r="BP53" s="672"/>
      <c r="BQ53" s="672"/>
      <c r="BR53" s="672">
        <f t="shared" si="76"/>
        <v>600000</v>
      </c>
      <c r="BS53" s="672"/>
      <c r="BT53" s="672"/>
      <c r="BU53" s="672"/>
      <c r="BV53" s="673">
        <f t="shared" si="1"/>
        <v>600000</v>
      </c>
    </row>
    <row r="54" spans="1:74" s="671" customFormat="1" x14ac:dyDescent="0.25">
      <c r="A54" s="917"/>
      <c r="B54" s="667"/>
      <c r="C54" s="710" t="s">
        <v>880</v>
      </c>
      <c r="D54" s="667" t="s">
        <v>881</v>
      </c>
      <c r="E54" s="675">
        <v>1000000</v>
      </c>
      <c r="F54" s="676">
        <v>1</v>
      </c>
      <c r="G54" s="669">
        <f t="shared" si="48"/>
        <v>1000000</v>
      </c>
      <c r="H54" s="669">
        <f>G54*0.1</f>
        <v>100000</v>
      </c>
      <c r="I54" s="669">
        <f>G54*0.8</f>
        <v>800000</v>
      </c>
      <c r="J54" s="669"/>
      <c r="K54" s="669"/>
      <c r="L54" s="669"/>
      <c r="M54" s="669"/>
      <c r="N54" s="669"/>
      <c r="O54" s="669"/>
      <c r="P54" s="669">
        <f t="shared" si="51"/>
        <v>100000</v>
      </c>
      <c r="Q54" s="677"/>
      <c r="R54" s="678"/>
      <c r="S54" s="679">
        <v>1</v>
      </c>
      <c r="T54" s="679"/>
      <c r="U54" s="679"/>
      <c r="V54" s="677">
        <f t="shared" si="52"/>
        <v>0</v>
      </c>
      <c r="W54" s="677">
        <f t="shared" si="53"/>
        <v>1000000</v>
      </c>
      <c r="X54" s="677"/>
      <c r="Y54" s="677"/>
      <c r="Z54" s="670">
        <v>0</v>
      </c>
      <c r="AA54" s="680">
        <f t="shared" si="56"/>
        <v>0</v>
      </c>
      <c r="AB54" s="670">
        <v>0</v>
      </c>
      <c r="AC54" s="680">
        <f t="shared" si="57"/>
        <v>0</v>
      </c>
      <c r="AD54" s="670">
        <v>0</v>
      </c>
      <c r="AE54" s="680">
        <f t="shared" si="58"/>
        <v>0</v>
      </c>
      <c r="AF54" s="670">
        <v>0</v>
      </c>
      <c r="AG54" s="680">
        <f t="shared" si="59"/>
        <v>0</v>
      </c>
      <c r="AH54" s="670">
        <v>0</v>
      </c>
      <c r="AI54" s="680">
        <f t="shared" si="60"/>
        <v>0</v>
      </c>
      <c r="AJ54" s="670">
        <v>0</v>
      </c>
      <c r="AK54" s="680">
        <f t="shared" si="61"/>
        <v>0</v>
      </c>
      <c r="AL54" s="670">
        <v>0</v>
      </c>
      <c r="AM54" s="680">
        <f t="shared" si="62"/>
        <v>0</v>
      </c>
      <c r="AN54" s="670">
        <v>0</v>
      </c>
      <c r="AO54" s="680">
        <f t="shared" si="63"/>
        <v>0</v>
      </c>
      <c r="AP54" s="670">
        <v>0</v>
      </c>
      <c r="AQ54" s="680">
        <f t="shared" si="64"/>
        <v>0</v>
      </c>
      <c r="AR54" s="670">
        <v>0</v>
      </c>
      <c r="AS54" s="680">
        <f t="shared" si="65"/>
        <v>0</v>
      </c>
      <c r="AT54" s="670">
        <v>0</v>
      </c>
      <c r="AU54" s="680">
        <f t="shared" si="66"/>
        <v>0</v>
      </c>
      <c r="AV54" s="670">
        <v>0</v>
      </c>
      <c r="AW54" s="680">
        <f t="shared" si="67"/>
        <v>0</v>
      </c>
      <c r="AX54" s="670">
        <v>0</v>
      </c>
      <c r="AY54" s="680">
        <f t="shared" si="68"/>
        <v>0</v>
      </c>
      <c r="AZ54" s="670">
        <v>0</v>
      </c>
      <c r="BA54" s="680">
        <f t="shared" si="69"/>
        <v>0</v>
      </c>
      <c r="BB54" s="670">
        <v>0</v>
      </c>
      <c r="BC54" s="680">
        <f t="shared" si="70"/>
        <v>0</v>
      </c>
      <c r="BD54" s="670">
        <v>0</v>
      </c>
      <c r="BE54" s="680">
        <f t="shared" si="71"/>
        <v>0</v>
      </c>
      <c r="BF54" s="670">
        <v>1</v>
      </c>
      <c r="BG54" s="680">
        <f t="shared" si="72"/>
        <v>1000000</v>
      </c>
      <c r="BH54" s="670">
        <v>0</v>
      </c>
      <c r="BI54" s="680">
        <f t="shared" si="73"/>
        <v>0</v>
      </c>
      <c r="BJ54" s="670">
        <f t="shared" si="74"/>
        <v>1</v>
      </c>
      <c r="BK54" s="680">
        <f t="shared" si="74"/>
        <v>1000000</v>
      </c>
      <c r="BL54" s="668" t="s">
        <v>473</v>
      </c>
      <c r="BN54" s="672">
        <f t="shared" si="75"/>
        <v>1000000</v>
      </c>
      <c r="BO54" s="672"/>
      <c r="BP54" s="672"/>
      <c r="BQ54" s="672"/>
      <c r="BR54" s="672">
        <f t="shared" si="76"/>
        <v>1000000</v>
      </c>
      <c r="BS54" s="672"/>
      <c r="BT54" s="672"/>
      <c r="BU54" s="672"/>
      <c r="BV54" s="673">
        <f t="shared" si="1"/>
        <v>1000000</v>
      </c>
    </row>
    <row r="55" spans="1:74" s="671" customFormat="1" x14ac:dyDescent="0.25">
      <c r="A55" s="917"/>
      <c r="B55" s="392"/>
      <c r="C55" s="400"/>
      <c r="D55" s="392"/>
      <c r="E55" s="724"/>
      <c r="F55" s="725">
        <f>SUM(F47:F54)</f>
        <v>106</v>
      </c>
      <c r="G55" s="725">
        <f t="shared" ref="G55:BL55" si="77">SUM(G47:G54)</f>
        <v>29024000</v>
      </c>
      <c r="H55" s="725">
        <f t="shared" si="77"/>
        <v>2902400</v>
      </c>
      <c r="I55" s="725">
        <f t="shared" si="77"/>
        <v>23219200</v>
      </c>
      <c r="J55" s="725">
        <f t="shared" si="77"/>
        <v>0</v>
      </c>
      <c r="K55" s="725">
        <f t="shared" si="77"/>
        <v>0</v>
      </c>
      <c r="L55" s="725">
        <f t="shared" si="77"/>
        <v>0</v>
      </c>
      <c r="M55" s="725">
        <f t="shared" si="77"/>
        <v>0</v>
      </c>
      <c r="N55" s="725">
        <f t="shared" si="77"/>
        <v>0</v>
      </c>
      <c r="O55" s="725">
        <f t="shared" si="77"/>
        <v>0</v>
      </c>
      <c r="P55" s="725">
        <f t="shared" si="77"/>
        <v>2902400</v>
      </c>
      <c r="Q55" s="725">
        <f t="shared" si="77"/>
        <v>0</v>
      </c>
      <c r="R55" s="725">
        <f t="shared" si="77"/>
        <v>0</v>
      </c>
      <c r="S55" s="725">
        <f t="shared" si="77"/>
        <v>59</v>
      </c>
      <c r="T55" s="725">
        <f t="shared" si="77"/>
        <v>33.799999999999997</v>
      </c>
      <c r="U55" s="725">
        <f t="shared" si="77"/>
        <v>10.799999999999999</v>
      </c>
      <c r="V55" s="725">
        <f t="shared" si="77"/>
        <v>0</v>
      </c>
      <c r="W55" s="725">
        <f t="shared" si="77"/>
        <v>19940000</v>
      </c>
      <c r="X55" s="725">
        <f t="shared" si="77"/>
        <v>5817200</v>
      </c>
      <c r="Y55" s="725">
        <f t="shared" si="77"/>
        <v>3217200</v>
      </c>
      <c r="Z55" s="725">
        <f t="shared" si="77"/>
        <v>10</v>
      </c>
      <c r="AA55" s="725">
        <f t="shared" si="77"/>
        <v>1000000</v>
      </c>
      <c r="AB55" s="725">
        <f t="shared" si="77"/>
        <v>2</v>
      </c>
      <c r="AC55" s="725">
        <f t="shared" si="77"/>
        <v>2000000</v>
      </c>
      <c r="AD55" s="725">
        <f t="shared" si="77"/>
        <v>3</v>
      </c>
      <c r="AE55" s="725">
        <f t="shared" si="77"/>
        <v>3000000</v>
      </c>
      <c r="AF55" s="725">
        <f t="shared" si="77"/>
        <v>2</v>
      </c>
      <c r="AG55" s="725">
        <f t="shared" si="77"/>
        <v>2000000</v>
      </c>
      <c r="AH55" s="725">
        <f t="shared" si="77"/>
        <v>2</v>
      </c>
      <c r="AI55" s="725">
        <f t="shared" si="77"/>
        <v>1050000</v>
      </c>
      <c r="AJ55" s="725">
        <f t="shared" si="77"/>
        <v>1</v>
      </c>
      <c r="AK55" s="725">
        <f t="shared" si="77"/>
        <v>100000</v>
      </c>
      <c r="AL55" s="725">
        <f t="shared" si="77"/>
        <v>2</v>
      </c>
      <c r="AM55" s="725">
        <f t="shared" si="77"/>
        <v>2000000</v>
      </c>
      <c r="AN55" s="725">
        <f t="shared" si="77"/>
        <v>3</v>
      </c>
      <c r="AO55" s="725">
        <f t="shared" si="77"/>
        <v>1250000</v>
      </c>
      <c r="AP55" s="725">
        <f t="shared" si="77"/>
        <v>0</v>
      </c>
      <c r="AQ55" s="725">
        <f t="shared" si="77"/>
        <v>0</v>
      </c>
      <c r="AR55" s="725">
        <f t="shared" si="77"/>
        <v>5</v>
      </c>
      <c r="AS55" s="725">
        <f t="shared" si="77"/>
        <v>1350000</v>
      </c>
      <c r="AT55" s="725">
        <f t="shared" si="77"/>
        <v>2</v>
      </c>
      <c r="AU55" s="725">
        <f t="shared" si="77"/>
        <v>2000000</v>
      </c>
      <c r="AV55" s="725">
        <f t="shared" si="77"/>
        <v>13</v>
      </c>
      <c r="AW55" s="725">
        <f t="shared" si="77"/>
        <v>2300000</v>
      </c>
      <c r="AX55" s="725">
        <f t="shared" si="77"/>
        <v>11</v>
      </c>
      <c r="AY55" s="725">
        <f t="shared" si="77"/>
        <v>474000</v>
      </c>
      <c r="AZ55" s="725">
        <f t="shared" si="77"/>
        <v>2</v>
      </c>
      <c r="BA55" s="725">
        <f t="shared" si="77"/>
        <v>2000000</v>
      </c>
      <c r="BB55" s="725">
        <f t="shared" si="77"/>
        <v>4</v>
      </c>
      <c r="BC55" s="725">
        <f t="shared" si="77"/>
        <v>1300000</v>
      </c>
      <c r="BD55" s="725">
        <f t="shared" si="77"/>
        <v>32</v>
      </c>
      <c r="BE55" s="725">
        <f t="shared" si="77"/>
        <v>4200000</v>
      </c>
      <c r="BF55" s="725">
        <f t="shared" si="77"/>
        <v>12</v>
      </c>
      <c r="BG55" s="725">
        <f t="shared" si="77"/>
        <v>3000000</v>
      </c>
      <c r="BH55" s="725">
        <f t="shared" si="77"/>
        <v>0</v>
      </c>
      <c r="BI55" s="725">
        <f t="shared" si="77"/>
        <v>0</v>
      </c>
      <c r="BJ55" s="725">
        <f t="shared" si="77"/>
        <v>106</v>
      </c>
      <c r="BK55" s="725">
        <f t="shared" si="77"/>
        <v>29024000</v>
      </c>
      <c r="BL55" s="725">
        <f t="shared" si="77"/>
        <v>0</v>
      </c>
      <c r="BN55" s="504">
        <f>SUM(BN47:BN54)</f>
        <v>29024000</v>
      </c>
      <c r="BO55" s="504">
        <f t="shared" ref="BO55:BV55" si="78">SUM(BO47:BO54)</f>
        <v>0</v>
      </c>
      <c r="BP55" s="504">
        <f t="shared" si="78"/>
        <v>0</v>
      </c>
      <c r="BQ55" s="504">
        <f t="shared" si="78"/>
        <v>0</v>
      </c>
      <c r="BR55" s="504">
        <f t="shared" si="78"/>
        <v>29024000</v>
      </c>
      <c r="BS55" s="504">
        <f t="shared" si="78"/>
        <v>0</v>
      </c>
      <c r="BT55" s="504">
        <f t="shared" si="78"/>
        <v>0</v>
      </c>
      <c r="BU55" s="504">
        <f t="shared" si="78"/>
        <v>0</v>
      </c>
      <c r="BV55" s="504">
        <f t="shared" si="78"/>
        <v>29024000</v>
      </c>
    </row>
    <row r="56" spans="1:74" x14ac:dyDescent="0.25">
      <c r="A56" s="914"/>
      <c r="B56" s="516"/>
      <c r="C56" s="516"/>
      <c r="D56" s="516"/>
      <c r="E56" s="516"/>
      <c r="F56" s="517">
        <f>F46+F44+F40+F33+F27+F22+F15+F55</f>
        <v>17950</v>
      </c>
      <c r="G56" s="517">
        <f t="shared" ref="G56:BL56" si="79">G46+G44+G40+G33+G27+G22+G15+G55</f>
        <v>221000000</v>
      </c>
      <c r="H56" s="517">
        <f t="shared" si="79"/>
        <v>13695400</v>
      </c>
      <c r="I56" s="517">
        <f t="shared" si="79"/>
        <v>174469600</v>
      </c>
      <c r="J56" s="517">
        <f t="shared" si="79"/>
        <v>1811000</v>
      </c>
      <c r="K56" s="517">
        <f t="shared" si="79"/>
        <v>0</v>
      </c>
      <c r="L56" s="517">
        <f t="shared" si="79"/>
        <v>9058200</v>
      </c>
      <c r="M56" s="517">
        <f t="shared" si="79"/>
        <v>0</v>
      </c>
      <c r="N56" s="517">
        <f t="shared" si="79"/>
        <v>0</v>
      </c>
      <c r="O56" s="517">
        <f t="shared" si="79"/>
        <v>0</v>
      </c>
      <c r="P56" s="517">
        <f t="shared" si="79"/>
        <v>11765800</v>
      </c>
      <c r="Q56" s="517">
        <f t="shared" si="79"/>
        <v>10200000</v>
      </c>
      <c r="R56" s="517">
        <f t="shared" si="79"/>
        <v>9931.5</v>
      </c>
      <c r="S56" s="517">
        <f t="shared" si="79"/>
        <v>6820</v>
      </c>
      <c r="T56" s="517">
        <f t="shared" si="79"/>
        <v>989.5</v>
      </c>
      <c r="U56" s="517">
        <f t="shared" si="79"/>
        <v>207.60000000000002</v>
      </c>
      <c r="V56" s="517">
        <f t="shared" si="79"/>
        <v>22995900</v>
      </c>
      <c r="W56" s="517">
        <f t="shared" si="79"/>
        <v>76902600</v>
      </c>
      <c r="X56" s="517">
        <f t="shared" si="79"/>
        <v>85974700</v>
      </c>
      <c r="Y56" s="517">
        <f t="shared" si="79"/>
        <v>35377200</v>
      </c>
      <c r="Z56" s="517">
        <f t="shared" si="79"/>
        <v>144</v>
      </c>
      <c r="AA56" s="517">
        <f t="shared" si="79"/>
        <v>9951000</v>
      </c>
      <c r="AB56" s="517">
        <f t="shared" si="79"/>
        <v>99</v>
      </c>
      <c r="AC56" s="517">
        <f t="shared" si="79"/>
        <v>9369000</v>
      </c>
      <c r="AD56" s="517">
        <f t="shared" si="79"/>
        <v>174</v>
      </c>
      <c r="AE56" s="517">
        <f t="shared" si="79"/>
        <v>12270000</v>
      </c>
      <c r="AF56" s="517">
        <f t="shared" si="79"/>
        <v>217</v>
      </c>
      <c r="AG56" s="517">
        <f t="shared" si="79"/>
        <v>13780000</v>
      </c>
      <c r="AH56" s="517">
        <f t="shared" si="79"/>
        <v>141</v>
      </c>
      <c r="AI56" s="517">
        <f t="shared" si="79"/>
        <v>8018000</v>
      </c>
      <c r="AJ56" s="517">
        <f t="shared" si="79"/>
        <v>291</v>
      </c>
      <c r="AK56" s="517">
        <f t="shared" si="79"/>
        <v>10186000</v>
      </c>
      <c r="AL56" s="517">
        <f t="shared" si="79"/>
        <v>178</v>
      </c>
      <c r="AM56" s="517">
        <f t="shared" si="79"/>
        <v>15215000</v>
      </c>
      <c r="AN56" s="517">
        <f t="shared" si="79"/>
        <v>377</v>
      </c>
      <c r="AO56" s="517">
        <f t="shared" si="79"/>
        <v>15598000</v>
      </c>
      <c r="AP56" s="517">
        <f t="shared" si="79"/>
        <v>71</v>
      </c>
      <c r="AQ56" s="517">
        <f t="shared" si="79"/>
        <v>6002000</v>
      </c>
      <c r="AR56" s="517">
        <f t="shared" si="79"/>
        <v>161</v>
      </c>
      <c r="AS56" s="517">
        <f t="shared" si="79"/>
        <v>8893000</v>
      </c>
      <c r="AT56" s="517">
        <f t="shared" si="79"/>
        <v>220</v>
      </c>
      <c r="AU56" s="517">
        <f t="shared" si="79"/>
        <v>13416000</v>
      </c>
      <c r="AV56" s="517">
        <f t="shared" si="79"/>
        <v>203</v>
      </c>
      <c r="AW56" s="517">
        <f t="shared" si="79"/>
        <v>10960000</v>
      </c>
      <c r="AX56" s="517">
        <f t="shared" si="79"/>
        <v>325</v>
      </c>
      <c r="AY56" s="517">
        <f t="shared" si="79"/>
        <v>11497000</v>
      </c>
      <c r="AZ56" s="517">
        <f t="shared" si="79"/>
        <v>304</v>
      </c>
      <c r="BA56" s="517">
        <f t="shared" si="79"/>
        <v>16569000</v>
      </c>
      <c r="BB56" s="517">
        <f t="shared" si="79"/>
        <v>294</v>
      </c>
      <c r="BC56" s="517">
        <f t="shared" si="79"/>
        <v>11035000</v>
      </c>
      <c r="BD56" s="517">
        <f t="shared" si="79"/>
        <v>497</v>
      </c>
      <c r="BE56" s="517">
        <f t="shared" si="79"/>
        <v>18322000</v>
      </c>
      <c r="BF56" s="517">
        <f t="shared" si="79"/>
        <v>230</v>
      </c>
      <c r="BG56" s="517">
        <f t="shared" si="79"/>
        <v>13672000</v>
      </c>
      <c r="BH56" s="517">
        <f t="shared" si="79"/>
        <v>14024</v>
      </c>
      <c r="BI56" s="517">
        <f t="shared" si="79"/>
        <v>16247000</v>
      </c>
      <c r="BJ56" s="517">
        <f t="shared" si="79"/>
        <v>17950</v>
      </c>
      <c r="BK56" s="517">
        <f t="shared" si="79"/>
        <v>221000000</v>
      </c>
      <c r="BL56" s="517">
        <f t="shared" si="79"/>
        <v>0</v>
      </c>
      <c r="BN56" s="518">
        <f>BN46+BN44+BN40+BN33+BN27+BN22+BN15+F55</f>
        <v>51000106</v>
      </c>
      <c r="BO56" s="518">
        <f t="shared" ref="BO56:BV56" si="80">BO46+BO44+BO40+BO33+BO27+BO22+BO15+G55</f>
        <v>40421000</v>
      </c>
      <c r="BP56" s="518">
        <f t="shared" si="80"/>
        <v>125281400</v>
      </c>
      <c r="BQ56" s="518">
        <f t="shared" si="80"/>
        <v>23219200</v>
      </c>
      <c r="BR56" s="518">
        <f t="shared" si="80"/>
        <v>184776000</v>
      </c>
      <c r="BS56" s="518">
        <f t="shared" si="80"/>
        <v>0</v>
      </c>
      <c r="BT56" s="518">
        <f t="shared" si="80"/>
        <v>0</v>
      </c>
      <c r="BU56" s="518">
        <f t="shared" si="80"/>
        <v>0</v>
      </c>
      <c r="BV56" s="518">
        <f t="shared" si="80"/>
        <v>184776000</v>
      </c>
    </row>
    <row r="57" spans="1:74" x14ac:dyDescent="0.25">
      <c r="C57" s="106" t="s">
        <v>848</v>
      </c>
    </row>
    <row r="58" spans="1:74" x14ac:dyDescent="0.25">
      <c r="C58" s="39" t="s">
        <v>552</v>
      </c>
    </row>
    <row r="59" spans="1:74" x14ac:dyDescent="0.25">
      <c r="C59" s="39" t="s">
        <v>860</v>
      </c>
    </row>
    <row r="60" spans="1:74" x14ac:dyDescent="0.25">
      <c r="C60" s="39" t="s">
        <v>553</v>
      </c>
    </row>
    <row r="61" spans="1:74" x14ac:dyDescent="0.25">
      <c r="C61" s="39" t="s">
        <v>554</v>
      </c>
    </row>
    <row r="62" spans="1:74" x14ac:dyDescent="0.25">
      <c r="C62" s="39" t="s">
        <v>555</v>
      </c>
    </row>
    <row r="63" spans="1:74" x14ac:dyDescent="0.25">
      <c r="C63" s="39" t="s">
        <v>556</v>
      </c>
    </row>
    <row r="64" spans="1:74" x14ac:dyDescent="0.25">
      <c r="C64" s="39" t="s">
        <v>557</v>
      </c>
    </row>
    <row r="65" spans="3:3" x14ac:dyDescent="0.25">
      <c r="C65" s="39" t="s">
        <v>558</v>
      </c>
    </row>
    <row r="66" spans="3:3" x14ac:dyDescent="0.25">
      <c r="C66" s="39" t="s">
        <v>559</v>
      </c>
    </row>
    <row r="67" spans="3:3" x14ac:dyDescent="0.25">
      <c r="C67" s="39" t="s">
        <v>560</v>
      </c>
    </row>
    <row r="68" spans="3:3" x14ac:dyDescent="0.25">
      <c r="C68" s="39" t="s">
        <v>861</v>
      </c>
    </row>
    <row r="69" spans="3:3" x14ac:dyDescent="0.25">
      <c r="C69" s="39" t="s">
        <v>862</v>
      </c>
    </row>
    <row r="70" spans="3:3" x14ac:dyDescent="0.25">
      <c r="C70" s="39" t="s">
        <v>863</v>
      </c>
    </row>
  </sheetData>
  <mergeCells count="46">
    <mergeCell ref="BL7:BL9"/>
    <mergeCell ref="BN7:BR7"/>
    <mergeCell ref="BS7:BU7"/>
    <mergeCell ref="BV7:BV8"/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D6"/>
    <mergeCell ref="F6:G6"/>
    <mergeCell ref="A9:A56"/>
    <mergeCell ref="BF6:BG7"/>
    <mergeCell ref="BH6:BI7"/>
    <mergeCell ref="AX6:AY7"/>
    <mergeCell ref="AZ6:BA7"/>
    <mergeCell ref="BB6:BC7"/>
    <mergeCell ref="BD6:BE7"/>
    <mergeCell ref="AH6:AI7"/>
    <mergeCell ref="AJ6:AK7"/>
    <mergeCell ref="AL6:AM7"/>
    <mergeCell ref="AN6:AO7"/>
    <mergeCell ref="AP6:AQ7"/>
    <mergeCell ref="AR6:AS7"/>
    <mergeCell ref="AF6:AG7"/>
    <mergeCell ref="R6:U7"/>
    <mergeCell ref="V6:Y7"/>
    <mergeCell ref="BJ6:BK7"/>
    <mergeCell ref="A7:A8"/>
    <mergeCell ref="B7:B8"/>
    <mergeCell ref="C7:C8"/>
    <mergeCell ref="D7:D8"/>
    <mergeCell ref="E7:E8"/>
    <mergeCell ref="F7:F8"/>
    <mergeCell ref="G7:G8"/>
    <mergeCell ref="AT6:AU7"/>
    <mergeCell ref="AV6:AW7"/>
    <mergeCell ref="Z6:AA7"/>
    <mergeCell ref="AB6:AC7"/>
    <mergeCell ref="AD6:AE7"/>
    <mergeCell ref="H6:Q6"/>
  </mergeCells>
  <pageMargins left="0.47" right="0.54" top="0.75" bottom="0.75" header="0.3" footer="0.3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D58"/>
  <sheetViews>
    <sheetView topLeftCell="B1" zoomScale="90" zoomScaleNormal="90" workbookViewId="0">
      <pane xSplit="7" ySplit="8" topLeftCell="I30" activePane="bottomRight" state="frozen"/>
      <selection activeCell="B1" sqref="B1"/>
      <selection pane="topRight" activeCell="H1" sqref="H1"/>
      <selection pane="bottomLeft" activeCell="B9" sqref="B9"/>
      <selection pane="bottomRight" activeCell="AF46" sqref="AF46"/>
    </sheetView>
  </sheetViews>
  <sheetFormatPr defaultRowHeight="15.75" x14ac:dyDescent="0.25"/>
  <cols>
    <col min="1" max="2" width="12" style="459" customWidth="1"/>
    <col min="3" max="3" width="13.42578125" style="459" customWidth="1"/>
    <col min="4" max="4" width="35" style="459" customWidth="1"/>
    <col min="5" max="5" width="7.85546875" style="459" customWidth="1"/>
    <col min="6" max="6" width="15.28515625" style="460" customWidth="1"/>
    <col min="7" max="7" width="7" style="460" customWidth="1"/>
    <col min="8" max="8" width="19.85546875" style="461" customWidth="1"/>
    <col min="9" max="9" width="16.28515625" style="461" customWidth="1"/>
    <col min="10" max="11" width="16" style="461" customWidth="1"/>
    <col min="12" max="12" width="17.42578125" style="461" customWidth="1"/>
    <col min="13" max="13" width="18.7109375" style="461" customWidth="1"/>
    <col min="14" max="14" width="16" style="461" customWidth="1"/>
    <col min="15" max="15" width="5.7109375" style="461" customWidth="1"/>
    <col min="16" max="16" width="7.140625" style="460" customWidth="1"/>
    <col min="17" max="17" width="14.85546875" style="460" customWidth="1"/>
    <col min="18" max="18" width="18" style="460" customWidth="1"/>
    <col min="19" max="19" width="8" style="436" customWidth="1"/>
    <col min="20" max="20" width="7.42578125" style="436" customWidth="1"/>
    <col min="21" max="22" width="9.42578125" style="436" customWidth="1"/>
    <col min="23" max="23" width="16.28515625" style="435" customWidth="1"/>
    <col min="24" max="24" width="17" style="435" customWidth="1"/>
    <col min="25" max="25" width="17.85546875" style="435" customWidth="1"/>
    <col min="26" max="26" width="17.42578125" style="435" customWidth="1"/>
    <col min="27" max="27" width="5.140625" style="460" customWidth="1"/>
    <col min="28" max="28" width="15.85546875" style="459" customWidth="1"/>
    <col min="29" max="29" width="5" style="459" customWidth="1"/>
    <col min="30" max="30" width="13.85546875" style="459" customWidth="1"/>
    <col min="31" max="31" width="5" style="459" customWidth="1"/>
    <col min="32" max="32" width="13.85546875" style="459" customWidth="1"/>
    <col min="33" max="33" width="6.5703125" style="459" customWidth="1"/>
    <col min="34" max="34" width="14.28515625" style="459" customWidth="1"/>
    <col min="35" max="35" width="5.140625" style="459" customWidth="1"/>
    <col min="36" max="36" width="14.28515625" style="459" customWidth="1"/>
    <col min="37" max="37" width="5.7109375" style="459" customWidth="1"/>
    <col min="38" max="38" width="14" style="459" customWidth="1"/>
    <col min="39" max="39" width="5.7109375" style="459" customWidth="1"/>
    <col min="40" max="40" width="14.85546875" style="459" customWidth="1"/>
    <col min="41" max="41" width="5.140625" style="459" customWidth="1"/>
    <col min="42" max="42" width="13.140625" style="459" customWidth="1"/>
    <col min="43" max="43" width="5" style="459" customWidth="1"/>
    <col min="44" max="44" width="14" style="459" customWidth="1"/>
    <col min="45" max="45" width="6.5703125" style="459" customWidth="1"/>
    <col min="46" max="46" width="14.28515625" style="459" customWidth="1"/>
    <col min="47" max="47" width="5.140625" style="459" customWidth="1"/>
    <col min="48" max="48" width="14.85546875" style="459" customWidth="1"/>
    <col min="49" max="49" width="5.140625" style="459" customWidth="1"/>
    <col min="50" max="50" width="14.28515625" style="459" customWidth="1"/>
    <col min="51" max="51" width="5.140625" style="459" customWidth="1"/>
    <col min="52" max="52" width="14.28515625" style="459" customWidth="1"/>
    <col min="53" max="53" width="5.140625" style="459" customWidth="1"/>
    <col min="54" max="54" width="13.85546875" style="459" customWidth="1"/>
    <col min="55" max="55" width="5.140625" style="459" customWidth="1"/>
    <col min="56" max="56" width="14.28515625" style="459" customWidth="1"/>
    <col min="57" max="57" width="5.140625" style="459" customWidth="1"/>
    <col min="58" max="58" width="14.7109375" style="459" customWidth="1"/>
    <col min="59" max="59" width="5.140625" style="106" customWidth="1"/>
    <col min="60" max="60" width="14.28515625" style="106" customWidth="1"/>
    <col min="61" max="61" width="7.140625" style="106" customWidth="1"/>
    <col min="62" max="62" width="9" style="106" customWidth="1"/>
    <col min="63" max="63" width="10.5703125" style="106" customWidth="1"/>
    <col min="64" max="64" width="17.7109375" style="106" customWidth="1"/>
    <col min="65" max="65" width="33" style="347" customWidth="1"/>
    <col min="66" max="66" width="9.140625" style="106" customWidth="1"/>
    <col min="67" max="67" width="18.85546875" style="106" bestFit="1" customWidth="1"/>
    <col min="68" max="68" width="9.140625" style="106" customWidth="1"/>
    <col min="69" max="69" width="20.85546875" style="106" bestFit="1" customWidth="1"/>
    <col min="70" max="70" width="9.140625" style="106" customWidth="1"/>
    <col min="71" max="71" width="18.85546875" style="106" bestFit="1" customWidth="1"/>
    <col min="72" max="74" width="9.140625" style="106" customWidth="1"/>
    <col min="75" max="75" width="18.85546875" style="106" bestFit="1" customWidth="1"/>
    <col min="76" max="77" width="9.140625" style="106" customWidth="1"/>
    <col min="78" max="160" width="9.140625" style="106"/>
    <col min="161" max="16384" width="9.140625" style="459"/>
  </cols>
  <sheetData>
    <row r="1" spans="1:160" s="106" customFormat="1" ht="16.5" customHeight="1" x14ac:dyDescent="0.25">
      <c r="A1" s="902" t="s">
        <v>409</v>
      </c>
      <c r="B1" s="902"/>
      <c r="C1" s="902"/>
      <c r="D1" s="903" t="s">
        <v>403</v>
      </c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415"/>
      <c r="T1" s="415"/>
      <c r="U1" s="415"/>
      <c r="V1" s="415"/>
      <c r="W1" s="300"/>
      <c r="X1" s="300"/>
      <c r="Y1" s="300"/>
      <c r="Z1" s="300"/>
      <c r="AA1" s="460"/>
      <c r="BM1" s="347"/>
    </row>
    <row r="2" spans="1:160" s="106" customFormat="1" ht="16.5" customHeight="1" x14ac:dyDescent="0.25">
      <c r="A2" s="902" t="s">
        <v>405</v>
      </c>
      <c r="B2" s="902"/>
      <c r="C2" s="902"/>
      <c r="D2" s="903" t="s">
        <v>404</v>
      </c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415"/>
      <c r="T2" s="415"/>
      <c r="U2" s="415"/>
      <c r="V2" s="415"/>
      <c r="W2" s="300"/>
      <c r="X2" s="300"/>
      <c r="Y2" s="300"/>
      <c r="Z2" s="300"/>
      <c r="AA2" s="361" t="s">
        <v>787</v>
      </c>
      <c r="AB2" s="361">
        <v>8.34</v>
      </c>
      <c r="AC2" s="361"/>
      <c r="AD2" s="361">
        <v>2.85</v>
      </c>
      <c r="AE2" s="361"/>
      <c r="AF2" s="361">
        <v>8.3800000000000008</v>
      </c>
      <c r="AG2" s="361"/>
      <c r="AH2" s="361">
        <v>7.49</v>
      </c>
      <c r="AI2" s="361"/>
      <c r="AJ2" s="361">
        <v>3.33</v>
      </c>
      <c r="AK2" s="361"/>
      <c r="AL2" s="361">
        <v>6.64</v>
      </c>
      <c r="AM2" s="361"/>
      <c r="AN2" s="361">
        <v>3.67</v>
      </c>
      <c r="AO2" s="361"/>
      <c r="AP2" s="361">
        <v>5.0599999999999996</v>
      </c>
      <c r="AQ2" s="361"/>
      <c r="AR2" s="361">
        <v>5.94</v>
      </c>
      <c r="AS2" s="361"/>
      <c r="AT2" s="361">
        <v>6.85</v>
      </c>
      <c r="AU2" s="361"/>
      <c r="AV2" s="361">
        <v>7.45</v>
      </c>
      <c r="AW2" s="361"/>
      <c r="AX2" s="361">
        <v>5.13</v>
      </c>
      <c r="AY2" s="361"/>
      <c r="AZ2" s="361">
        <v>4.8600000000000003</v>
      </c>
      <c r="BA2" s="361"/>
      <c r="BB2" s="361">
        <v>5.79</v>
      </c>
      <c r="BC2" s="361"/>
      <c r="BD2" s="361">
        <v>5.3</v>
      </c>
      <c r="BE2" s="361"/>
      <c r="BF2" s="361">
        <v>3.47</v>
      </c>
      <c r="BG2" s="361"/>
      <c r="BH2" s="361">
        <v>9.42</v>
      </c>
      <c r="BI2" s="361"/>
      <c r="BJ2" s="361"/>
      <c r="BK2" s="361"/>
      <c r="BL2" s="361"/>
      <c r="BM2" s="347"/>
    </row>
    <row r="3" spans="1:160" s="106" customFormat="1" ht="21.75" customHeight="1" x14ac:dyDescent="0.25">
      <c r="A3" s="902" t="s">
        <v>406</v>
      </c>
      <c r="B3" s="902"/>
      <c r="C3" s="902"/>
      <c r="D3" s="903" t="s">
        <v>752</v>
      </c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415"/>
      <c r="T3" s="415"/>
      <c r="U3" s="415"/>
      <c r="V3" s="415"/>
      <c r="W3" s="300"/>
      <c r="X3" s="300"/>
      <c r="Y3" s="300"/>
      <c r="Z3" s="300"/>
      <c r="AA3" s="361" t="s">
        <v>785</v>
      </c>
      <c r="AB3" s="361">
        <v>48</v>
      </c>
      <c r="AC3" s="361"/>
      <c r="AD3" s="361">
        <v>23</v>
      </c>
      <c r="AE3" s="361"/>
      <c r="AF3" s="361">
        <v>80</v>
      </c>
      <c r="AG3" s="361"/>
      <c r="AH3" s="361">
        <v>105</v>
      </c>
      <c r="AI3" s="361"/>
      <c r="AJ3" s="361">
        <v>43</v>
      </c>
      <c r="AK3" s="361"/>
      <c r="AL3" s="361">
        <v>75</v>
      </c>
      <c r="AM3" s="361"/>
      <c r="AN3" s="361">
        <v>41</v>
      </c>
      <c r="AO3" s="361"/>
      <c r="AP3" s="361">
        <v>101</v>
      </c>
      <c r="AQ3" s="361"/>
      <c r="AR3" s="361">
        <v>8</v>
      </c>
      <c r="AS3" s="361"/>
      <c r="AT3" s="361">
        <v>33</v>
      </c>
      <c r="AU3" s="361"/>
      <c r="AV3" s="361">
        <v>53</v>
      </c>
      <c r="AW3" s="361"/>
      <c r="AX3" s="361">
        <v>52</v>
      </c>
      <c r="AY3" s="361"/>
      <c r="AZ3" s="361">
        <v>76</v>
      </c>
      <c r="BA3" s="361"/>
      <c r="BB3" s="361">
        <v>82</v>
      </c>
      <c r="BC3" s="361"/>
      <c r="BD3" s="361">
        <v>104</v>
      </c>
      <c r="BE3" s="361"/>
      <c r="BF3" s="361">
        <v>147</v>
      </c>
      <c r="BG3" s="361"/>
      <c r="BH3" s="361">
        <v>54</v>
      </c>
      <c r="BI3" s="361"/>
      <c r="BJ3" s="361"/>
      <c r="BK3" s="361"/>
      <c r="BL3" s="361"/>
      <c r="BM3" s="347"/>
    </row>
    <row r="4" spans="1:160" s="106" customFormat="1" ht="21.75" customHeight="1" x14ac:dyDescent="0.25">
      <c r="A4" s="902" t="s">
        <v>419</v>
      </c>
      <c r="B4" s="902"/>
      <c r="C4" s="902"/>
      <c r="D4" s="903" t="s">
        <v>202</v>
      </c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415"/>
      <c r="T4" s="415"/>
      <c r="U4" s="415"/>
      <c r="V4" s="415"/>
      <c r="W4" s="300"/>
      <c r="X4" s="300"/>
      <c r="Y4" s="300"/>
      <c r="Z4" s="300"/>
      <c r="AA4" s="361" t="s">
        <v>786</v>
      </c>
      <c r="AB4" s="453">
        <f>AB3/1125*100</f>
        <v>4.2666666666666666</v>
      </c>
      <c r="AC4" s="453">
        <f t="shared" ref="AC4:BH4" si="0">AC3/1125*100</f>
        <v>0</v>
      </c>
      <c r="AD4" s="453">
        <f t="shared" si="0"/>
        <v>2.0444444444444447</v>
      </c>
      <c r="AE4" s="453">
        <f t="shared" si="0"/>
        <v>0</v>
      </c>
      <c r="AF4" s="453">
        <f t="shared" si="0"/>
        <v>7.1111111111111107</v>
      </c>
      <c r="AG4" s="453">
        <f t="shared" si="0"/>
        <v>0</v>
      </c>
      <c r="AH4" s="453">
        <f t="shared" si="0"/>
        <v>9.3333333333333339</v>
      </c>
      <c r="AI4" s="453">
        <f t="shared" si="0"/>
        <v>0</v>
      </c>
      <c r="AJ4" s="453">
        <f t="shared" si="0"/>
        <v>3.822222222222222</v>
      </c>
      <c r="AK4" s="453">
        <f t="shared" si="0"/>
        <v>0</v>
      </c>
      <c r="AL4" s="453">
        <f t="shared" si="0"/>
        <v>6.666666666666667</v>
      </c>
      <c r="AM4" s="453">
        <f t="shared" si="0"/>
        <v>0</v>
      </c>
      <c r="AN4" s="453">
        <f t="shared" si="0"/>
        <v>3.6444444444444448</v>
      </c>
      <c r="AO4" s="453">
        <f t="shared" si="0"/>
        <v>0</v>
      </c>
      <c r="AP4" s="453">
        <f t="shared" si="0"/>
        <v>8.9777777777777779</v>
      </c>
      <c r="AQ4" s="453">
        <f t="shared" si="0"/>
        <v>0</v>
      </c>
      <c r="AR4" s="453">
        <f t="shared" si="0"/>
        <v>0.71111111111111114</v>
      </c>
      <c r="AS4" s="453">
        <f t="shared" si="0"/>
        <v>0</v>
      </c>
      <c r="AT4" s="453">
        <f t="shared" si="0"/>
        <v>2.9333333333333331</v>
      </c>
      <c r="AU4" s="453">
        <f t="shared" si="0"/>
        <v>0</v>
      </c>
      <c r="AV4" s="453">
        <f t="shared" si="0"/>
        <v>4.7111111111111112</v>
      </c>
      <c r="AW4" s="453">
        <f t="shared" si="0"/>
        <v>0</v>
      </c>
      <c r="AX4" s="453">
        <f t="shared" si="0"/>
        <v>4.6222222222222218</v>
      </c>
      <c r="AY4" s="453">
        <f t="shared" si="0"/>
        <v>0</v>
      </c>
      <c r="AZ4" s="453">
        <f t="shared" si="0"/>
        <v>6.7555555555555546</v>
      </c>
      <c r="BA4" s="453">
        <f t="shared" si="0"/>
        <v>0</v>
      </c>
      <c r="BB4" s="453">
        <f t="shared" si="0"/>
        <v>7.2888888888888896</v>
      </c>
      <c r="BC4" s="453">
        <f t="shared" si="0"/>
        <v>0</v>
      </c>
      <c r="BD4" s="453">
        <f t="shared" si="0"/>
        <v>9.2444444444444436</v>
      </c>
      <c r="BE4" s="453">
        <f t="shared" si="0"/>
        <v>0</v>
      </c>
      <c r="BF4" s="453">
        <f t="shared" si="0"/>
        <v>13.066666666666665</v>
      </c>
      <c r="BG4" s="453">
        <f t="shared" si="0"/>
        <v>0</v>
      </c>
      <c r="BH4" s="453">
        <f t="shared" si="0"/>
        <v>4.8</v>
      </c>
      <c r="BI4" s="361"/>
      <c r="BJ4" s="361"/>
      <c r="BK4" s="361"/>
      <c r="BL4" s="361"/>
      <c r="BM4" s="347"/>
    </row>
    <row r="5" spans="1:160" s="106" customFormat="1" ht="21.75" customHeight="1" x14ac:dyDescent="0.25">
      <c r="A5" s="902" t="s">
        <v>420</v>
      </c>
      <c r="B5" s="902"/>
      <c r="C5" s="902"/>
      <c r="D5" s="903" t="s">
        <v>421</v>
      </c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415"/>
      <c r="T5" s="415"/>
      <c r="U5" s="415"/>
      <c r="V5" s="415"/>
      <c r="W5" s="300"/>
      <c r="X5" s="300"/>
      <c r="Y5" s="300"/>
      <c r="Z5" s="300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47"/>
    </row>
    <row r="6" spans="1:160" ht="16.5" customHeight="1" x14ac:dyDescent="0.25">
      <c r="A6" s="934"/>
      <c r="B6" s="935"/>
      <c r="C6" s="935"/>
      <c r="D6" s="935"/>
      <c r="E6" s="936"/>
      <c r="F6" s="462"/>
      <c r="G6" s="943" t="s">
        <v>22</v>
      </c>
      <c r="H6" s="944"/>
      <c r="I6" s="906" t="s">
        <v>402</v>
      </c>
      <c r="J6" s="907"/>
      <c r="K6" s="907"/>
      <c r="L6" s="907"/>
      <c r="M6" s="907"/>
      <c r="N6" s="907"/>
      <c r="O6" s="907"/>
      <c r="P6" s="907"/>
      <c r="Q6" s="907"/>
      <c r="R6" s="908"/>
      <c r="S6" s="946" t="s">
        <v>66</v>
      </c>
      <c r="T6" s="947"/>
      <c r="U6" s="947"/>
      <c r="V6" s="948"/>
      <c r="W6" s="937" t="s">
        <v>6</v>
      </c>
      <c r="X6" s="938"/>
      <c r="Y6" s="938"/>
      <c r="Z6" s="939"/>
      <c r="AA6" s="910" t="s">
        <v>434</v>
      </c>
      <c r="AB6" s="910"/>
      <c r="AC6" s="910" t="s">
        <v>435</v>
      </c>
      <c r="AD6" s="910"/>
      <c r="AE6" s="910" t="s">
        <v>436</v>
      </c>
      <c r="AF6" s="910"/>
      <c r="AG6" s="910" t="s">
        <v>437</v>
      </c>
      <c r="AH6" s="910"/>
      <c r="AI6" s="910" t="s">
        <v>438</v>
      </c>
      <c r="AJ6" s="910"/>
      <c r="AK6" s="910" t="s">
        <v>439</v>
      </c>
      <c r="AL6" s="910"/>
      <c r="AM6" s="910" t="s">
        <v>440</v>
      </c>
      <c r="AN6" s="910"/>
      <c r="AO6" s="910" t="s">
        <v>441</v>
      </c>
      <c r="AP6" s="910"/>
      <c r="AQ6" s="910" t="s">
        <v>442</v>
      </c>
      <c r="AR6" s="910"/>
      <c r="AS6" s="910" t="s">
        <v>443</v>
      </c>
      <c r="AT6" s="910"/>
      <c r="AU6" s="910" t="s">
        <v>444</v>
      </c>
      <c r="AV6" s="910"/>
      <c r="AW6" s="910" t="s">
        <v>445</v>
      </c>
      <c r="AX6" s="910"/>
      <c r="AY6" s="910" t="s">
        <v>446</v>
      </c>
      <c r="AZ6" s="910"/>
      <c r="BA6" s="910" t="s">
        <v>447</v>
      </c>
      <c r="BB6" s="910"/>
      <c r="BC6" s="910" t="s">
        <v>448</v>
      </c>
      <c r="BD6" s="910"/>
      <c r="BE6" s="910" t="s">
        <v>449</v>
      </c>
      <c r="BF6" s="910"/>
      <c r="BG6" s="910" t="s">
        <v>450</v>
      </c>
      <c r="BH6" s="910"/>
      <c r="BI6" s="910" t="s">
        <v>451</v>
      </c>
      <c r="BJ6" s="910"/>
      <c r="BK6" s="910" t="s">
        <v>18</v>
      </c>
      <c r="BL6" s="910"/>
      <c r="BM6" s="841" t="s">
        <v>498</v>
      </c>
    </row>
    <row r="7" spans="1:160" ht="15" customHeight="1" x14ac:dyDescent="0.25">
      <c r="A7" s="463" t="s">
        <v>14</v>
      </c>
      <c r="B7" s="463"/>
      <c r="C7" s="954" t="s">
        <v>62</v>
      </c>
      <c r="D7" s="954" t="s">
        <v>12</v>
      </c>
      <c r="E7" s="954" t="s">
        <v>15</v>
      </c>
      <c r="F7" s="915" t="s">
        <v>38</v>
      </c>
      <c r="G7" s="915" t="s">
        <v>48</v>
      </c>
      <c r="H7" s="952" t="s">
        <v>16</v>
      </c>
      <c r="I7" s="67" t="s">
        <v>457</v>
      </c>
      <c r="J7" s="67" t="s">
        <v>458</v>
      </c>
      <c r="K7" s="67" t="s">
        <v>459</v>
      </c>
      <c r="L7" s="67" t="s">
        <v>460</v>
      </c>
      <c r="M7" s="67" t="s">
        <v>461</v>
      </c>
      <c r="N7" s="67" t="s">
        <v>462</v>
      </c>
      <c r="O7" s="67" t="s">
        <v>463</v>
      </c>
      <c r="P7" s="67" t="s">
        <v>464</v>
      </c>
      <c r="Q7" s="67" t="s">
        <v>465</v>
      </c>
      <c r="R7" s="67" t="s">
        <v>466</v>
      </c>
      <c r="S7" s="949"/>
      <c r="T7" s="950"/>
      <c r="U7" s="950"/>
      <c r="V7" s="951"/>
      <c r="W7" s="940"/>
      <c r="X7" s="941"/>
      <c r="Y7" s="941"/>
      <c r="Z7" s="942"/>
      <c r="AA7" s="910"/>
      <c r="AB7" s="910"/>
      <c r="AC7" s="910" t="s">
        <v>49</v>
      </c>
      <c r="AD7" s="910"/>
      <c r="AE7" s="910" t="s">
        <v>50</v>
      </c>
      <c r="AF7" s="910"/>
      <c r="AG7" s="910" t="s">
        <v>51</v>
      </c>
      <c r="AH7" s="910"/>
      <c r="AI7" s="910" t="s">
        <v>52</v>
      </c>
      <c r="AJ7" s="910"/>
      <c r="AK7" s="910" t="s">
        <v>53</v>
      </c>
      <c r="AL7" s="910"/>
      <c r="AM7" s="910" t="s">
        <v>54</v>
      </c>
      <c r="AN7" s="910"/>
      <c r="AO7" s="910" t="s">
        <v>55</v>
      </c>
      <c r="AP7" s="910"/>
      <c r="AQ7" s="910" t="s">
        <v>56</v>
      </c>
      <c r="AR7" s="910"/>
      <c r="AS7" s="910" t="s">
        <v>57</v>
      </c>
      <c r="AT7" s="910"/>
      <c r="AU7" s="910" t="s">
        <v>58</v>
      </c>
      <c r="AV7" s="910"/>
      <c r="AW7" s="910" t="s">
        <v>59</v>
      </c>
      <c r="AX7" s="910"/>
      <c r="AY7" s="910" t="s">
        <v>60</v>
      </c>
      <c r="AZ7" s="910"/>
      <c r="BA7" s="910" t="s">
        <v>61</v>
      </c>
      <c r="BB7" s="910"/>
      <c r="BC7" s="910" t="s">
        <v>45</v>
      </c>
      <c r="BD7" s="910"/>
      <c r="BE7" s="910" t="s">
        <v>42</v>
      </c>
      <c r="BF7" s="910"/>
      <c r="BG7" s="910"/>
      <c r="BH7" s="910"/>
      <c r="BI7" s="910"/>
      <c r="BJ7" s="910"/>
      <c r="BK7" s="910"/>
      <c r="BL7" s="910"/>
      <c r="BM7" s="841"/>
      <c r="BO7" s="840" t="s">
        <v>496</v>
      </c>
      <c r="BP7" s="840"/>
      <c r="BQ7" s="840"/>
      <c r="BR7" s="840"/>
      <c r="BS7" s="840"/>
      <c r="BT7" s="840" t="s">
        <v>497</v>
      </c>
      <c r="BU7" s="840"/>
      <c r="BV7" s="840"/>
      <c r="BW7" s="841" t="s">
        <v>18</v>
      </c>
    </row>
    <row r="8" spans="1:160" ht="40.5" customHeight="1" x14ac:dyDescent="0.25">
      <c r="A8" s="464"/>
      <c r="B8" s="464"/>
      <c r="C8" s="957"/>
      <c r="D8" s="957"/>
      <c r="E8" s="957"/>
      <c r="F8" s="916"/>
      <c r="G8" s="916"/>
      <c r="H8" s="953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465" t="s">
        <v>7</v>
      </c>
      <c r="T8" s="465" t="s">
        <v>8</v>
      </c>
      <c r="U8" s="465" t="s">
        <v>9</v>
      </c>
      <c r="V8" s="465" t="s">
        <v>10</v>
      </c>
      <c r="W8" s="78" t="s">
        <v>7</v>
      </c>
      <c r="X8" s="78" t="s">
        <v>8</v>
      </c>
      <c r="Y8" s="78" t="s">
        <v>9</v>
      </c>
      <c r="Z8" s="78" t="s">
        <v>10</v>
      </c>
      <c r="AA8" s="363" t="s">
        <v>15</v>
      </c>
      <c r="AB8" s="365" t="s">
        <v>16</v>
      </c>
      <c r="AC8" s="365" t="s">
        <v>15</v>
      </c>
      <c r="AD8" s="365" t="s">
        <v>16</v>
      </c>
      <c r="AE8" s="365" t="s">
        <v>15</v>
      </c>
      <c r="AF8" s="365" t="s">
        <v>16</v>
      </c>
      <c r="AG8" s="365" t="s">
        <v>15</v>
      </c>
      <c r="AH8" s="365" t="s">
        <v>16</v>
      </c>
      <c r="AI8" s="365" t="s">
        <v>15</v>
      </c>
      <c r="AJ8" s="365" t="s">
        <v>16</v>
      </c>
      <c r="AK8" s="365" t="s">
        <v>15</v>
      </c>
      <c r="AL8" s="365" t="s">
        <v>16</v>
      </c>
      <c r="AM8" s="365" t="s">
        <v>15</v>
      </c>
      <c r="AN8" s="365" t="s">
        <v>16</v>
      </c>
      <c r="AO8" s="365" t="s">
        <v>15</v>
      </c>
      <c r="AP8" s="365" t="s">
        <v>16</v>
      </c>
      <c r="AQ8" s="365" t="s">
        <v>15</v>
      </c>
      <c r="AR8" s="365" t="s">
        <v>16</v>
      </c>
      <c r="AS8" s="365" t="s">
        <v>15</v>
      </c>
      <c r="AT8" s="365" t="s">
        <v>16</v>
      </c>
      <c r="AU8" s="365" t="s">
        <v>15</v>
      </c>
      <c r="AV8" s="365" t="s">
        <v>16</v>
      </c>
      <c r="AW8" s="365" t="s">
        <v>15</v>
      </c>
      <c r="AX8" s="365" t="s">
        <v>16</v>
      </c>
      <c r="AY8" s="365" t="s">
        <v>15</v>
      </c>
      <c r="AZ8" s="365" t="s">
        <v>16</v>
      </c>
      <c r="BA8" s="365" t="s">
        <v>15</v>
      </c>
      <c r="BB8" s="365" t="s">
        <v>16</v>
      </c>
      <c r="BC8" s="365" t="s">
        <v>15</v>
      </c>
      <c r="BD8" s="365" t="s">
        <v>16</v>
      </c>
      <c r="BE8" s="365" t="s">
        <v>15</v>
      </c>
      <c r="BF8" s="365" t="s">
        <v>16</v>
      </c>
      <c r="BG8" s="365" t="s">
        <v>15</v>
      </c>
      <c r="BH8" s="365" t="s">
        <v>16</v>
      </c>
      <c r="BI8" s="365" t="s">
        <v>41</v>
      </c>
      <c r="BJ8" s="365" t="s">
        <v>16</v>
      </c>
      <c r="BK8" s="365" t="s">
        <v>15</v>
      </c>
      <c r="BL8" s="365" t="s">
        <v>16</v>
      </c>
      <c r="BM8" s="841"/>
      <c r="BO8" s="118" t="s">
        <v>487</v>
      </c>
      <c r="BP8" s="367" t="s">
        <v>488</v>
      </c>
      <c r="BQ8" s="367" t="s">
        <v>489</v>
      </c>
      <c r="BR8" s="368" t="s">
        <v>490</v>
      </c>
      <c r="BS8" s="369" t="s">
        <v>491</v>
      </c>
      <c r="BT8" s="367" t="s">
        <v>492</v>
      </c>
      <c r="BU8" s="367" t="s">
        <v>493</v>
      </c>
      <c r="BV8" s="369" t="s">
        <v>494</v>
      </c>
      <c r="BW8" s="841"/>
    </row>
    <row r="9" spans="1:160" x14ac:dyDescent="0.25">
      <c r="A9" s="954" t="s">
        <v>202</v>
      </c>
      <c r="B9" s="358"/>
      <c r="C9" s="118">
        <v>31000</v>
      </c>
      <c r="D9" s="367" t="s">
        <v>421</v>
      </c>
      <c r="E9" s="367"/>
      <c r="F9" s="367"/>
      <c r="G9" s="367"/>
      <c r="H9" s="466"/>
      <c r="I9" s="466"/>
      <c r="J9" s="466"/>
      <c r="K9" s="466"/>
      <c r="L9" s="466"/>
      <c r="M9" s="466"/>
      <c r="N9" s="466"/>
      <c r="O9" s="466"/>
      <c r="P9" s="467"/>
      <c r="Q9" s="467"/>
      <c r="R9" s="467"/>
      <c r="S9" s="468"/>
      <c r="T9" s="468"/>
      <c r="U9" s="469"/>
      <c r="V9" s="469"/>
      <c r="W9" s="470"/>
      <c r="X9" s="470"/>
      <c r="Y9" s="470"/>
      <c r="Z9" s="470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348"/>
      <c r="BO9" s="385"/>
      <c r="BP9" s="385"/>
      <c r="BQ9" s="385"/>
      <c r="BR9" s="385"/>
      <c r="BS9" s="385"/>
      <c r="BT9" s="385"/>
      <c r="BU9" s="385"/>
      <c r="BV9" s="385"/>
      <c r="BW9" s="383"/>
    </row>
    <row r="10" spans="1:160" ht="31.5" x14ac:dyDescent="0.25">
      <c r="A10" s="955"/>
      <c r="B10" s="359"/>
      <c r="C10" s="367">
        <v>31100</v>
      </c>
      <c r="D10" s="367" t="s">
        <v>203</v>
      </c>
      <c r="E10" s="367"/>
      <c r="F10" s="367"/>
      <c r="G10" s="367"/>
      <c r="H10" s="466"/>
      <c r="I10" s="466"/>
      <c r="J10" s="466"/>
      <c r="K10" s="466"/>
      <c r="L10" s="466"/>
      <c r="M10" s="466"/>
      <c r="N10" s="466"/>
      <c r="O10" s="466"/>
      <c r="P10" s="367"/>
      <c r="Q10" s="367"/>
      <c r="R10" s="367"/>
      <c r="S10" s="469"/>
      <c r="T10" s="469"/>
      <c r="U10" s="469"/>
      <c r="V10" s="469"/>
      <c r="W10" s="470"/>
      <c r="X10" s="470"/>
      <c r="Y10" s="470"/>
      <c r="Z10" s="470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348"/>
      <c r="BO10" s="385"/>
      <c r="BP10" s="385"/>
      <c r="BQ10" s="385"/>
      <c r="BR10" s="385"/>
      <c r="BS10" s="385"/>
      <c r="BT10" s="385"/>
      <c r="BU10" s="385"/>
      <c r="BV10" s="385"/>
      <c r="BW10" s="383"/>
    </row>
    <row r="11" spans="1:160" x14ac:dyDescent="0.25">
      <c r="A11" s="955"/>
      <c r="B11" s="359"/>
      <c r="C11" s="367"/>
      <c r="D11" s="210" t="s">
        <v>204</v>
      </c>
      <c r="E11" s="210" t="s">
        <v>174</v>
      </c>
      <c r="F11" s="388">
        <f>5*100000</f>
        <v>500000</v>
      </c>
      <c r="G11" s="210">
        <f>BK11</f>
        <v>0</v>
      </c>
      <c r="H11" s="466">
        <f>F11*G11</f>
        <v>0</v>
      </c>
      <c r="I11" s="466">
        <f>H11*0.005</f>
        <v>0</v>
      </c>
      <c r="J11" s="466">
        <f>H11*0.027</f>
        <v>0</v>
      </c>
      <c r="K11" s="466">
        <f>H11*0.092</f>
        <v>0</v>
      </c>
      <c r="L11" s="466">
        <f>H11*0</f>
        <v>0</v>
      </c>
      <c r="M11" s="466">
        <f>H11*0.585</f>
        <v>0</v>
      </c>
      <c r="N11" s="466">
        <f>H11*0</f>
        <v>0</v>
      </c>
      <c r="O11" s="466">
        <f>H11*0.169</f>
        <v>0</v>
      </c>
      <c r="P11" s="466">
        <f>H11*0</f>
        <v>0</v>
      </c>
      <c r="Q11" s="466">
        <f>H11*0.002</f>
        <v>0</v>
      </c>
      <c r="R11" s="466">
        <f>H11*0.12</f>
        <v>0</v>
      </c>
      <c r="S11" s="469"/>
      <c r="T11" s="469"/>
      <c r="U11" s="469"/>
      <c r="V11" s="469"/>
      <c r="W11" s="470">
        <f>S11*F11</f>
        <v>0</v>
      </c>
      <c r="X11" s="470">
        <f>T11*F11</f>
        <v>0</v>
      </c>
      <c r="Y11" s="470">
        <f>U11*F11</f>
        <v>0</v>
      </c>
      <c r="Z11" s="470">
        <f>V11*F11</f>
        <v>0</v>
      </c>
      <c r="AA11" s="47">
        <v>0</v>
      </c>
      <c r="AB11" s="134">
        <f>AA11*F11</f>
        <v>0</v>
      </c>
      <c r="AC11" s="47">
        <v>0</v>
      </c>
      <c r="AD11" s="134">
        <f>AC11*F11</f>
        <v>0</v>
      </c>
      <c r="AE11" s="47">
        <v>0</v>
      </c>
      <c r="AF11" s="134">
        <f>AE11*F11</f>
        <v>0</v>
      </c>
      <c r="AG11" s="47">
        <v>0</v>
      </c>
      <c r="AH11" s="134">
        <f>AG11*F11</f>
        <v>0</v>
      </c>
      <c r="AI11" s="47">
        <v>0</v>
      </c>
      <c r="AJ11" s="134">
        <f>AI11*F11</f>
        <v>0</v>
      </c>
      <c r="AK11" s="47">
        <v>0</v>
      </c>
      <c r="AL11" s="134">
        <f>AK11*F11</f>
        <v>0</v>
      </c>
      <c r="AM11" s="47">
        <v>0</v>
      </c>
      <c r="AN11" s="134">
        <f>AM11*F11</f>
        <v>0</v>
      </c>
      <c r="AO11" s="47">
        <v>0</v>
      </c>
      <c r="AP11" s="134">
        <f>AO11*F11</f>
        <v>0</v>
      </c>
      <c r="AQ11" s="47">
        <v>0</v>
      </c>
      <c r="AR11" s="134">
        <f>AQ11*F11</f>
        <v>0</v>
      </c>
      <c r="AS11" s="47">
        <v>0</v>
      </c>
      <c r="AT11" s="134">
        <f>AS11*F11</f>
        <v>0</v>
      </c>
      <c r="AU11" s="47">
        <v>0</v>
      </c>
      <c r="AV11" s="134">
        <f>AU11*F11</f>
        <v>0</v>
      </c>
      <c r="AW11" s="47">
        <v>0</v>
      </c>
      <c r="AX11" s="134">
        <f>AW11*F11</f>
        <v>0</v>
      </c>
      <c r="AY11" s="47">
        <v>0</v>
      </c>
      <c r="AZ11" s="134">
        <f>AY11*F11</f>
        <v>0</v>
      </c>
      <c r="BA11" s="47">
        <v>0</v>
      </c>
      <c r="BB11" s="134">
        <f>BA11*F11</f>
        <v>0</v>
      </c>
      <c r="BC11" s="47">
        <v>0</v>
      </c>
      <c r="BD11" s="134">
        <f>BC11*F11</f>
        <v>0</v>
      </c>
      <c r="BE11" s="47">
        <v>0</v>
      </c>
      <c r="BF11" s="134">
        <f>BE11*F11</f>
        <v>0</v>
      </c>
      <c r="BG11" s="47">
        <v>0</v>
      </c>
      <c r="BH11" s="134">
        <f>BG11*F11</f>
        <v>0</v>
      </c>
      <c r="BI11" s="47">
        <v>0</v>
      </c>
      <c r="BJ11" s="134">
        <f>BI11*F11</f>
        <v>0</v>
      </c>
      <c r="BK11" s="47">
        <f>AA11+AC11+AE11+AG11+AI11+AK11+AM11+AO11+AQ11+AS11+AU11+AW11+AY11+BA11+BC11+BE11+BG11+BI11</f>
        <v>0</v>
      </c>
      <c r="BL11" s="85">
        <f>AB11+AD11+AF11+AH11+AJ11+AL11+AN11+AP11+AR11+AT11+AV11+AX11+AZ11+BB11+BD11+BF11+BH11+BJ11</f>
        <v>0</v>
      </c>
      <c r="BM11" s="339" t="s">
        <v>469</v>
      </c>
      <c r="BO11" s="385"/>
      <c r="BP11" s="385"/>
      <c r="BQ11" s="385"/>
      <c r="BR11" s="385"/>
      <c r="BS11" s="385">
        <f>BO11+BP11+BQ11+BR11</f>
        <v>0</v>
      </c>
      <c r="BT11" s="385"/>
      <c r="BU11" s="385"/>
      <c r="BV11" s="385">
        <f>BT11+BU11</f>
        <v>0</v>
      </c>
      <c r="BW11" s="387">
        <f>BS11+BV11</f>
        <v>0</v>
      </c>
    </row>
    <row r="12" spans="1:160" s="100" customFormat="1" x14ac:dyDescent="0.25">
      <c r="A12" s="955"/>
      <c r="B12" s="359"/>
      <c r="C12" s="136"/>
      <c r="D12" s="210" t="s">
        <v>205</v>
      </c>
      <c r="E12" s="210" t="s">
        <v>174</v>
      </c>
      <c r="F12" s="388">
        <f>0*100000</f>
        <v>0</v>
      </c>
      <c r="G12" s="210">
        <f>BK12</f>
        <v>0</v>
      </c>
      <c r="H12" s="466">
        <f>F12*G12</f>
        <v>0</v>
      </c>
      <c r="I12" s="466">
        <f>H12*0.005</f>
        <v>0</v>
      </c>
      <c r="J12" s="466">
        <f>H12*0.027</f>
        <v>0</v>
      </c>
      <c r="K12" s="466">
        <f>H12*0.092</f>
        <v>0</v>
      </c>
      <c r="L12" s="466">
        <f>H12*0</f>
        <v>0</v>
      </c>
      <c r="M12" s="466">
        <f>H12*0.585</f>
        <v>0</v>
      </c>
      <c r="N12" s="466">
        <f>H12*0</f>
        <v>0</v>
      </c>
      <c r="O12" s="466">
        <f>H12*0.169</f>
        <v>0</v>
      </c>
      <c r="P12" s="466">
        <f>H12*0</f>
        <v>0</v>
      </c>
      <c r="Q12" s="466">
        <f>H12*0.002</f>
        <v>0</v>
      </c>
      <c r="R12" s="466">
        <f>H12*0.12</f>
        <v>0</v>
      </c>
      <c r="S12" s="143"/>
      <c r="T12" s="143"/>
      <c r="U12" s="143"/>
      <c r="V12" s="143"/>
      <c r="W12" s="470">
        <f>S12*F12</f>
        <v>0</v>
      </c>
      <c r="X12" s="470">
        <f>T12*F12</f>
        <v>0</v>
      </c>
      <c r="Y12" s="470">
        <f>U12*F12</f>
        <v>0</v>
      </c>
      <c r="Z12" s="470">
        <f>V12*F12</f>
        <v>0</v>
      </c>
      <c r="AA12" s="47">
        <v>0</v>
      </c>
      <c r="AB12" s="134">
        <f>AA12*F12</f>
        <v>0</v>
      </c>
      <c r="AC12" s="136">
        <v>0</v>
      </c>
      <c r="AD12" s="134">
        <f t="shared" ref="AD12:AD51" si="1">AC12*F12</f>
        <v>0</v>
      </c>
      <c r="AE12" s="136">
        <v>0</v>
      </c>
      <c r="AF12" s="134">
        <f t="shared" ref="AF12:AF51" si="2">AE12*F12</f>
        <v>0</v>
      </c>
      <c r="AG12" s="136">
        <v>0</v>
      </c>
      <c r="AH12" s="134">
        <f t="shared" ref="AH12:AH51" si="3">AG12*F12</f>
        <v>0</v>
      </c>
      <c r="AI12" s="136">
        <v>0</v>
      </c>
      <c r="AJ12" s="134">
        <f t="shared" ref="AJ12:AJ51" si="4">AI12*F12</f>
        <v>0</v>
      </c>
      <c r="AK12" s="136">
        <v>0</v>
      </c>
      <c r="AL12" s="134">
        <f t="shared" ref="AL12:AL51" si="5">AK12*F12</f>
        <v>0</v>
      </c>
      <c r="AM12" s="136">
        <v>0</v>
      </c>
      <c r="AN12" s="134">
        <f t="shared" ref="AN12:AN51" si="6">AM12*F12</f>
        <v>0</v>
      </c>
      <c r="AO12" s="136">
        <v>0</v>
      </c>
      <c r="AP12" s="134">
        <f t="shared" ref="AP12:AP51" si="7">AO12*F12</f>
        <v>0</v>
      </c>
      <c r="AQ12" s="136">
        <v>0</v>
      </c>
      <c r="AR12" s="134">
        <f t="shared" ref="AR12:AR51" si="8">AQ12*F12</f>
        <v>0</v>
      </c>
      <c r="AS12" s="136">
        <v>0</v>
      </c>
      <c r="AT12" s="134">
        <f t="shared" ref="AT12:AT51" si="9">AS12*F12</f>
        <v>0</v>
      </c>
      <c r="AU12" s="136">
        <v>0</v>
      </c>
      <c r="AV12" s="134">
        <f t="shared" ref="AV12:AV51" si="10">AU12*F12</f>
        <v>0</v>
      </c>
      <c r="AW12" s="136">
        <v>0</v>
      </c>
      <c r="AX12" s="134">
        <f t="shared" ref="AX12:AX51" si="11">AW12*F12</f>
        <v>0</v>
      </c>
      <c r="AY12" s="136">
        <v>0</v>
      </c>
      <c r="AZ12" s="134">
        <f t="shared" ref="AZ12:AZ51" si="12">AY12*F12</f>
        <v>0</v>
      </c>
      <c r="BA12" s="136">
        <v>0</v>
      </c>
      <c r="BB12" s="134">
        <f t="shared" ref="BB12:BB51" si="13">BA12*F12</f>
        <v>0</v>
      </c>
      <c r="BC12" s="136">
        <v>0</v>
      </c>
      <c r="BD12" s="134">
        <f t="shared" ref="BD12:BD51" si="14">BC12*F12</f>
        <v>0</v>
      </c>
      <c r="BE12" s="136">
        <v>0</v>
      </c>
      <c r="BF12" s="134">
        <f t="shared" ref="BF12:BF51" si="15">BE12*F12</f>
        <v>0</v>
      </c>
      <c r="BG12" s="136">
        <v>0</v>
      </c>
      <c r="BH12" s="134">
        <f t="shared" ref="BH12:BH51" si="16">BG12*F12</f>
        <v>0</v>
      </c>
      <c r="BI12" s="136">
        <v>0</v>
      </c>
      <c r="BJ12" s="134">
        <f t="shared" ref="BJ12:BJ51" si="17">BI12*F12</f>
        <v>0</v>
      </c>
      <c r="BK12" s="47">
        <f>AA12+AC12+AE12+AG12+AI12+AK12+AM12+AO12+AQ12+AS12+AU12+AW12+AY12+BA12+BC12+BE12+BG12+BI12</f>
        <v>0</v>
      </c>
      <c r="BL12" s="85">
        <f>AB12+AD12+AF12+AH12+AJ12+AL12+AN12+AP12+AR12+AT12+AV12+AX12+AZ12+BB12+BD12+BF12+BH12+BJ12</f>
        <v>0</v>
      </c>
      <c r="BM12" s="339" t="s">
        <v>469</v>
      </c>
      <c r="BN12" s="106"/>
      <c r="BO12" s="385"/>
      <c r="BP12" s="385"/>
      <c r="BQ12" s="385"/>
      <c r="BR12" s="385"/>
      <c r="BS12" s="385">
        <f t="shared" ref="BS12:BS19" si="18">BO12+BP12+BQ12+BR12</f>
        <v>0</v>
      </c>
      <c r="BT12" s="385"/>
      <c r="BU12" s="385"/>
      <c r="BV12" s="385">
        <f t="shared" ref="BV12:BV19" si="19">BT12+BU12</f>
        <v>0</v>
      </c>
      <c r="BW12" s="387">
        <f t="shared" ref="BW12:BW53" si="20">BS12+BV12</f>
        <v>0</v>
      </c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</row>
    <row r="13" spans="1:160" s="100" customFormat="1" x14ac:dyDescent="0.25">
      <c r="A13" s="955"/>
      <c r="B13" s="359"/>
      <c r="C13" s="472"/>
      <c r="D13" s="472"/>
      <c r="E13" s="472"/>
      <c r="F13" s="472"/>
      <c r="G13" s="472">
        <f>SUM(G11:G12)</f>
        <v>0</v>
      </c>
      <c r="H13" s="140">
        <f>SUM(H11:H12)</f>
        <v>0</v>
      </c>
      <c r="I13" s="140">
        <f t="shared" ref="I13:R13" si="21">SUM(I11:I12)</f>
        <v>0</v>
      </c>
      <c r="J13" s="140">
        <f t="shared" si="21"/>
        <v>0</v>
      </c>
      <c r="K13" s="140">
        <f t="shared" si="21"/>
        <v>0</v>
      </c>
      <c r="L13" s="140">
        <f t="shared" si="21"/>
        <v>0</v>
      </c>
      <c r="M13" s="140">
        <f t="shared" si="21"/>
        <v>0</v>
      </c>
      <c r="N13" s="140">
        <f t="shared" si="21"/>
        <v>0</v>
      </c>
      <c r="O13" s="140">
        <f t="shared" si="21"/>
        <v>0</v>
      </c>
      <c r="P13" s="140">
        <f t="shared" si="21"/>
        <v>0</v>
      </c>
      <c r="Q13" s="140">
        <f t="shared" si="21"/>
        <v>0</v>
      </c>
      <c r="R13" s="140">
        <f t="shared" si="21"/>
        <v>0</v>
      </c>
      <c r="S13" s="472">
        <f t="shared" ref="S13:Z13" si="22">SUM(S11:S12)</f>
        <v>0</v>
      </c>
      <c r="T13" s="473">
        <f t="shared" si="22"/>
        <v>0</v>
      </c>
      <c r="U13" s="472">
        <f t="shared" si="22"/>
        <v>0</v>
      </c>
      <c r="V13" s="472">
        <f t="shared" si="22"/>
        <v>0</v>
      </c>
      <c r="W13" s="140">
        <f t="shared" si="22"/>
        <v>0</v>
      </c>
      <c r="X13" s="140">
        <f t="shared" si="22"/>
        <v>0</v>
      </c>
      <c r="Y13" s="140">
        <f t="shared" si="22"/>
        <v>0</v>
      </c>
      <c r="Z13" s="140">
        <f t="shared" si="22"/>
        <v>0</v>
      </c>
      <c r="AA13" s="472">
        <f>SUM(AA11:AA12)</f>
        <v>0</v>
      </c>
      <c r="AB13" s="472">
        <f t="shared" ref="AB13:BL13" si="23">SUM(AB11:AB12)</f>
        <v>0</v>
      </c>
      <c r="AC13" s="472">
        <f t="shared" si="23"/>
        <v>0</v>
      </c>
      <c r="AD13" s="472">
        <f t="shared" si="23"/>
        <v>0</v>
      </c>
      <c r="AE13" s="472">
        <f t="shared" si="23"/>
        <v>0</v>
      </c>
      <c r="AF13" s="472">
        <f t="shared" si="23"/>
        <v>0</v>
      </c>
      <c r="AG13" s="472">
        <f t="shared" si="23"/>
        <v>0</v>
      </c>
      <c r="AH13" s="472">
        <f t="shared" si="23"/>
        <v>0</v>
      </c>
      <c r="AI13" s="472">
        <f t="shared" si="23"/>
        <v>0</v>
      </c>
      <c r="AJ13" s="472">
        <f t="shared" si="23"/>
        <v>0</v>
      </c>
      <c r="AK13" s="472">
        <f t="shared" si="23"/>
        <v>0</v>
      </c>
      <c r="AL13" s="472">
        <f t="shared" si="23"/>
        <v>0</v>
      </c>
      <c r="AM13" s="472">
        <f t="shared" si="23"/>
        <v>0</v>
      </c>
      <c r="AN13" s="472">
        <f t="shared" si="23"/>
        <v>0</v>
      </c>
      <c r="AO13" s="472">
        <f t="shared" si="23"/>
        <v>0</v>
      </c>
      <c r="AP13" s="472">
        <f t="shared" si="23"/>
        <v>0</v>
      </c>
      <c r="AQ13" s="472">
        <f t="shared" si="23"/>
        <v>0</v>
      </c>
      <c r="AR13" s="472">
        <f t="shared" si="23"/>
        <v>0</v>
      </c>
      <c r="AS13" s="472">
        <f t="shared" si="23"/>
        <v>0</v>
      </c>
      <c r="AT13" s="472">
        <f t="shared" si="23"/>
        <v>0</v>
      </c>
      <c r="AU13" s="472">
        <f t="shared" si="23"/>
        <v>0</v>
      </c>
      <c r="AV13" s="472">
        <f t="shared" si="23"/>
        <v>0</v>
      </c>
      <c r="AW13" s="472">
        <f t="shared" si="23"/>
        <v>0</v>
      </c>
      <c r="AX13" s="472">
        <f t="shared" si="23"/>
        <v>0</v>
      </c>
      <c r="AY13" s="472">
        <f t="shared" si="23"/>
        <v>0</v>
      </c>
      <c r="AZ13" s="472">
        <f t="shared" si="23"/>
        <v>0</v>
      </c>
      <c r="BA13" s="472">
        <f t="shared" si="23"/>
        <v>0</v>
      </c>
      <c r="BB13" s="472">
        <f t="shared" si="23"/>
        <v>0</v>
      </c>
      <c r="BC13" s="472">
        <f t="shared" si="23"/>
        <v>0</v>
      </c>
      <c r="BD13" s="472">
        <f t="shared" si="23"/>
        <v>0</v>
      </c>
      <c r="BE13" s="472">
        <f t="shared" si="23"/>
        <v>0</v>
      </c>
      <c r="BF13" s="472">
        <f t="shared" si="23"/>
        <v>0</v>
      </c>
      <c r="BG13" s="472">
        <f t="shared" si="23"/>
        <v>0</v>
      </c>
      <c r="BH13" s="472">
        <f t="shared" si="23"/>
        <v>0</v>
      </c>
      <c r="BI13" s="472">
        <f t="shared" si="23"/>
        <v>0</v>
      </c>
      <c r="BJ13" s="472">
        <f t="shared" si="23"/>
        <v>0</v>
      </c>
      <c r="BK13" s="472">
        <f t="shared" si="23"/>
        <v>0</v>
      </c>
      <c r="BL13" s="472">
        <f t="shared" si="23"/>
        <v>0</v>
      </c>
      <c r="BM13" s="348"/>
      <c r="BN13" s="106"/>
      <c r="BO13" s="474"/>
      <c r="BP13" s="475"/>
      <c r="BQ13" s="475"/>
      <c r="BR13" s="475"/>
      <c r="BS13" s="475">
        <f t="shared" si="18"/>
        <v>0</v>
      </c>
      <c r="BT13" s="475"/>
      <c r="BU13" s="475"/>
      <c r="BV13" s="475">
        <f t="shared" si="19"/>
        <v>0</v>
      </c>
      <c r="BW13" s="476">
        <f t="shared" si="20"/>
        <v>0</v>
      </c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</row>
    <row r="14" spans="1:160" s="100" customFormat="1" x14ac:dyDescent="0.25">
      <c r="A14" s="955"/>
      <c r="B14" s="359"/>
      <c r="C14" s="367">
        <v>31200</v>
      </c>
      <c r="D14" s="367" t="s">
        <v>206</v>
      </c>
      <c r="E14" s="136"/>
      <c r="F14" s="136"/>
      <c r="G14" s="135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43"/>
      <c r="T14" s="143"/>
      <c r="U14" s="143"/>
      <c r="V14" s="143"/>
      <c r="W14" s="134"/>
      <c r="X14" s="134"/>
      <c r="Y14" s="134"/>
      <c r="Z14" s="134"/>
      <c r="AA14" s="136"/>
      <c r="AB14" s="134">
        <f t="shared" ref="AB14:AB51" si="24">AA14*F14</f>
        <v>0</v>
      </c>
      <c r="AC14" s="136"/>
      <c r="AD14" s="134">
        <f t="shared" si="1"/>
        <v>0</v>
      </c>
      <c r="AE14" s="136"/>
      <c r="AF14" s="134">
        <f t="shared" si="2"/>
        <v>0</v>
      </c>
      <c r="AG14" s="136"/>
      <c r="AH14" s="134">
        <f t="shared" si="3"/>
        <v>0</v>
      </c>
      <c r="AI14" s="136"/>
      <c r="AJ14" s="134">
        <f t="shared" si="4"/>
        <v>0</v>
      </c>
      <c r="AK14" s="136"/>
      <c r="AL14" s="134">
        <f t="shared" si="5"/>
        <v>0</v>
      </c>
      <c r="AM14" s="136"/>
      <c r="AN14" s="134">
        <f t="shared" si="6"/>
        <v>0</v>
      </c>
      <c r="AO14" s="136"/>
      <c r="AP14" s="134">
        <f t="shared" si="7"/>
        <v>0</v>
      </c>
      <c r="AQ14" s="136"/>
      <c r="AR14" s="134">
        <f t="shared" si="8"/>
        <v>0</v>
      </c>
      <c r="AS14" s="136"/>
      <c r="AT14" s="134">
        <f t="shared" si="9"/>
        <v>0</v>
      </c>
      <c r="AU14" s="136"/>
      <c r="AV14" s="134">
        <f t="shared" si="10"/>
        <v>0</v>
      </c>
      <c r="AW14" s="136"/>
      <c r="AX14" s="134">
        <f t="shared" si="11"/>
        <v>0</v>
      </c>
      <c r="AY14" s="136"/>
      <c r="AZ14" s="134">
        <f t="shared" si="12"/>
        <v>0</v>
      </c>
      <c r="BA14" s="136"/>
      <c r="BB14" s="134">
        <f t="shared" si="13"/>
        <v>0</v>
      </c>
      <c r="BC14" s="136"/>
      <c r="BD14" s="134">
        <f t="shared" si="14"/>
        <v>0</v>
      </c>
      <c r="BE14" s="136"/>
      <c r="BF14" s="134">
        <f t="shared" si="15"/>
        <v>0</v>
      </c>
      <c r="BG14" s="136"/>
      <c r="BH14" s="134">
        <f t="shared" si="16"/>
        <v>0</v>
      </c>
      <c r="BI14" s="136"/>
      <c r="BJ14" s="134">
        <f t="shared" si="17"/>
        <v>0</v>
      </c>
      <c r="BK14" s="136"/>
      <c r="BL14" s="134"/>
      <c r="BM14" s="348"/>
      <c r="BN14" s="106"/>
      <c r="BO14" s="385"/>
      <c r="BP14" s="385"/>
      <c r="BQ14" s="385"/>
      <c r="BR14" s="385"/>
      <c r="BS14" s="385">
        <f t="shared" si="18"/>
        <v>0</v>
      </c>
      <c r="BT14" s="385"/>
      <c r="BU14" s="385"/>
      <c r="BV14" s="385">
        <f t="shared" si="19"/>
        <v>0</v>
      </c>
      <c r="BW14" s="387">
        <f t="shared" si="20"/>
        <v>0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</row>
    <row r="15" spans="1:160" s="100" customFormat="1" ht="31.5" x14ac:dyDescent="0.25">
      <c r="A15" s="955"/>
      <c r="B15" s="359"/>
      <c r="C15" s="210">
        <v>31210</v>
      </c>
      <c r="D15" s="210" t="s">
        <v>849</v>
      </c>
      <c r="E15" s="210" t="s">
        <v>209</v>
      </c>
      <c r="F15" s="388">
        <v>650000</v>
      </c>
      <c r="G15" s="210">
        <f>BK15</f>
        <v>100</v>
      </c>
      <c r="H15" s="466">
        <f>F15*G15</f>
        <v>65000000</v>
      </c>
      <c r="I15" s="466">
        <f>H15*0</f>
        <v>0</v>
      </c>
      <c r="J15" s="466">
        <f>H15*0</f>
        <v>0</v>
      </c>
      <c r="K15" s="466">
        <f>H15*0</f>
        <v>0</v>
      </c>
      <c r="L15" s="466">
        <f>H15*0</f>
        <v>0</v>
      </c>
      <c r="M15" s="466">
        <f>H15*1</f>
        <v>65000000</v>
      </c>
      <c r="N15" s="466">
        <f>H15*0</f>
        <v>0</v>
      </c>
      <c r="O15" s="466">
        <f>H15*0</f>
        <v>0</v>
      </c>
      <c r="P15" s="466">
        <f>H15*0</f>
        <v>0</v>
      </c>
      <c r="Q15" s="466">
        <f>H15*0</f>
        <v>0</v>
      </c>
      <c r="R15" s="466">
        <f>H15*0</f>
        <v>0</v>
      </c>
      <c r="S15" s="143">
        <v>15</v>
      </c>
      <c r="T15" s="143">
        <v>0</v>
      </c>
      <c r="U15" s="143">
        <v>50</v>
      </c>
      <c r="V15" s="143">
        <v>35</v>
      </c>
      <c r="W15" s="466">
        <f>S15*F15</f>
        <v>9750000</v>
      </c>
      <c r="X15" s="466">
        <f>T15*F15</f>
        <v>0</v>
      </c>
      <c r="Y15" s="466">
        <f>U15*F15</f>
        <v>32500000</v>
      </c>
      <c r="Z15" s="466">
        <f>V15*F15</f>
        <v>22750000</v>
      </c>
      <c r="AA15" s="136">
        <v>9</v>
      </c>
      <c r="AB15" s="134">
        <f t="shared" si="24"/>
        <v>5850000</v>
      </c>
      <c r="AC15" s="136">
        <v>5</v>
      </c>
      <c r="AD15" s="134">
        <f t="shared" si="1"/>
        <v>3250000</v>
      </c>
      <c r="AE15" s="136">
        <v>9</v>
      </c>
      <c r="AF15" s="134">
        <f t="shared" si="2"/>
        <v>5850000</v>
      </c>
      <c r="AG15" s="136">
        <v>6</v>
      </c>
      <c r="AH15" s="134">
        <f t="shared" si="3"/>
        <v>3900000</v>
      </c>
      <c r="AI15" s="136">
        <v>3</v>
      </c>
      <c r="AJ15" s="134">
        <f t="shared" si="4"/>
        <v>1950000</v>
      </c>
      <c r="AK15" s="136">
        <v>5</v>
      </c>
      <c r="AL15" s="134">
        <f t="shared" si="5"/>
        <v>3250000</v>
      </c>
      <c r="AM15" s="136">
        <v>5</v>
      </c>
      <c r="AN15" s="134">
        <f t="shared" si="6"/>
        <v>3250000</v>
      </c>
      <c r="AO15" s="136">
        <v>4</v>
      </c>
      <c r="AP15" s="134">
        <f t="shared" si="7"/>
        <v>2600000</v>
      </c>
      <c r="AQ15" s="136">
        <v>5</v>
      </c>
      <c r="AR15" s="134">
        <f t="shared" si="8"/>
        <v>3250000</v>
      </c>
      <c r="AS15" s="136">
        <v>8</v>
      </c>
      <c r="AT15" s="134">
        <f t="shared" si="9"/>
        <v>5200000</v>
      </c>
      <c r="AU15" s="136">
        <v>6</v>
      </c>
      <c r="AV15" s="134">
        <f t="shared" si="10"/>
        <v>3900000</v>
      </c>
      <c r="AW15" s="136">
        <v>5</v>
      </c>
      <c r="AX15" s="134">
        <f t="shared" si="11"/>
        <v>3250000</v>
      </c>
      <c r="AY15" s="136">
        <v>5</v>
      </c>
      <c r="AZ15" s="134">
        <f t="shared" si="12"/>
        <v>3250000</v>
      </c>
      <c r="BA15" s="136">
        <v>3</v>
      </c>
      <c r="BB15" s="134">
        <f t="shared" si="13"/>
        <v>1950000</v>
      </c>
      <c r="BC15" s="136">
        <v>8</v>
      </c>
      <c r="BD15" s="134">
        <f t="shared" si="14"/>
        <v>5200000</v>
      </c>
      <c r="BE15" s="136">
        <v>2</v>
      </c>
      <c r="BF15" s="134">
        <f t="shared" si="15"/>
        <v>1300000</v>
      </c>
      <c r="BG15" s="136">
        <v>12</v>
      </c>
      <c r="BH15" s="134">
        <f t="shared" si="16"/>
        <v>7800000</v>
      </c>
      <c r="BI15" s="136">
        <v>0</v>
      </c>
      <c r="BJ15" s="134">
        <f t="shared" si="17"/>
        <v>0</v>
      </c>
      <c r="BK15" s="47">
        <f t="shared" ref="BK15:BL19" si="25">AA15+AC15+AE15+AG15+AI15+AK15+AM15+AO15+AQ15+AS15+AU15+AW15+AY15+BA15+BC15+BE15+BG15+BI15</f>
        <v>100</v>
      </c>
      <c r="BL15" s="85">
        <f t="shared" si="25"/>
        <v>65000000</v>
      </c>
      <c r="BM15" s="339" t="s">
        <v>835</v>
      </c>
      <c r="BN15" s="106"/>
      <c r="BO15" s="385">
        <f>H15</f>
        <v>65000000</v>
      </c>
      <c r="BP15" s="385"/>
      <c r="BQ15" s="385"/>
      <c r="BR15" s="385"/>
      <c r="BS15" s="385">
        <f t="shared" si="18"/>
        <v>65000000</v>
      </c>
      <c r="BT15" s="385"/>
      <c r="BU15" s="385"/>
      <c r="BV15" s="385">
        <f t="shared" si="19"/>
        <v>0</v>
      </c>
      <c r="BW15" s="387">
        <f t="shared" si="20"/>
        <v>65000000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</row>
    <row r="16" spans="1:160" s="100" customFormat="1" x14ac:dyDescent="0.25">
      <c r="A16" s="955"/>
      <c r="B16" s="359"/>
      <c r="C16" s="210">
        <v>31220</v>
      </c>
      <c r="D16" s="210" t="s">
        <v>640</v>
      </c>
      <c r="E16" s="210" t="s">
        <v>209</v>
      </c>
      <c r="F16" s="388">
        <f>1*135000</f>
        <v>135000</v>
      </c>
      <c r="G16" s="210">
        <f>BK16</f>
        <v>0</v>
      </c>
      <c r="H16" s="466">
        <f>F16*G16</f>
        <v>0</v>
      </c>
      <c r="I16" s="466">
        <f>H16*0</f>
        <v>0</v>
      </c>
      <c r="J16" s="466">
        <f>H16*0</f>
        <v>0</v>
      </c>
      <c r="K16" s="466">
        <f>H16*0</f>
        <v>0</v>
      </c>
      <c r="L16" s="466">
        <f>H16*0</f>
        <v>0</v>
      </c>
      <c r="M16" s="466">
        <f>H16*0.9</f>
        <v>0</v>
      </c>
      <c r="N16" s="466">
        <f>H16*0</f>
        <v>0</v>
      </c>
      <c r="O16" s="466">
        <f>H16*0</f>
        <v>0</v>
      </c>
      <c r="P16" s="466">
        <f>H16*0</f>
        <v>0</v>
      </c>
      <c r="Q16" s="466">
        <f>H16*0</f>
        <v>0</v>
      </c>
      <c r="R16" s="466">
        <f>H16*0.1</f>
        <v>0</v>
      </c>
      <c r="S16" s="143"/>
      <c r="T16" s="143">
        <f>G16*0.2</f>
        <v>0</v>
      </c>
      <c r="U16" s="143">
        <f>G16*0.6</f>
        <v>0</v>
      </c>
      <c r="V16" s="143">
        <f>G16*0.2</f>
        <v>0</v>
      </c>
      <c r="W16" s="466">
        <f>S16*F16</f>
        <v>0</v>
      </c>
      <c r="X16" s="466">
        <f>T16*F16</f>
        <v>0</v>
      </c>
      <c r="Y16" s="466">
        <f>U16*F16</f>
        <v>0</v>
      </c>
      <c r="Z16" s="466">
        <f>V16*F16</f>
        <v>0</v>
      </c>
      <c r="AA16" s="136">
        <v>0</v>
      </c>
      <c r="AB16" s="134">
        <f t="shared" si="24"/>
        <v>0</v>
      </c>
      <c r="AC16" s="136">
        <v>0</v>
      </c>
      <c r="AD16" s="134">
        <f t="shared" si="1"/>
        <v>0</v>
      </c>
      <c r="AE16" s="136">
        <v>0</v>
      </c>
      <c r="AF16" s="134">
        <f t="shared" si="2"/>
        <v>0</v>
      </c>
      <c r="AG16" s="136">
        <v>0</v>
      </c>
      <c r="AH16" s="134">
        <f t="shared" si="3"/>
        <v>0</v>
      </c>
      <c r="AI16" s="136">
        <v>0</v>
      </c>
      <c r="AJ16" s="134">
        <f t="shared" si="4"/>
        <v>0</v>
      </c>
      <c r="AK16" s="136">
        <v>0</v>
      </c>
      <c r="AL16" s="134">
        <f t="shared" si="5"/>
        <v>0</v>
      </c>
      <c r="AM16" s="136">
        <v>0</v>
      </c>
      <c r="AN16" s="134">
        <f t="shared" si="6"/>
        <v>0</v>
      </c>
      <c r="AO16" s="136">
        <v>0</v>
      </c>
      <c r="AP16" s="134">
        <f t="shared" si="7"/>
        <v>0</v>
      </c>
      <c r="AQ16" s="136">
        <v>0</v>
      </c>
      <c r="AR16" s="134">
        <f t="shared" si="8"/>
        <v>0</v>
      </c>
      <c r="AS16" s="136">
        <v>0</v>
      </c>
      <c r="AT16" s="134">
        <f t="shared" si="9"/>
        <v>0</v>
      </c>
      <c r="AU16" s="136">
        <v>0</v>
      </c>
      <c r="AV16" s="134">
        <f t="shared" si="10"/>
        <v>0</v>
      </c>
      <c r="AW16" s="136">
        <v>0</v>
      </c>
      <c r="AX16" s="134">
        <f t="shared" si="11"/>
        <v>0</v>
      </c>
      <c r="AY16" s="136">
        <v>0</v>
      </c>
      <c r="AZ16" s="134">
        <f t="shared" si="12"/>
        <v>0</v>
      </c>
      <c r="BA16" s="136">
        <v>0</v>
      </c>
      <c r="BB16" s="134">
        <f t="shared" si="13"/>
        <v>0</v>
      </c>
      <c r="BC16" s="136">
        <v>0</v>
      </c>
      <c r="BD16" s="134">
        <f t="shared" si="14"/>
        <v>0</v>
      </c>
      <c r="BE16" s="136">
        <v>0</v>
      </c>
      <c r="BF16" s="134">
        <f t="shared" si="15"/>
        <v>0</v>
      </c>
      <c r="BG16" s="136">
        <v>0</v>
      </c>
      <c r="BH16" s="134">
        <f t="shared" si="16"/>
        <v>0</v>
      </c>
      <c r="BI16" s="136">
        <v>0</v>
      </c>
      <c r="BJ16" s="134">
        <f t="shared" si="17"/>
        <v>0</v>
      </c>
      <c r="BK16" s="47">
        <f t="shared" si="25"/>
        <v>0</v>
      </c>
      <c r="BL16" s="85">
        <f t="shared" si="25"/>
        <v>0</v>
      </c>
      <c r="BM16" s="339" t="s">
        <v>836</v>
      </c>
      <c r="BN16" s="106"/>
      <c r="BO16" s="385">
        <f>H16</f>
        <v>0</v>
      </c>
      <c r="BP16" s="385"/>
      <c r="BQ16" s="385"/>
      <c r="BR16" s="385"/>
      <c r="BS16" s="385">
        <f t="shared" si="18"/>
        <v>0</v>
      </c>
      <c r="BT16" s="385"/>
      <c r="BU16" s="385"/>
      <c r="BV16" s="385">
        <f t="shared" si="19"/>
        <v>0</v>
      </c>
      <c r="BW16" s="387">
        <f t="shared" si="20"/>
        <v>0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</row>
    <row r="17" spans="1:160" s="100" customFormat="1" ht="31.5" x14ac:dyDescent="0.25">
      <c r="A17" s="955"/>
      <c r="B17" s="359"/>
      <c r="C17" s="210">
        <v>31230</v>
      </c>
      <c r="D17" s="210" t="s">
        <v>207</v>
      </c>
      <c r="E17" s="210" t="s">
        <v>763</v>
      </c>
      <c r="F17" s="388"/>
      <c r="G17" s="210">
        <f>BK17</f>
        <v>2718</v>
      </c>
      <c r="H17" s="466">
        <f>F17*G17</f>
        <v>0</v>
      </c>
      <c r="I17" s="466">
        <f>H17*0</f>
        <v>0</v>
      </c>
      <c r="J17" s="466">
        <f>H17*0</f>
        <v>0</v>
      </c>
      <c r="K17" s="466">
        <f>H17*0</f>
        <v>0</v>
      </c>
      <c r="L17" s="466">
        <f>H17*0</f>
        <v>0</v>
      </c>
      <c r="M17" s="466">
        <f>H17*0.1</f>
        <v>0</v>
      </c>
      <c r="N17" s="466">
        <f>H17*0</f>
        <v>0</v>
      </c>
      <c r="O17" s="466">
        <f>H17*0</f>
        <v>0</v>
      </c>
      <c r="P17" s="466">
        <f>H17*0</f>
        <v>0</v>
      </c>
      <c r="Q17" s="466">
        <f>H17*0</f>
        <v>0</v>
      </c>
      <c r="R17" s="466">
        <f>H17*0.9</f>
        <v>0</v>
      </c>
      <c r="S17" s="143">
        <f>G17*0.15</f>
        <v>407.7</v>
      </c>
      <c r="T17" s="143">
        <f>G17*0.1</f>
        <v>271.8</v>
      </c>
      <c r="U17" s="143">
        <f>G17*0.6</f>
        <v>1630.8</v>
      </c>
      <c r="V17" s="143">
        <f>G17*0.15</f>
        <v>407.7</v>
      </c>
      <c r="W17" s="466">
        <f>S17*F17</f>
        <v>0</v>
      </c>
      <c r="X17" s="466">
        <f>T17*F17</f>
        <v>0</v>
      </c>
      <c r="Y17" s="466">
        <f>U17*F17</f>
        <v>0</v>
      </c>
      <c r="Z17" s="466">
        <f>V17*F17</f>
        <v>0</v>
      </c>
      <c r="AA17" s="136">
        <v>560</v>
      </c>
      <c r="AB17" s="134">
        <f t="shared" si="24"/>
        <v>0</v>
      </c>
      <c r="AC17" s="136">
        <v>150</v>
      </c>
      <c r="AD17" s="134">
        <f t="shared" si="1"/>
        <v>0</v>
      </c>
      <c r="AE17" s="136">
        <v>100</v>
      </c>
      <c r="AF17" s="134">
        <f t="shared" si="2"/>
        <v>0</v>
      </c>
      <c r="AG17" s="136">
        <v>0</v>
      </c>
      <c r="AH17" s="134">
        <f t="shared" si="3"/>
        <v>0</v>
      </c>
      <c r="AI17" s="136">
        <v>400</v>
      </c>
      <c r="AJ17" s="134">
        <f t="shared" si="4"/>
        <v>0</v>
      </c>
      <c r="AK17" s="136">
        <v>50</v>
      </c>
      <c r="AL17" s="134">
        <f t="shared" si="5"/>
        <v>0</v>
      </c>
      <c r="AM17" s="136">
        <v>0</v>
      </c>
      <c r="AN17" s="134">
        <f t="shared" si="6"/>
        <v>0</v>
      </c>
      <c r="AO17" s="136">
        <v>0</v>
      </c>
      <c r="AP17" s="134">
        <f t="shared" si="7"/>
        <v>0</v>
      </c>
      <c r="AQ17" s="136">
        <v>200</v>
      </c>
      <c r="AR17" s="134">
        <f t="shared" si="8"/>
        <v>0</v>
      </c>
      <c r="AS17" s="136">
        <v>0</v>
      </c>
      <c r="AT17" s="134">
        <f t="shared" si="9"/>
        <v>0</v>
      </c>
      <c r="AU17" s="136">
        <v>0</v>
      </c>
      <c r="AV17" s="134">
        <f t="shared" si="10"/>
        <v>0</v>
      </c>
      <c r="AW17" s="136">
        <v>10</v>
      </c>
      <c r="AX17" s="134">
        <f t="shared" si="11"/>
        <v>0</v>
      </c>
      <c r="AY17" s="136">
        <v>10</v>
      </c>
      <c r="AZ17" s="134">
        <f t="shared" si="12"/>
        <v>0</v>
      </c>
      <c r="BA17" s="136">
        <v>1238</v>
      </c>
      <c r="BB17" s="134">
        <f t="shared" si="13"/>
        <v>0</v>
      </c>
      <c r="BC17" s="136">
        <v>0</v>
      </c>
      <c r="BD17" s="134">
        <f t="shared" si="14"/>
        <v>0</v>
      </c>
      <c r="BE17" s="136">
        <v>0</v>
      </c>
      <c r="BF17" s="134">
        <f t="shared" si="15"/>
        <v>0</v>
      </c>
      <c r="BG17" s="136">
        <v>0</v>
      </c>
      <c r="BH17" s="134">
        <f t="shared" si="16"/>
        <v>0</v>
      </c>
      <c r="BI17" s="136">
        <v>0</v>
      </c>
      <c r="BJ17" s="134">
        <f t="shared" si="17"/>
        <v>0</v>
      </c>
      <c r="BK17" s="47">
        <f t="shared" si="25"/>
        <v>2718</v>
      </c>
      <c r="BL17" s="85">
        <f t="shared" si="25"/>
        <v>0</v>
      </c>
      <c r="BM17" s="339" t="s">
        <v>836</v>
      </c>
      <c r="BN17" s="106"/>
      <c r="BO17" s="385">
        <f>H17</f>
        <v>0</v>
      </c>
      <c r="BP17" s="385"/>
      <c r="BQ17" s="385"/>
      <c r="BR17" s="385"/>
      <c r="BS17" s="385">
        <f t="shared" si="18"/>
        <v>0</v>
      </c>
      <c r="BT17" s="385"/>
      <c r="BU17" s="385"/>
      <c r="BV17" s="385">
        <f t="shared" si="19"/>
        <v>0</v>
      </c>
      <c r="BW17" s="387">
        <f t="shared" si="20"/>
        <v>0</v>
      </c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</row>
    <row r="18" spans="1:160" s="100" customFormat="1" x14ac:dyDescent="0.25">
      <c r="A18" s="955"/>
      <c r="B18" s="359"/>
      <c r="C18" s="210"/>
      <c r="D18" s="210" t="s">
        <v>693</v>
      </c>
      <c r="E18" s="210" t="s">
        <v>209</v>
      </c>
      <c r="F18" s="388">
        <v>150000</v>
      </c>
      <c r="G18" s="210">
        <f>BK18</f>
        <v>20</v>
      </c>
      <c r="H18" s="466">
        <f>F18*G18</f>
        <v>3000000</v>
      </c>
      <c r="I18" s="466">
        <f>H18*0.2</f>
        <v>600000</v>
      </c>
      <c r="J18" s="466">
        <f>H18*0.8</f>
        <v>2400000</v>
      </c>
      <c r="K18" s="466"/>
      <c r="L18" s="466"/>
      <c r="M18" s="466"/>
      <c r="N18" s="466"/>
      <c r="O18" s="466"/>
      <c r="P18" s="466"/>
      <c r="Q18" s="466"/>
      <c r="R18" s="466"/>
      <c r="S18" s="143">
        <v>4</v>
      </c>
      <c r="T18" s="143">
        <v>0</v>
      </c>
      <c r="U18" s="143">
        <v>12</v>
      </c>
      <c r="V18" s="143">
        <v>4</v>
      </c>
      <c r="W18" s="466">
        <f>S18*F18</f>
        <v>600000</v>
      </c>
      <c r="X18" s="466">
        <f>T18*F18</f>
        <v>0</v>
      </c>
      <c r="Y18" s="466">
        <f>U18*F18</f>
        <v>1800000</v>
      </c>
      <c r="Z18" s="466">
        <f>V18*F18</f>
        <v>600000</v>
      </c>
      <c r="AA18" s="136">
        <v>0</v>
      </c>
      <c r="AB18" s="134">
        <f t="shared" si="24"/>
        <v>0</v>
      </c>
      <c r="AC18" s="136">
        <v>5</v>
      </c>
      <c r="AD18" s="134">
        <f t="shared" si="1"/>
        <v>750000</v>
      </c>
      <c r="AE18" s="136"/>
      <c r="AF18" s="134">
        <f t="shared" si="2"/>
        <v>0</v>
      </c>
      <c r="AG18" s="136"/>
      <c r="AH18" s="134">
        <f t="shared" si="3"/>
        <v>0</v>
      </c>
      <c r="AI18" s="136"/>
      <c r="AJ18" s="134">
        <f t="shared" si="4"/>
        <v>0</v>
      </c>
      <c r="AK18" s="136"/>
      <c r="AL18" s="134">
        <f t="shared" si="5"/>
        <v>0</v>
      </c>
      <c r="AM18" s="136"/>
      <c r="AN18" s="134">
        <f t="shared" si="6"/>
        <v>0</v>
      </c>
      <c r="AO18" s="136">
        <v>0</v>
      </c>
      <c r="AP18" s="134">
        <f t="shared" si="7"/>
        <v>0</v>
      </c>
      <c r="AQ18" s="136"/>
      <c r="AR18" s="134">
        <f t="shared" si="8"/>
        <v>0</v>
      </c>
      <c r="AS18" s="136">
        <v>5</v>
      </c>
      <c r="AT18" s="134">
        <f t="shared" si="9"/>
        <v>750000</v>
      </c>
      <c r="AU18" s="136"/>
      <c r="AV18" s="134">
        <f t="shared" si="10"/>
        <v>0</v>
      </c>
      <c r="AW18" s="136">
        <v>5</v>
      </c>
      <c r="AX18" s="134">
        <f t="shared" si="11"/>
        <v>750000</v>
      </c>
      <c r="AY18" s="136"/>
      <c r="AZ18" s="134">
        <f t="shared" si="12"/>
        <v>0</v>
      </c>
      <c r="BA18" s="136">
        <v>2</v>
      </c>
      <c r="BB18" s="134">
        <f t="shared" si="13"/>
        <v>300000</v>
      </c>
      <c r="BC18" s="136">
        <v>3</v>
      </c>
      <c r="BD18" s="134">
        <f t="shared" si="14"/>
        <v>450000</v>
      </c>
      <c r="BE18" s="136"/>
      <c r="BF18" s="134">
        <f t="shared" si="15"/>
        <v>0</v>
      </c>
      <c r="BG18" s="136"/>
      <c r="BH18" s="134">
        <f t="shared" si="16"/>
        <v>0</v>
      </c>
      <c r="BI18" s="136"/>
      <c r="BJ18" s="134">
        <f t="shared" si="17"/>
        <v>0</v>
      </c>
      <c r="BK18" s="47">
        <f t="shared" si="25"/>
        <v>20</v>
      </c>
      <c r="BL18" s="85">
        <f t="shared" si="25"/>
        <v>3000000</v>
      </c>
      <c r="BM18" s="339" t="s">
        <v>475</v>
      </c>
      <c r="BN18" s="106"/>
      <c r="BO18" s="385">
        <f>H18</f>
        <v>3000000</v>
      </c>
      <c r="BP18" s="385"/>
      <c r="BQ18" s="385"/>
      <c r="BR18" s="385"/>
      <c r="BS18" s="385">
        <f t="shared" si="18"/>
        <v>3000000</v>
      </c>
      <c r="BT18" s="385"/>
      <c r="BU18" s="385"/>
      <c r="BV18" s="385"/>
      <c r="BW18" s="387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</row>
    <row r="19" spans="1:160" s="100" customFormat="1" x14ac:dyDescent="0.25">
      <c r="A19" s="955"/>
      <c r="B19" s="359"/>
      <c r="C19" s="210">
        <v>31240</v>
      </c>
      <c r="D19" s="210" t="s">
        <v>208</v>
      </c>
      <c r="E19" s="210" t="s">
        <v>72</v>
      </c>
      <c r="F19" s="388">
        <f>4*100000</f>
        <v>400000</v>
      </c>
      <c r="G19" s="210">
        <f>BK19</f>
        <v>9</v>
      </c>
      <c r="H19" s="466">
        <f>F19*G19</f>
        <v>3600000</v>
      </c>
      <c r="I19" s="466">
        <f>H19*0.2</f>
        <v>720000</v>
      </c>
      <c r="J19" s="466">
        <f>H19*0.8</f>
        <v>2880000</v>
      </c>
      <c r="K19" s="466">
        <f>H19*0</f>
        <v>0</v>
      </c>
      <c r="L19" s="466">
        <f>H19*0</f>
        <v>0</v>
      </c>
      <c r="M19" s="466">
        <f>H19*0</f>
        <v>0</v>
      </c>
      <c r="N19" s="466">
        <f>H19*0</f>
        <v>0</v>
      </c>
      <c r="O19" s="466">
        <f>H19*0</f>
        <v>0</v>
      </c>
      <c r="P19" s="466">
        <f>H19*0</f>
        <v>0</v>
      </c>
      <c r="Q19" s="466">
        <f>H19*0</f>
        <v>0</v>
      </c>
      <c r="R19" s="466">
        <f>H19*0</f>
        <v>0</v>
      </c>
      <c r="S19" s="143">
        <v>2</v>
      </c>
      <c r="T19" s="143">
        <v>0</v>
      </c>
      <c r="U19" s="143">
        <v>5</v>
      </c>
      <c r="V19" s="143">
        <v>2</v>
      </c>
      <c r="W19" s="466">
        <f>S19*F19</f>
        <v>800000</v>
      </c>
      <c r="X19" s="466">
        <f>T19*F19</f>
        <v>0</v>
      </c>
      <c r="Y19" s="466">
        <f>U19*F19</f>
        <v>2000000</v>
      </c>
      <c r="Z19" s="466">
        <f>V19*F19</f>
        <v>800000</v>
      </c>
      <c r="AA19" s="136">
        <v>1</v>
      </c>
      <c r="AB19" s="134">
        <f t="shared" si="24"/>
        <v>400000</v>
      </c>
      <c r="AC19" s="136">
        <v>1</v>
      </c>
      <c r="AD19" s="134">
        <f t="shared" si="1"/>
        <v>400000</v>
      </c>
      <c r="AE19" s="136">
        <v>0</v>
      </c>
      <c r="AF19" s="134">
        <f t="shared" si="2"/>
        <v>0</v>
      </c>
      <c r="AG19" s="136">
        <v>0</v>
      </c>
      <c r="AH19" s="134">
        <f t="shared" si="3"/>
        <v>0</v>
      </c>
      <c r="AI19" s="136">
        <v>1</v>
      </c>
      <c r="AJ19" s="134">
        <f t="shared" si="4"/>
        <v>400000</v>
      </c>
      <c r="AK19" s="136">
        <v>0</v>
      </c>
      <c r="AL19" s="134">
        <f t="shared" si="5"/>
        <v>0</v>
      </c>
      <c r="AM19" s="136">
        <v>1</v>
      </c>
      <c r="AN19" s="134">
        <f t="shared" si="6"/>
        <v>400000</v>
      </c>
      <c r="AO19" s="136">
        <v>1</v>
      </c>
      <c r="AP19" s="134">
        <f t="shared" si="7"/>
        <v>400000</v>
      </c>
      <c r="AQ19" s="136">
        <v>0</v>
      </c>
      <c r="AR19" s="134">
        <f t="shared" si="8"/>
        <v>0</v>
      </c>
      <c r="AS19" s="136">
        <v>1</v>
      </c>
      <c r="AT19" s="134">
        <f t="shared" si="9"/>
        <v>400000</v>
      </c>
      <c r="AU19" s="136">
        <v>0</v>
      </c>
      <c r="AV19" s="134">
        <f t="shared" si="10"/>
        <v>0</v>
      </c>
      <c r="AW19" s="136">
        <v>1</v>
      </c>
      <c r="AX19" s="134">
        <f t="shared" si="11"/>
        <v>400000</v>
      </c>
      <c r="AY19" s="136">
        <v>0</v>
      </c>
      <c r="AZ19" s="134">
        <f t="shared" si="12"/>
        <v>0</v>
      </c>
      <c r="BA19" s="136">
        <v>1</v>
      </c>
      <c r="BB19" s="134">
        <f t="shared" si="13"/>
        <v>400000</v>
      </c>
      <c r="BC19" s="136">
        <v>1</v>
      </c>
      <c r="BD19" s="134">
        <f t="shared" si="14"/>
        <v>400000</v>
      </c>
      <c r="BE19" s="136">
        <v>0</v>
      </c>
      <c r="BF19" s="134">
        <f t="shared" si="15"/>
        <v>0</v>
      </c>
      <c r="BG19" s="136">
        <v>0</v>
      </c>
      <c r="BH19" s="134">
        <f t="shared" si="16"/>
        <v>0</v>
      </c>
      <c r="BI19" s="136">
        <v>0</v>
      </c>
      <c r="BJ19" s="134">
        <f t="shared" si="17"/>
        <v>0</v>
      </c>
      <c r="BK19" s="47">
        <f t="shared" si="25"/>
        <v>9</v>
      </c>
      <c r="BL19" s="85">
        <f t="shared" si="25"/>
        <v>3600000</v>
      </c>
      <c r="BM19" s="339" t="s">
        <v>475</v>
      </c>
      <c r="BN19" s="106"/>
      <c r="BO19" s="385">
        <f>H19</f>
        <v>3600000</v>
      </c>
      <c r="BP19" s="385"/>
      <c r="BQ19" s="385"/>
      <c r="BR19" s="385"/>
      <c r="BS19" s="385">
        <f t="shared" si="18"/>
        <v>3600000</v>
      </c>
      <c r="BT19" s="385"/>
      <c r="BU19" s="385"/>
      <c r="BV19" s="385">
        <f t="shared" si="19"/>
        <v>0</v>
      </c>
      <c r="BW19" s="387">
        <f t="shared" si="20"/>
        <v>3600000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</row>
    <row r="20" spans="1:160" s="477" customFormat="1" x14ac:dyDescent="0.25">
      <c r="A20" s="955"/>
      <c r="B20" s="359"/>
      <c r="C20" s="138"/>
      <c r="D20" s="137"/>
      <c r="E20" s="138"/>
      <c r="F20" s="138"/>
      <c r="G20" s="139">
        <f>SUM(G15:G19)</f>
        <v>2847</v>
      </c>
      <c r="H20" s="140">
        <f>SUM(H15:H19)</f>
        <v>71600000</v>
      </c>
      <c r="I20" s="140">
        <f t="shared" ref="I20:R20" si="26">SUM(I15:I19)</f>
        <v>1320000</v>
      </c>
      <c r="J20" s="140">
        <f t="shared" si="26"/>
        <v>5280000</v>
      </c>
      <c r="K20" s="140">
        <f t="shared" si="26"/>
        <v>0</v>
      </c>
      <c r="L20" s="140">
        <f t="shared" si="26"/>
        <v>0</v>
      </c>
      <c r="M20" s="140">
        <f t="shared" si="26"/>
        <v>65000000</v>
      </c>
      <c r="N20" s="140">
        <f t="shared" si="26"/>
        <v>0</v>
      </c>
      <c r="O20" s="140">
        <f t="shared" si="26"/>
        <v>0</v>
      </c>
      <c r="P20" s="140">
        <f t="shared" si="26"/>
        <v>0</v>
      </c>
      <c r="Q20" s="140">
        <f t="shared" si="26"/>
        <v>0</v>
      </c>
      <c r="R20" s="140">
        <f t="shared" si="26"/>
        <v>0</v>
      </c>
      <c r="S20" s="139">
        <f>SUM(S15:S19)</f>
        <v>428.7</v>
      </c>
      <c r="T20" s="139">
        <f t="shared" ref="T20:Z20" si="27">SUM(T15:T19)</f>
        <v>271.8</v>
      </c>
      <c r="U20" s="139">
        <f t="shared" si="27"/>
        <v>1697.8</v>
      </c>
      <c r="V20" s="139">
        <f t="shared" si="27"/>
        <v>448.7</v>
      </c>
      <c r="W20" s="139">
        <f t="shared" si="27"/>
        <v>11150000</v>
      </c>
      <c r="X20" s="139">
        <f t="shared" si="27"/>
        <v>0</v>
      </c>
      <c r="Y20" s="139">
        <f t="shared" si="27"/>
        <v>36300000</v>
      </c>
      <c r="Z20" s="139">
        <f t="shared" si="27"/>
        <v>24150000</v>
      </c>
      <c r="AA20" s="203">
        <f>SUM(AA15:AA19)</f>
        <v>570</v>
      </c>
      <c r="AB20" s="203">
        <f t="shared" ref="AB20:BL20" si="28">SUM(AB15:AB19)</f>
        <v>6250000</v>
      </c>
      <c r="AC20" s="203">
        <f t="shared" si="28"/>
        <v>161</v>
      </c>
      <c r="AD20" s="203">
        <f t="shared" si="28"/>
        <v>4400000</v>
      </c>
      <c r="AE20" s="203">
        <f t="shared" si="28"/>
        <v>109</v>
      </c>
      <c r="AF20" s="203">
        <f t="shared" si="28"/>
        <v>5850000</v>
      </c>
      <c r="AG20" s="203">
        <f t="shared" si="28"/>
        <v>6</v>
      </c>
      <c r="AH20" s="203">
        <f t="shared" si="28"/>
        <v>3900000</v>
      </c>
      <c r="AI20" s="203">
        <f t="shared" si="28"/>
        <v>404</v>
      </c>
      <c r="AJ20" s="203">
        <f t="shared" si="28"/>
        <v>2350000</v>
      </c>
      <c r="AK20" s="203">
        <f t="shared" si="28"/>
        <v>55</v>
      </c>
      <c r="AL20" s="203">
        <f t="shared" si="28"/>
        <v>3250000</v>
      </c>
      <c r="AM20" s="203">
        <f t="shared" si="28"/>
        <v>6</v>
      </c>
      <c r="AN20" s="203">
        <f t="shared" si="28"/>
        <v>3650000</v>
      </c>
      <c r="AO20" s="203">
        <f t="shared" si="28"/>
        <v>5</v>
      </c>
      <c r="AP20" s="203">
        <f t="shared" si="28"/>
        <v>3000000</v>
      </c>
      <c r="AQ20" s="203">
        <f t="shared" si="28"/>
        <v>205</v>
      </c>
      <c r="AR20" s="203">
        <f t="shared" si="28"/>
        <v>3250000</v>
      </c>
      <c r="AS20" s="203">
        <f t="shared" si="28"/>
        <v>14</v>
      </c>
      <c r="AT20" s="203">
        <f t="shared" si="28"/>
        <v>6350000</v>
      </c>
      <c r="AU20" s="203">
        <f t="shared" si="28"/>
        <v>6</v>
      </c>
      <c r="AV20" s="203">
        <f t="shared" si="28"/>
        <v>3900000</v>
      </c>
      <c r="AW20" s="203">
        <f t="shared" si="28"/>
        <v>21</v>
      </c>
      <c r="AX20" s="203">
        <f t="shared" si="28"/>
        <v>4400000</v>
      </c>
      <c r="AY20" s="203">
        <f t="shared" si="28"/>
        <v>15</v>
      </c>
      <c r="AZ20" s="203">
        <f t="shared" si="28"/>
        <v>3250000</v>
      </c>
      <c r="BA20" s="203">
        <f t="shared" si="28"/>
        <v>1244</v>
      </c>
      <c r="BB20" s="203">
        <f t="shared" si="28"/>
        <v>2650000</v>
      </c>
      <c r="BC20" s="203">
        <f t="shared" si="28"/>
        <v>12</v>
      </c>
      <c r="BD20" s="203">
        <f t="shared" si="28"/>
        <v>6050000</v>
      </c>
      <c r="BE20" s="203">
        <f t="shared" si="28"/>
        <v>2</v>
      </c>
      <c r="BF20" s="203">
        <f t="shared" si="28"/>
        <v>1300000</v>
      </c>
      <c r="BG20" s="203">
        <f t="shared" si="28"/>
        <v>12</v>
      </c>
      <c r="BH20" s="203">
        <f t="shared" si="28"/>
        <v>7800000</v>
      </c>
      <c r="BI20" s="203">
        <f t="shared" si="28"/>
        <v>0</v>
      </c>
      <c r="BJ20" s="203">
        <f t="shared" si="28"/>
        <v>0</v>
      </c>
      <c r="BK20" s="203">
        <f t="shared" si="28"/>
        <v>2847</v>
      </c>
      <c r="BL20" s="203">
        <f t="shared" si="28"/>
        <v>71600000</v>
      </c>
      <c r="BM20" s="348"/>
      <c r="BN20" s="106"/>
      <c r="BO20" s="75">
        <f t="shared" ref="BO20:BV20" si="29">SUM(BO15:BO19)</f>
        <v>71600000</v>
      </c>
      <c r="BP20" s="75">
        <f t="shared" si="29"/>
        <v>0</v>
      </c>
      <c r="BQ20" s="75">
        <f t="shared" si="29"/>
        <v>0</v>
      </c>
      <c r="BR20" s="75">
        <f t="shared" si="29"/>
        <v>0</v>
      </c>
      <c r="BS20" s="75">
        <f t="shared" si="29"/>
        <v>71600000</v>
      </c>
      <c r="BT20" s="75">
        <f t="shared" si="29"/>
        <v>0</v>
      </c>
      <c r="BU20" s="75">
        <f t="shared" si="29"/>
        <v>0</v>
      </c>
      <c r="BV20" s="75">
        <f t="shared" si="29"/>
        <v>0</v>
      </c>
      <c r="BW20" s="476">
        <f t="shared" si="20"/>
        <v>71600000</v>
      </c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</row>
    <row r="21" spans="1:160" x14ac:dyDescent="0.25">
      <c r="A21" s="955"/>
      <c r="B21" s="359"/>
      <c r="C21" s="367">
        <v>31300</v>
      </c>
      <c r="D21" s="367" t="s">
        <v>210</v>
      </c>
      <c r="E21" s="210"/>
      <c r="F21" s="388"/>
      <c r="G21" s="210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87"/>
      <c r="T21" s="143">
        <f>G21*0.2</f>
        <v>0</v>
      </c>
      <c r="U21" s="143">
        <f>G21*0.6</f>
        <v>0</v>
      </c>
      <c r="V21" s="143">
        <f>G21*0.2</f>
        <v>0</v>
      </c>
      <c r="W21" s="85"/>
      <c r="X21" s="134">
        <f>H21*0.2</f>
        <v>0</v>
      </c>
      <c r="Y21" s="134">
        <f>H21*0.6</f>
        <v>0</v>
      </c>
      <c r="Z21" s="134">
        <f>H21*0.2</f>
        <v>0</v>
      </c>
      <c r="AA21" s="47"/>
      <c r="AB21" s="134">
        <f t="shared" si="24"/>
        <v>0</v>
      </c>
      <c r="AC21" s="47"/>
      <c r="AD21" s="134">
        <f t="shared" si="1"/>
        <v>0</v>
      </c>
      <c r="AE21" s="47"/>
      <c r="AF21" s="134">
        <f t="shared" si="2"/>
        <v>0</v>
      </c>
      <c r="AG21" s="47"/>
      <c r="AH21" s="134">
        <f t="shared" si="3"/>
        <v>0</v>
      </c>
      <c r="AI21" s="47"/>
      <c r="AJ21" s="134">
        <f t="shared" si="4"/>
        <v>0</v>
      </c>
      <c r="AK21" s="47"/>
      <c r="AL21" s="134">
        <f t="shared" si="5"/>
        <v>0</v>
      </c>
      <c r="AM21" s="47"/>
      <c r="AN21" s="134">
        <f t="shared" si="6"/>
        <v>0</v>
      </c>
      <c r="AO21" s="47"/>
      <c r="AP21" s="134">
        <f t="shared" si="7"/>
        <v>0</v>
      </c>
      <c r="AQ21" s="47"/>
      <c r="AR21" s="134">
        <f t="shared" si="8"/>
        <v>0</v>
      </c>
      <c r="AS21" s="47"/>
      <c r="AT21" s="134">
        <f t="shared" si="9"/>
        <v>0</v>
      </c>
      <c r="AU21" s="47"/>
      <c r="AV21" s="134">
        <f t="shared" si="10"/>
        <v>0</v>
      </c>
      <c r="AW21" s="47"/>
      <c r="AX21" s="134">
        <f t="shared" si="11"/>
        <v>0</v>
      </c>
      <c r="AY21" s="47"/>
      <c r="AZ21" s="134">
        <f t="shared" si="12"/>
        <v>0</v>
      </c>
      <c r="BA21" s="47"/>
      <c r="BB21" s="134">
        <f t="shared" si="13"/>
        <v>0</v>
      </c>
      <c r="BC21" s="47"/>
      <c r="BD21" s="134">
        <f t="shared" si="14"/>
        <v>0</v>
      </c>
      <c r="BE21" s="47"/>
      <c r="BF21" s="134">
        <f t="shared" si="15"/>
        <v>0</v>
      </c>
      <c r="BG21" s="47"/>
      <c r="BH21" s="134">
        <f t="shared" si="16"/>
        <v>0</v>
      </c>
      <c r="BI21" s="47"/>
      <c r="BJ21" s="134">
        <f t="shared" si="17"/>
        <v>0</v>
      </c>
      <c r="BK21" s="47"/>
      <c r="BL21" s="85"/>
      <c r="BM21" s="348"/>
      <c r="BO21" s="385"/>
      <c r="BP21" s="385"/>
      <c r="BQ21" s="385"/>
      <c r="BR21" s="385"/>
      <c r="BS21" s="385"/>
      <c r="BT21" s="385"/>
      <c r="BU21" s="385"/>
      <c r="BV21" s="385"/>
      <c r="BW21" s="387">
        <f t="shared" si="20"/>
        <v>0</v>
      </c>
    </row>
    <row r="22" spans="1:160" x14ac:dyDescent="0.25">
      <c r="A22" s="955"/>
      <c r="B22" s="359"/>
      <c r="C22" s="210">
        <v>31310</v>
      </c>
      <c r="D22" s="210" t="s">
        <v>211</v>
      </c>
      <c r="E22" s="210" t="s">
        <v>209</v>
      </c>
      <c r="F22" s="388">
        <f>1*100000</f>
        <v>100000</v>
      </c>
      <c r="G22" s="210">
        <f>BK22</f>
        <v>0</v>
      </c>
      <c r="H22" s="466">
        <f>F22*G22</f>
        <v>0</v>
      </c>
      <c r="I22" s="466">
        <f>H22*0</f>
        <v>0</v>
      </c>
      <c r="J22" s="466">
        <f>H22*0</f>
        <v>0</v>
      </c>
      <c r="K22" s="466">
        <f>H22*0</f>
        <v>0</v>
      </c>
      <c r="L22" s="466">
        <f>H22*0</f>
        <v>0</v>
      </c>
      <c r="M22" s="466">
        <f>J22*0</f>
        <v>0</v>
      </c>
      <c r="N22" s="466">
        <f>H22*0</f>
        <v>0</v>
      </c>
      <c r="O22" s="466">
        <f>H22*0.9</f>
        <v>0</v>
      </c>
      <c r="P22" s="466">
        <f>H22*0</f>
        <v>0</v>
      </c>
      <c r="Q22" s="466">
        <f>H22*0</f>
        <v>0</v>
      </c>
      <c r="R22" s="466">
        <f>H22*0.1</f>
        <v>0</v>
      </c>
      <c r="S22" s="187"/>
      <c r="T22" s="143">
        <f>G22*0.2</f>
        <v>0</v>
      </c>
      <c r="U22" s="143">
        <f>G22*0.6</f>
        <v>0</v>
      </c>
      <c r="V22" s="143">
        <f>G22*0.2</f>
        <v>0</v>
      </c>
      <c r="W22" s="466">
        <f>S22*F22</f>
        <v>0</v>
      </c>
      <c r="X22" s="466">
        <f>T22*F22</f>
        <v>0</v>
      </c>
      <c r="Y22" s="466">
        <f>U22*F22</f>
        <v>0</v>
      </c>
      <c r="Z22" s="466">
        <f>V22*F22</f>
        <v>0</v>
      </c>
      <c r="AA22" s="47">
        <v>0</v>
      </c>
      <c r="AB22" s="134">
        <f t="shared" si="24"/>
        <v>0</v>
      </c>
      <c r="AC22" s="47">
        <v>0</v>
      </c>
      <c r="AD22" s="134">
        <f t="shared" si="1"/>
        <v>0</v>
      </c>
      <c r="AE22" s="47">
        <v>0</v>
      </c>
      <c r="AF22" s="134">
        <f t="shared" si="2"/>
        <v>0</v>
      </c>
      <c r="AG22" s="47">
        <v>0</v>
      </c>
      <c r="AH22" s="134">
        <f t="shared" si="3"/>
        <v>0</v>
      </c>
      <c r="AI22" s="47">
        <v>0</v>
      </c>
      <c r="AJ22" s="134">
        <f t="shared" si="4"/>
        <v>0</v>
      </c>
      <c r="AK22" s="47">
        <v>0</v>
      </c>
      <c r="AL22" s="134">
        <f t="shared" si="5"/>
        <v>0</v>
      </c>
      <c r="AM22" s="47">
        <v>0</v>
      </c>
      <c r="AN22" s="134">
        <f t="shared" si="6"/>
        <v>0</v>
      </c>
      <c r="AO22" s="47">
        <v>0</v>
      </c>
      <c r="AP22" s="134">
        <f t="shared" si="7"/>
        <v>0</v>
      </c>
      <c r="AQ22" s="47">
        <v>0</v>
      </c>
      <c r="AR22" s="134">
        <f t="shared" si="8"/>
        <v>0</v>
      </c>
      <c r="AS22" s="47">
        <v>0</v>
      </c>
      <c r="AT22" s="134">
        <f t="shared" si="9"/>
        <v>0</v>
      </c>
      <c r="AU22" s="47">
        <v>0</v>
      </c>
      <c r="AV22" s="134">
        <f t="shared" si="10"/>
        <v>0</v>
      </c>
      <c r="AW22" s="47">
        <v>0</v>
      </c>
      <c r="AX22" s="134">
        <f t="shared" si="11"/>
        <v>0</v>
      </c>
      <c r="AY22" s="47">
        <v>0</v>
      </c>
      <c r="AZ22" s="134">
        <f t="shared" si="12"/>
        <v>0</v>
      </c>
      <c r="BA22" s="47">
        <v>0</v>
      </c>
      <c r="BB22" s="134">
        <f t="shared" si="13"/>
        <v>0</v>
      </c>
      <c r="BC22" s="47">
        <v>0</v>
      </c>
      <c r="BD22" s="134">
        <f t="shared" si="14"/>
        <v>0</v>
      </c>
      <c r="BE22" s="47">
        <v>0</v>
      </c>
      <c r="BF22" s="134">
        <f t="shared" si="15"/>
        <v>0</v>
      </c>
      <c r="BG22" s="47">
        <v>0</v>
      </c>
      <c r="BH22" s="134">
        <f t="shared" si="16"/>
        <v>0</v>
      </c>
      <c r="BI22" s="47">
        <v>0</v>
      </c>
      <c r="BJ22" s="134">
        <f t="shared" si="17"/>
        <v>0</v>
      </c>
      <c r="BK22" s="47">
        <f t="shared" ref="BK22:BL24" si="30">AA22+AC22+AE22+AG22+AI22+AK22+AM22+AO22+AQ22+AS22+AU22+AW22+AY22+BA22+BC22+BE22+BG22+BI22</f>
        <v>0</v>
      </c>
      <c r="BL22" s="85">
        <f t="shared" si="30"/>
        <v>0</v>
      </c>
      <c r="BM22" s="339" t="s">
        <v>837</v>
      </c>
      <c r="BO22" s="385">
        <f>H22</f>
        <v>0</v>
      </c>
      <c r="BP22" s="385"/>
      <c r="BQ22" s="385"/>
      <c r="BR22" s="385"/>
      <c r="BS22" s="385">
        <f>BO22+BP22+BQ22+BR22</f>
        <v>0</v>
      </c>
      <c r="BT22" s="385"/>
      <c r="BU22" s="385"/>
      <c r="BV22" s="385">
        <f>BT22+BU22</f>
        <v>0</v>
      </c>
      <c r="BW22" s="387">
        <f t="shared" si="20"/>
        <v>0</v>
      </c>
    </row>
    <row r="23" spans="1:160" ht="31.5" x14ac:dyDescent="0.25">
      <c r="A23" s="955"/>
      <c r="B23" s="359"/>
      <c r="C23" s="210"/>
      <c r="D23" s="210" t="s">
        <v>212</v>
      </c>
      <c r="E23" s="210" t="s">
        <v>209</v>
      </c>
      <c r="F23" s="388">
        <f>0.4*100000</f>
        <v>40000</v>
      </c>
      <c r="G23" s="210">
        <f>BK23</f>
        <v>0</v>
      </c>
      <c r="H23" s="466">
        <f>F23*G23</f>
        <v>0</v>
      </c>
      <c r="I23" s="466">
        <f>H23*0</f>
        <v>0</v>
      </c>
      <c r="J23" s="466">
        <f>H23*0</f>
        <v>0</v>
      </c>
      <c r="K23" s="466">
        <f>H23*0</f>
        <v>0</v>
      </c>
      <c r="L23" s="466">
        <f>H23*0</f>
        <v>0</v>
      </c>
      <c r="M23" s="466">
        <f>J23*0</f>
        <v>0</v>
      </c>
      <c r="N23" s="466">
        <f>H23*0</f>
        <v>0</v>
      </c>
      <c r="O23" s="466">
        <f>H23*0.9</f>
        <v>0</v>
      </c>
      <c r="P23" s="466">
        <f>H23*0</f>
        <v>0</v>
      </c>
      <c r="Q23" s="466">
        <f>H23*0</f>
        <v>0</v>
      </c>
      <c r="R23" s="466">
        <f>H23*0.1</f>
        <v>0</v>
      </c>
      <c r="S23" s="187"/>
      <c r="T23" s="143">
        <f>G23*0.2</f>
        <v>0</v>
      </c>
      <c r="U23" s="143">
        <f>G23*0.6</f>
        <v>0</v>
      </c>
      <c r="V23" s="143">
        <f>G23*0.2</f>
        <v>0</v>
      </c>
      <c r="W23" s="466">
        <f>S23*F23</f>
        <v>0</v>
      </c>
      <c r="X23" s="466">
        <f>T23*F23</f>
        <v>0</v>
      </c>
      <c r="Y23" s="466">
        <f>U23*F23</f>
        <v>0</v>
      </c>
      <c r="Z23" s="466">
        <f>V23*F23</f>
        <v>0</v>
      </c>
      <c r="AA23" s="47">
        <v>0</v>
      </c>
      <c r="AB23" s="134">
        <f t="shared" si="24"/>
        <v>0</v>
      </c>
      <c r="AC23" s="47">
        <v>0</v>
      </c>
      <c r="AD23" s="134">
        <f t="shared" si="1"/>
        <v>0</v>
      </c>
      <c r="AE23" s="47">
        <v>0</v>
      </c>
      <c r="AF23" s="134">
        <f t="shared" si="2"/>
        <v>0</v>
      </c>
      <c r="AG23" s="47">
        <v>0</v>
      </c>
      <c r="AH23" s="134">
        <f t="shared" si="3"/>
        <v>0</v>
      </c>
      <c r="AI23" s="47">
        <v>0</v>
      </c>
      <c r="AJ23" s="134">
        <f t="shared" si="4"/>
        <v>0</v>
      </c>
      <c r="AK23" s="47">
        <v>0</v>
      </c>
      <c r="AL23" s="134">
        <f t="shared" si="5"/>
        <v>0</v>
      </c>
      <c r="AM23" s="47">
        <v>0</v>
      </c>
      <c r="AN23" s="134">
        <f t="shared" si="6"/>
        <v>0</v>
      </c>
      <c r="AO23" s="47">
        <v>0</v>
      </c>
      <c r="AP23" s="134">
        <f t="shared" si="7"/>
        <v>0</v>
      </c>
      <c r="AQ23" s="47">
        <v>0</v>
      </c>
      <c r="AR23" s="134">
        <f t="shared" si="8"/>
        <v>0</v>
      </c>
      <c r="AS23" s="47">
        <v>0</v>
      </c>
      <c r="AT23" s="134">
        <f t="shared" si="9"/>
        <v>0</v>
      </c>
      <c r="AU23" s="47">
        <v>0</v>
      </c>
      <c r="AV23" s="134">
        <f t="shared" si="10"/>
        <v>0</v>
      </c>
      <c r="AW23" s="47">
        <v>0</v>
      </c>
      <c r="AX23" s="134">
        <f t="shared" si="11"/>
        <v>0</v>
      </c>
      <c r="AY23" s="47">
        <v>0</v>
      </c>
      <c r="AZ23" s="134">
        <f t="shared" si="12"/>
        <v>0</v>
      </c>
      <c r="BA23" s="47">
        <v>0</v>
      </c>
      <c r="BB23" s="134">
        <f t="shared" si="13"/>
        <v>0</v>
      </c>
      <c r="BC23" s="47">
        <v>0</v>
      </c>
      <c r="BD23" s="134">
        <f t="shared" si="14"/>
        <v>0</v>
      </c>
      <c r="BE23" s="478">
        <v>0</v>
      </c>
      <c r="BF23" s="134">
        <f t="shared" si="15"/>
        <v>0</v>
      </c>
      <c r="BG23" s="47">
        <v>0</v>
      </c>
      <c r="BH23" s="134">
        <f t="shared" si="16"/>
        <v>0</v>
      </c>
      <c r="BI23" s="47">
        <v>0</v>
      </c>
      <c r="BJ23" s="134">
        <f t="shared" si="17"/>
        <v>0</v>
      </c>
      <c r="BK23" s="47">
        <f t="shared" si="30"/>
        <v>0</v>
      </c>
      <c r="BL23" s="85">
        <f t="shared" si="30"/>
        <v>0</v>
      </c>
      <c r="BM23" s="339" t="s">
        <v>837</v>
      </c>
      <c r="BO23" s="385">
        <f>H23</f>
        <v>0</v>
      </c>
      <c r="BP23" s="385"/>
      <c r="BQ23" s="385"/>
      <c r="BR23" s="385"/>
      <c r="BS23" s="385">
        <f>BO23+BP23+BQ23+BR23</f>
        <v>0</v>
      </c>
      <c r="BT23" s="385"/>
      <c r="BU23" s="385"/>
      <c r="BV23" s="385">
        <f>BT23+BU23</f>
        <v>0</v>
      </c>
      <c r="BW23" s="387">
        <f t="shared" si="20"/>
        <v>0</v>
      </c>
    </row>
    <row r="24" spans="1:160" s="100" customFormat="1" x14ac:dyDescent="0.25">
      <c r="A24" s="955"/>
      <c r="B24" s="359"/>
      <c r="C24" s="141">
        <v>31320</v>
      </c>
      <c r="D24" s="141" t="s">
        <v>213</v>
      </c>
      <c r="E24" s="141" t="s">
        <v>214</v>
      </c>
      <c r="F24" s="142">
        <v>4000000</v>
      </c>
      <c r="G24" s="210">
        <f>BK24</f>
        <v>19</v>
      </c>
      <c r="H24" s="466">
        <f>F24*G24</f>
        <v>76000000</v>
      </c>
      <c r="I24" s="466">
        <f>H24*0.1</f>
        <v>7600000</v>
      </c>
      <c r="J24" s="466">
        <f>H24*0</f>
        <v>0</v>
      </c>
      <c r="K24" s="466">
        <f>H24*0</f>
        <v>0</v>
      </c>
      <c r="L24" s="466">
        <f>H24*0</f>
        <v>0</v>
      </c>
      <c r="M24" s="466">
        <f>H24*0.9</f>
        <v>68400000</v>
      </c>
      <c r="N24" s="466">
        <f>H24*0</f>
        <v>0</v>
      </c>
      <c r="O24" s="466">
        <f>H24*0</f>
        <v>0</v>
      </c>
      <c r="P24" s="466">
        <f>H24*0</f>
        <v>0</v>
      </c>
      <c r="Q24" s="466">
        <f>H24*0</f>
        <v>0</v>
      </c>
      <c r="R24" s="466">
        <f>H24*0</f>
        <v>0</v>
      </c>
      <c r="S24" s="143">
        <v>4</v>
      </c>
      <c r="T24" s="143">
        <v>0</v>
      </c>
      <c r="U24" s="143">
        <v>11</v>
      </c>
      <c r="V24" s="143">
        <v>4</v>
      </c>
      <c r="W24" s="466">
        <f>S24*F24</f>
        <v>16000000</v>
      </c>
      <c r="X24" s="466">
        <f>T24*F24</f>
        <v>0</v>
      </c>
      <c r="Y24" s="466">
        <f>U24*F24</f>
        <v>44000000</v>
      </c>
      <c r="Z24" s="466">
        <f>V24*F24</f>
        <v>16000000</v>
      </c>
      <c r="AA24" s="136">
        <v>2</v>
      </c>
      <c r="AB24" s="134">
        <f t="shared" si="24"/>
        <v>8000000</v>
      </c>
      <c r="AC24" s="136">
        <v>1</v>
      </c>
      <c r="AD24" s="134">
        <f t="shared" si="1"/>
        <v>4000000</v>
      </c>
      <c r="AE24" s="136">
        <v>1.5</v>
      </c>
      <c r="AF24" s="134">
        <f t="shared" si="2"/>
        <v>6000000</v>
      </c>
      <c r="AG24" s="136">
        <v>1.5</v>
      </c>
      <c r="AH24" s="134">
        <f t="shared" si="3"/>
        <v>6000000</v>
      </c>
      <c r="AI24" s="136">
        <v>1</v>
      </c>
      <c r="AJ24" s="134">
        <f t="shared" si="4"/>
        <v>4000000</v>
      </c>
      <c r="AK24" s="136">
        <v>1.5</v>
      </c>
      <c r="AL24" s="134">
        <f t="shared" si="5"/>
        <v>6000000</v>
      </c>
      <c r="AM24" s="136">
        <v>1</v>
      </c>
      <c r="AN24" s="134">
        <f t="shared" si="6"/>
        <v>4000000</v>
      </c>
      <c r="AO24" s="136">
        <v>1</v>
      </c>
      <c r="AP24" s="134">
        <f t="shared" si="7"/>
        <v>4000000</v>
      </c>
      <c r="AQ24" s="136">
        <v>0.5</v>
      </c>
      <c r="AR24" s="134">
        <f t="shared" si="8"/>
        <v>2000000</v>
      </c>
      <c r="AS24" s="136">
        <v>1</v>
      </c>
      <c r="AT24" s="134">
        <f t="shared" si="9"/>
        <v>4000000</v>
      </c>
      <c r="AU24" s="136">
        <v>1</v>
      </c>
      <c r="AV24" s="134">
        <f t="shared" si="10"/>
        <v>4000000</v>
      </c>
      <c r="AW24" s="136">
        <v>1</v>
      </c>
      <c r="AX24" s="134">
        <f t="shared" si="11"/>
        <v>4000000</v>
      </c>
      <c r="AY24" s="136">
        <v>1</v>
      </c>
      <c r="AZ24" s="134">
        <f t="shared" si="12"/>
        <v>4000000</v>
      </c>
      <c r="BA24" s="136">
        <v>1</v>
      </c>
      <c r="BB24" s="134">
        <f t="shared" si="13"/>
        <v>4000000</v>
      </c>
      <c r="BC24" s="136">
        <v>1</v>
      </c>
      <c r="BD24" s="134">
        <f t="shared" si="14"/>
        <v>4000000</v>
      </c>
      <c r="BE24" s="136">
        <v>1</v>
      </c>
      <c r="BF24" s="134">
        <f t="shared" si="15"/>
        <v>4000000</v>
      </c>
      <c r="BG24" s="136">
        <v>1</v>
      </c>
      <c r="BH24" s="134">
        <f t="shared" si="16"/>
        <v>4000000</v>
      </c>
      <c r="BI24" s="136">
        <v>0</v>
      </c>
      <c r="BJ24" s="134">
        <f t="shared" si="17"/>
        <v>0</v>
      </c>
      <c r="BK24" s="47">
        <f t="shared" si="30"/>
        <v>19</v>
      </c>
      <c r="BL24" s="134">
        <f t="shared" si="30"/>
        <v>76000000</v>
      </c>
      <c r="BM24" s="339" t="s">
        <v>476</v>
      </c>
      <c r="BN24" s="106"/>
      <c r="BO24" s="385">
        <f>H24</f>
        <v>76000000</v>
      </c>
      <c r="BP24" s="112"/>
      <c r="BQ24" s="112"/>
      <c r="BR24" s="112"/>
      <c r="BS24" s="385">
        <f>BO24+BP24+BQ24+BR24</f>
        <v>76000000</v>
      </c>
      <c r="BT24" s="112"/>
      <c r="BU24" s="112"/>
      <c r="BV24" s="385">
        <f>BT24+BU24</f>
        <v>0</v>
      </c>
      <c r="BW24" s="387">
        <f t="shared" si="20"/>
        <v>76000000</v>
      </c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</row>
    <row r="25" spans="1:160" s="482" customFormat="1" x14ac:dyDescent="0.25">
      <c r="A25" s="955"/>
      <c r="B25" s="359"/>
      <c r="C25" s="138"/>
      <c r="D25" s="138"/>
      <c r="E25" s="138"/>
      <c r="F25" s="138"/>
      <c r="G25" s="138">
        <f>SUM(G22:G24)</f>
        <v>19</v>
      </c>
      <c r="H25" s="140">
        <f>SUM(H22:H24)</f>
        <v>76000000</v>
      </c>
      <c r="I25" s="140">
        <f t="shared" ref="I25:R25" si="31">SUM(I22:I24)</f>
        <v>7600000</v>
      </c>
      <c r="J25" s="140">
        <f t="shared" si="31"/>
        <v>0</v>
      </c>
      <c r="K25" s="140">
        <f t="shared" si="31"/>
        <v>0</v>
      </c>
      <c r="L25" s="140">
        <f t="shared" si="31"/>
        <v>0</v>
      </c>
      <c r="M25" s="140">
        <f t="shared" si="31"/>
        <v>68400000</v>
      </c>
      <c r="N25" s="140">
        <f t="shared" si="31"/>
        <v>0</v>
      </c>
      <c r="O25" s="140">
        <f t="shared" si="31"/>
        <v>0</v>
      </c>
      <c r="P25" s="140">
        <f t="shared" si="31"/>
        <v>0</v>
      </c>
      <c r="Q25" s="140">
        <f t="shared" si="31"/>
        <v>0</v>
      </c>
      <c r="R25" s="140">
        <f t="shared" si="31"/>
        <v>0</v>
      </c>
      <c r="S25" s="138">
        <f>SUM(S22:S24)</f>
        <v>4</v>
      </c>
      <c r="T25" s="479">
        <f>G25*0.2</f>
        <v>3.8000000000000003</v>
      </c>
      <c r="U25" s="479">
        <f>G25*0.6</f>
        <v>11.4</v>
      </c>
      <c r="V25" s="479">
        <f>G25*0.2</f>
        <v>3.8000000000000003</v>
      </c>
      <c r="W25" s="140">
        <f>SUM(W22:W24)</f>
        <v>16000000</v>
      </c>
      <c r="X25" s="140">
        <f>SUM(X22:X24)</f>
        <v>0</v>
      </c>
      <c r="Y25" s="140">
        <f>SUM(Y22:Y24)</f>
        <v>44000000</v>
      </c>
      <c r="Z25" s="140">
        <f>SUM(Z22:Z24)</f>
        <v>16000000</v>
      </c>
      <c r="AA25" s="248">
        <f>SUM(AA22:AA24)</f>
        <v>2</v>
      </c>
      <c r="AB25" s="248">
        <f t="shared" ref="AB25:BL25" si="32">SUM(AB22:AB24)</f>
        <v>8000000</v>
      </c>
      <c r="AC25" s="248">
        <f t="shared" si="32"/>
        <v>1</v>
      </c>
      <c r="AD25" s="248">
        <f t="shared" si="32"/>
        <v>4000000</v>
      </c>
      <c r="AE25" s="248">
        <f t="shared" si="32"/>
        <v>1.5</v>
      </c>
      <c r="AF25" s="248">
        <f t="shared" si="32"/>
        <v>6000000</v>
      </c>
      <c r="AG25" s="248">
        <f t="shared" si="32"/>
        <v>1.5</v>
      </c>
      <c r="AH25" s="248">
        <f t="shared" si="32"/>
        <v>6000000</v>
      </c>
      <c r="AI25" s="248">
        <f t="shared" si="32"/>
        <v>1</v>
      </c>
      <c r="AJ25" s="248">
        <f t="shared" si="32"/>
        <v>4000000</v>
      </c>
      <c r="AK25" s="248">
        <f t="shared" si="32"/>
        <v>1.5</v>
      </c>
      <c r="AL25" s="248">
        <f t="shared" si="32"/>
        <v>6000000</v>
      </c>
      <c r="AM25" s="248">
        <f t="shared" si="32"/>
        <v>1</v>
      </c>
      <c r="AN25" s="248">
        <f t="shared" si="32"/>
        <v>4000000</v>
      </c>
      <c r="AO25" s="248">
        <f t="shared" si="32"/>
        <v>1</v>
      </c>
      <c r="AP25" s="248">
        <f t="shared" si="32"/>
        <v>4000000</v>
      </c>
      <c r="AQ25" s="248">
        <f t="shared" si="32"/>
        <v>0.5</v>
      </c>
      <c r="AR25" s="248">
        <f t="shared" si="32"/>
        <v>2000000</v>
      </c>
      <c r="AS25" s="248">
        <f t="shared" si="32"/>
        <v>1</v>
      </c>
      <c r="AT25" s="248">
        <f t="shared" si="32"/>
        <v>4000000</v>
      </c>
      <c r="AU25" s="248">
        <f t="shared" si="32"/>
        <v>1</v>
      </c>
      <c r="AV25" s="248">
        <f t="shared" si="32"/>
        <v>4000000</v>
      </c>
      <c r="AW25" s="248">
        <f t="shared" si="32"/>
        <v>1</v>
      </c>
      <c r="AX25" s="248">
        <f t="shared" si="32"/>
        <v>4000000</v>
      </c>
      <c r="AY25" s="248">
        <f t="shared" si="32"/>
        <v>1</v>
      </c>
      <c r="AZ25" s="248">
        <f t="shared" si="32"/>
        <v>4000000</v>
      </c>
      <c r="BA25" s="248">
        <f t="shared" si="32"/>
        <v>1</v>
      </c>
      <c r="BB25" s="248">
        <f t="shared" si="32"/>
        <v>4000000</v>
      </c>
      <c r="BC25" s="248">
        <f t="shared" si="32"/>
        <v>1</v>
      </c>
      <c r="BD25" s="248">
        <f t="shared" si="32"/>
        <v>4000000</v>
      </c>
      <c r="BE25" s="248">
        <f t="shared" si="32"/>
        <v>1</v>
      </c>
      <c r="BF25" s="248">
        <f t="shared" si="32"/>
        <v>4000000</v>
      </c>
      <c r="BG25" s="248">
        <f t="shared" si="32"/>
        <v>1</v>
      </c>
      <c r="BH25" s="248">
        <f t="shared" si="32"/>
        <v>4000000</v>
      </c>
      <c r="BI25" s="248">
        <f t="shared" si="32"/>
        <v>0</v>
      </c>
      <c r="BJ25" s="248">
        <f t="shared" si="32"/>
        <v>0</v>
      </c>
      <c r="BK25" s="248">
        <f t="shared" si="32"/>
        <v>19</v>
      </c>
      <c r="BL25" s="248">
        <f t="shared" si="32"/>
        <v>76000000</v>
      </c>
      <c r="BM25" s="46"/>
      <c r="BN25" s="275"/>
      <c r="BO25" s="480">
        <f t="shared" ref="BO25:BV25" si="33">SUM(BO22:BO24)</f>
        <v>76000000</v>
      </c>
      <c r="BP25" s="480">
        <f t="shared" si="33"/>
        <v>0</v>
      </c>
      <c r="BQ25" s="480">
        <f t="shared" si="33"/>
        <v>0</v>
      </c>
      <c r="BR25" s="480">
        <f t="shared" si="33"/>
        <v>0</v>
      </c>
      <c r="BS25" s="480">
        <f t="shared" si="33"/>
        <v>76000000</v>
      </c>
      <c r="BT25" s="480">
        <f t="shared" si="33"/>
        <v>0</v>
      </c>
      <c r="BU25" s="480">
        <f t="shared" si="33"/>
        <v>0</v>
      </c>
      <c r="BV25" s="480">
        <f t="shared" si="33"/>
        <v>0</v>
      </c>
      <c r="BW25" s="481">
        <f t="shared" si="20"/>
        <v>76000000</v>
      </c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</row>
    <row r="26" spans="1:160" x14ac:dyDescent="0.25">
      <c r="A26" s="955"/>
      <c r="B26" s="359"/>
      <c r="C26" s="367">
        <v>31400</v>
      </c>
      <c r="D26" s="367" t="s">
        <v>723</v>
      </c>
      <c r="E26" s="210"/>
      <c r="F26" s="388"/>
      <c r="G26" s="210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87"/>
      <c r="T26" s="143">
        <f>G26*0.2</f>
        <v>0</v>
      </c>
      <c r="U26" s="143">
        <f>G26*0.6</f>
        <v>0</v>
      </c>
      <c r="V26" s="143">
        <f>G26*0.2</f>
        <v>0</v>
      </c>
      <c r="W26" s="85"/>
      <c r="X26" s="134">
        <f>H26*0.2</f>
        <v>0</v>
      </c>
      <c r="Y26" s="134">
        <f>H26*0.6</f>
        <v>0</v>
      </c>
      <c r="Z26" s="134">
        <f>H26*0.2</f>
        <v>0</v>
      </c>
      <c r="AA26" s="47"/>
      <c r="AB26" s="134">
        <f t="shared" si="24"/>
        <v>0</v>
      </c>
      <c r="AC26" s="47"/>
      <c r="AD26" s="134">
        <f t="shared" si="1"/>
        <v>0</v>
      </c>
      <c r="AE26" s="47"/>
      <c r="AF26" s="134">
        <f t="shared" si="2"/>
        <v>0</v>
      </c>
      <c r="AG26" s="47"/>
      <c r="AH26" s="134">
        <f t="shared" si="3"/>
        <v>0</v>
      </c>
      <c r="AI26" s="47"/>
      <c r="AJ26" s="134">
        <f t="shared" si="4"/>
        <v>0</v>
      </c>
      <c r="AK26" s="47"/>
      <c r="AL26" s="134">
        <f t="shared" si="5"/>
        <v>0</v>
      </c>
      <c r="AM26" s="47"/>
      <c r="AN26" s="134">
        <f t="shared" si="6"/>
        <v>0</v>
      </c>
      <c r="AO26" s="47"/>
      <c r="AP26" s="134">
        <f t="shared" si="7"/>
        <v>0</v>
      </c>
      <c r="AQ26" s="47"/>
      <c r="AR26" s="134">
        <f t="shared" si="8"/>
        <v>0</v>
      </c>
      <c r="AS26" s="47"/>
      <c r="AT26" s="134">
        <f t="shared" si="9"/>
        <v>0</v>
      </c>
      <c r="AU26" s="47"/>
      <c r="AV26" s="134">
        <f t="shared" si="10"/>
        <v>0</v>
      </c>
      <c r="AW26" s="47"/>
      <c r="AX26" s="134">
        <f t="shared" si="11"/>
        <v>0</v>
      </c>
      <c r="AY26" s="47"/>
      <c r="AZ26" s="134">
        <f t="shared" si="12"/>
        <v>0</v>
      </c>
      <c r="BA26" s="47"/>
      <c r="BB26" s="134">
        <f t="shared" si="13"/>
        <v>0</v>
      </c>
      <c r="BC26" s="47"/>
      <c r="BD26" s="134">
        <f t="shared" si="14"/>
        <v>0</v>
      </c>
      <c r="BE26" s="47"/>
      <c r="BF26" s="134">
        <f t="shared" si="15"/>
        <v>0</v>
      </c>
      <c r="BG26" s="47"/>
      <c r="BH26" s="134">
        <f t="shared" si="16"/>
        <v>0</v>
      </c>
      <c r="BI26" s="47"/>
      <c r="BJ26" s="134">
        <f t="shared" si="17"/>
        <v>0</v>
      </c>
      <c r="BK26" s="47"/>
      <c r="BL26" s="85"/>
      <c r="BM26" s="348"/>
      <c r="BO26" s="385"/>
      <c r="BP26" s="385"/>
      <c r="BQ26" s="385"/>
      <c r="BR26" s="385"/>
      <c r="BS26" s="385"/>
      <c r="BT26" s="385"/>
      <c r="BU26" s="385"/>
      <c r="BV26" s="385"/>
      <c r="BW26" s="387">
        <f t="shared" si="20"/>
        <v>0</v>
      </c>
    </row>
    <row r="27" spans="1:160" x14ac:dyDescent="0.25">
      <c r="A27" s="955"/>
      <c r="B27" s="359"/>
      <c r="C27" s="47"/>
      <c r="D27" s="210" t="s">
        <v>816</v>
      </c>
      <c r="E27" s="210" t="s">
        <v>214</v>
      </c>
      <c r="F27" s="388">
        <v>1000000</v>
      </c>
      <c r="G27" s="210">
        <f t="shared" ref="G27:G36" si="34">BK27</f>
        <v>15</v>
      </c>
      <c r="H27" s="466">
        <f t="shared" ref="H27:H36" si="35">F27*G27</f>
        <v>15000000</v>
      </c>
      <c r="I27" s="466">
        <f>H27*0</f>
        <v>0</v>
      </c>
      <c r="J27" s="466">
        <f>H27*0</f>
        <v>0</v>
      </c>
      <c r="K27" s="466">
        <f>H27*1</f>
        <v>15000000</v>
      </c>
      <c r="L27" s="466">
        <f>H27*0</f>
        <v>0</v>
      </c>
      <c r="M27" s="466">
        <f>H27*0</f>
        <v>0</v>
      </c>
      <c r="N27" s="466">
        <f>H27*0</f>
        <v>0</v>
      </c>
      <c r="O27" s="466">
        <f>H27*0</f>
        <v>0</v>
      </c>
      <c r="P27" s="466">
        <f>H27*0</f>
        <v>0</v>
      </c>
      <c r="Q27" s="466">
        <f>H27*0</f>
        <v>0</v>
      </c>
      <c r="R27" s="466">
        <f>H27*0</f>
        <v>0</v>
      </c>
      <c r="S27" s="187">
        <v>3</v>
      </c>
      <c r="T27" s="143">
        <v>0</v>
      </c>
      <c r="U27" s="143">
        <v>9</v>
      </c>
      <c r="V27" s="143">
        <v>3</v>
      </c>
      <c r="W27" s="466">
        <f>S27*F27</f>
        <v>3000000</v>
      </c>
      <c r="X27" s="466">
        <f>T27*F27</f>
        <v>0</v>
      </c>
      <c r="Y27" s="466">
        <f>U27*F27</f>
        <v>9000000</v>
      </c>
      <c r="Z27" s="466">
        <f>V27*F27</f>
        <v>3000000</v>
      </c>
      <c r="AA27" s="47">
        <v>1.2</v>
      </c>
      <c r="AB27" s="134">
        <f t="shared" si="24"/>
        <v>1200000</v>
      </c>
      <c r="AC27" s="47">
        <v>0.5</v>
      </c>
      <c r="AD27" s="134">
        <f t="shared" si="1"/>
        <v>500000</v>
      </c>
      <c r="AE27" s="47">
        <v>1</v>
      </c>
      <c r="AF27" s="134">
        <f t="shared" si="2"/>
        <v>1000000</v>
      </c>
      <c r="AG27" s="47">
        <v>1</v>
      </c>
      <c r="AH27" s="134">
        <f t="shared" si="3"/>
        <v>1000000</v>
      </c>
      <c r="AI27" s="47">
        <v>1.3</v>
      </c>
      <c r="AJ27" s="134">
        <f t="shared" si="4"/>
        <v>1300000</v>
      </c>
      <c r="AK27" s="47">
        <v>1</v>
      </c>
      <c r="AL27" s="134">
        <f t="shared" si="5"/>
        <v>1000000</v>
      </c>
      <c r="AM27" s="47">
        <v>0.5</v>
      </c>
      <c r="AN27" s="134">
        <f t="shared" si="6"/>
        <v>500000</v>
      </c>
      <c r="AO27" s="47">
        <v>0.5</v>
      </c>
      <c r="AP27" s="134">
        <f t="shared" si="7"/>
        <v>500000</v>
      </c>
      <c r="AQ27" s="47">
        <v>0.5</v>
      </c>
      <c r="AR27" s="134">
        <f t="shared" si="8"/>
        <v>500000</v>
      </c>
      <c r="AS27" s="47">
        <v>1</v>
      </c>
      <c r="AT27" s="134">
        <f t="shared" si="9"/>
        <v>1000000</v>
      </c>
      <c r="AU27" s="47">
        <v>1</v>
      </c>
      <c r="AV27" s="134">
        <f t="shared" si="10"/>
        <v>1000000</v>
      </c>
      <c r="AW27" s="47">
        <v>1</v>
      </c>
      <c r="AX27" s="134">
        <f t="shared" si="11"/>
        <v>1000000</v>
      </c>
      <c r="AY27" s="47">
        <v>1</v>
      </c>
      <c r="AZ27" s="134">
        <f t="shared" si="12"/>
        <v>1000000</v>
      </c>
      <c r="BA27" s="47">
        <v>1</v>
      </c>
      <c r="BB27" s="134">
        <f t="shared" si="13"/>
        <v>1000000</v>
      </c>
      <c r="BC27" s="47">
        <v>1.5</v>
      </c>
      <c r="BD27" s="134">
        <f t="shared" si="14"/>
        <v>1500000</v>
      </c>
      <c r="BE27" s="47">
        <v>0.5</v>
      </c>
      <c r="BF27" s="134">
        <f t="shared" si="15"/>
        <v>500000</v>
      </c>
      <c r="BG27" s="47">
        <v>0.5</v>
      </c>
      <c r="BH27" s="134">
        <f t="shared" si="16"/>
        <v>500000</v>
      </c>
      <c r="BI27" s="47">
        <v>0</v>
      </c>
      <c r="BJ27" s="134">
        <f t="shared" si="17"/>
        <v>0</v>
      </c>
      <c r="BK27" s="47">
        <f t="shared" ref="BK27:BL36" si="36">AA27+AC27+AE27+AG27+AI27+AK27+AM27+AO27+AQ27+AS27+AU27+AW27+AY27+BA27+BC27+BE27+BG27+BI27</f>
        <v>15</v>
      </c>
      <c r="BL27" s="85">
        <f t="shared" si="36"/>
        <v>15000000</v>
      </c>
      <c r="BM27" s="339" t="s">
        <v>817</v>
      </c>
      <c r="BO27" s="385">
        <f>H27</f>
        <v>15000000</v>
      </c>
      <c r="BP27" s="385"/>
      <c r="BQ27" s="385"/>
      <c r="BR27" s="385"/>
      <c r="BS27" s="385">
        <f>BO27+BP27+BQ27+BR27</f>
        <v>15000000</v>
      </c>
      <c r="BT27" s="385"/>
      <c r="BU27" s="385"/>
      <c r="BV27" s="385">
        <f>BT27+BU27</f>
        <v>0</v>
      </c>
      <c r="BW27" s="387">
        <f t="shared" si="20"/>
        <v>15000000</v>
      </c>
    </row>
    <row r="28" spans="1:160" x14ac:dyDescent="0.25">
      <c r="A28" s="955"/>
      <c r="B28" s="359"/>
      <c r="C28" s="483"/>
      <c r="D28" s="210" t="s">
        <v>215</v>
      </c>
      <c r="E28" s="210" t="s">
        <v>214</v>
      </c>
      <c r="F28" s="388">
        <v>700000</v>
      </c>
      <c r="G28" s="210">
        <f t="shared" si="34"/>
        <v>17</v>
      </c>
      <c r="H28" s="466">
        <f t="shared" si="35"/>
        <v>11900000</v>
      </c>
      <c r="I28" s="466">
        <f>H28*0.1</f>
        <v>1190000</v>
      </c>
      <c r="J28" s="466">
        <f>H28*0</f>
        <v>0</v>
      </c>
      <c r="K28" s="466">
        <f>H28*0</f>
        <v>0</v>
      </c>
      <c r="L28" s="466">
        <f>H28*0</f>
        <v>0</v>
      </c>
      <c r="M28" s="466">
        <f>H28*0.9</f>
        <v>10710000</v>
      </c>
      <c r="N28" s="466">
        <f>H28*0</f>
        <v>0</v>
      </c>
      <c r="O28" s="466">
        <f>H28*0</f>
        <v>0</v>
      </c>
      <c r="P28" s="466">
        <f>H28*0</f>
        <v>0</v>
      </c>
      <c r="Q28" s="466">
        <f>H28*0</f>
        <v>0</v>
      </c>
      <c r="R28" s="466">
        <f>H28*0</f>
        <v>0</v>
      </c>
      <c r="S28" s="187">
        <v>3</v>
      </c>
      <c r="T28" s="143">
        <v>0</v>
      </c>
      <c r="U28" s="143">
        <v>10</v>
      </c>
      <c r="V28" s="143">
        <v>4</v>
      </c>
      <c r="W28" s="466">
        <f t="shared" ref="W28:W36" si="37">S28*F28</f>
        <v>2100000</v>
      </c>
      <c r="X28" s="466">
        <f t="shared" ref="X28:X36" si="38">T28*F28</f>
        <v>0</v>
      </c>
      <c r="Y28" s="466">
        <f t="shared" ref="Y28:Y36" si="39">U28*F28</f>
        <v>7000000</v>
      </c>
      <c r="Z28" s="466">
        <f t="shared" ref="Z28:Z36" si="40">V28*F28</f>
        <v>2800000</v>
      </c>
      <c r="AA28" s="47">
        <v>1</v>
      </c>
      <c r="AB28" s="134">
        <f t="shared" si="24"/>
        <v>700000</v>
      </c>
      <c r="AC28" s="47">
        <v>1</v>
      </c>
      <c r="AD28" s="134">
        <f t="shared" si="1"/>
        <v>700000</v>
      </c>
      <c r="AE28" s="47">
        <v>1</v>
      </c>
      <c r="AF28" s="134">
        <f t="shared" si="2"/>
        <v>700000</v>
      </c>
      <c r="AG28" s="47">
        <v>1</v>
      </c>
      <c r="AH28" s="134">
        <f t="shared" si="3"/>
        <v>700000</v>
      </c>
      <c r="AI28" s="47">
        <v>1</v>
      </c>
      <c r="AJ28" s="134">
        <f t="shared" si="4"/>
        <v>700000</v>
      </c>
      <c r="AK28" s="47">
        <v>1</v>
      </c>
      <c r="AL28" s="134">
        <f t="shared" si="5"/>
        <v>700000</v>
      </c>
      <c r="AM28" s="47">
        <v>0</v>
      </c>
      <c r="AN28" s="134">
        <f t="shared" si="6"/>
        <v>0</v>
      </c>
      <c r="AO28" s="47">
        <v>0</v>
      </c>
      <c r="AP28" s="134">
        <f t="shared" si="7"/>
        <v>0</v>
      </c>
      <c r="AQ28" s="47">
        <v>0</v>
      </c>
      <c r="AR28" s="134">
        <f t="shared" si="8"/>
        <v>0</v>
      </c>
      <c r="AS28" s="47">
        <v>1</v>
      </c>
      <c r="AT28" s="134">
        <f t="shared" si="9"/>
        <v>700000</v>
      </c>
      <c r="AU28" s="47">
        <v>1</v>
      </c>
      <c r="AV28" s="134">
        <f t="shared" si="10"/>
        <v>700000</v>
      </c>
      <c r="AW28" s="47">
        <v>1</v>
      </c>
      <c r="AX28" s="134">
        <f t="shared" si="11"/>
        <v>700000</v>
      </c>
      <c r="AY28" s="47">
        <v>1</v>
      </c>
      <c r="AZ28" s="134">
        <f t="shared" si="12"/>
        <v>700000</v>
      </c>
      <c r="BA28" s="47">
        <v>1</v>
      </c>
      <c r="BB28" s="134">
        <f t="shared" si="13"/>
        <v>700000</v>
      </c>
      <c r="BC28" s="47">
        <v>3</v>
      </c>
      <c r="BD28" s="134">
        <f t="shared" si="14"/>
        <v>2100000</v>
      </c>
      <c r="BE28" s="47">
        <v>0</v>
      </c>
      <c r="BF28" s="134">
        <f t="shared" si="15"/>
        <v>0</v>
      </c>
      <c r="BG28" s="47">
        <v>3</v>
      </c>
      <c r="BH28" s="134">
        <f t="shared" si="16"/>
        <v>2100000</v>
      </c>
      <c r="BI28" s="47">
        <v>0</v>
      </c>
      <c r="BJ28" s="134">
        <f t="shared" si="17"/>
        <v>0</v>
      </c>
      <c r="BK28" s="47">
        <f t="shared" si="36"/>
        <v>17</v>
      </c>
      <c r="BL28" s="85">
        <f t="shared" si="36"/>
        <v>11900000</v>
      </c>
      <c r="BM28" s="339" t="s">
        <v>476</v>
      </c>
      <c r="BO28" s="385">
        <f>H28</f>
        <v>11900000</v>
      </c>
      <c r="BP28" s="385"/>
      <c r="BQ28" s="385"/>
      <c r="BR28" s="385"/>
      <c r="BS28" s="385">
        <f t="shared" ref="BS28:BS36" si="41">BO28+BP28+BQ28+BR28</f>
        <v>11900000</v>
      </c>
      <c r="BT28" s="385"/>
      <c r="BU28" s="385"/>
      <c r="BV28" s="385">
        <f t="shared" ref="BV28:BV36" si="42">BT28+BU28</f>
        <v>0</v>
      </c>
      <c r="BW28" s="387">
        <f t="shared" si="20"/>
        <v>11900000</v>
      </c>
    </row>
    <row r="29" spans="1:160" x14ac:dyDescent="0.25">
      <c r="A29" s="955"/>
      <c r="B29" s="359"/>
      <c r="C29" s="483"/>
      <c r="D29" s="210" t="s">
        <v>216</v>
      </c>
      <c r="E29" s="210" t="s">
        <v>214</v>
      </c>
      <c r="F29" s="388">
        <f>10*100000</f>
        <v>1000000</v>
      </c>
      <c r="G29" s="210">
        <f t="shared" si="34"/>
        <v>0</v>
      </c>
      <c r="H29" s="466">
        <f t="shared" si="35"/>
        <v>0</v>
      </c>
      <c r="I29" s="466">
        <f>H29*0</f>
        <v>0</v>
      </c>
      <c r="J29" s="466">
        <f>H29*0</f>
        <v>0</v>
      </c>
      <c r="K29" s="466">
        <f>H29*0</f>
        <v>0</v>
      </c>
      <c r="L29" s="466">
        <f>H29*0</f>
        <v>0</v>
      </c>
      <c r="M29" s="466">
        <f>H29*0.9</f>
        <v>0</v>
      </c>
      <c r="N29" s="466">
        <f>H29*0</f>
        <v>0</v>
      </c>
      <c r="O29" s="466">
        <f>H29*0</f>
        <v>0</v>
      </c>
      <c r="P29" s="466">
        <f>H29*0</f>
        <v>0</v>
      </c>
      <c r="Q29" s="466">
        <f>H29*0</f>
        <v>0</v>
      </c>
      <c r="R29" s="466">
        <f>H29*0.1</f>
        <v>0</v>
      </c>
      <c r="S29" s="187"/>
      <c r="T29" s="143">
        <f>G29*0.2</f>
        <v>0</v>
      </c>
      <c r="U29" s="143">
        <f>G29*0.6</f>
        <v>0</v>
      </c>
      <c r="V29" s="143">
        <f>G29*0.2</f>
        <v>0</v>
      </c>
      <c r="W29" s="466">
        <f t="shared" si="37"/>
        <v>0</v>
      </c>
      <c r="X29" s="466">
        <f t="shared" si="38"/>
        <v>0</v>
      </c>
      <c r="Y29" s="466">
        <f t="shared" si="39"/>
        <v>0</v>
      </c>
      <c r="Z29" s="466">
        <f t="shared" si="40"/>
        <v>0</v>
      </c>
      <c r="AA29" s="47">
        <v>0</v>
      </c>
      <c r="AB29" s="134">
        <f t="shared" si="24"/>
        <v>0</v>
      </c>
      <c r="AC29" s="47">
        <v>0</v>
      </c>
      <c r="AD29" s="134">
        <f t="shared" si="1"/>
        <v>0</v>
      </c>
      <c r="AE29" s="47">
        <v>0</v>
      </c>
      <c r="AF29" s="134">
        <f t="shared" si="2"/>
        <v>0</v>
      </c>
      <c r="AG29" s="47">
        <v>0</v>
      </c>
      <c r="AH29" s="134">
        <f t="shared" si="3"/>
        <v>0</v>
      </c>
      <c r="AI29" s="47">
        <v>0</v>
      </c>
      <c r="AJ29" s="134">
        <f t="shared" si="4"/>
        <v>0</v>
      </c>
      <c r="AK29" s="47">
        <v>0</v>
      </c>
      <c r="AL29" s="134">
        <f t="shared" si="5"/>
        <v>0</v>
      </c>
      <c r="AM29" s="47">
        <v>0</v>
      </c>
      <c r="AN29" s="134">
        <f t="shared" si="6"/>
        <v>0</v>
      </c>
      <c r="AO29" s="47">
        <v>0</v>
      </c>
      <c r="AP29" s="134">
        <f t="shared" si="7"/>
        <v>0</v>
      </c>
      <c r="AQ29" s="47">
        <v>0</v>
      </c>
      <c r="AR29" s="134">
        <f t="shared" si="8"/>
        <v>0</v>
      </c>
      <c r="AS29" s="47">
        <v>0</v>
      </c>
      <c r="AT29" s="134">
        <f t="shared" si="9"/>
        <v>0</v>
      </c>
      <c r="AU29" s="47">
        <v>0</v>
      </c>
      <c r="AV29" s="134">
        <f t="shared" si="10"/>
        <v>0</v>
      </c>
      <c r="AW29" s="47">
        <v>0</v>
      </c>
      <c r="AX29" s="134">
        <f t="shared" si="11"/>
        <v>0</v>
      </c>
      <c r="AY29" s="47">
        <v>0</v>
      </c>
      <c r="AZ29" s="134">
        <f t="shared" si="12"/>
        <v>0</v>
      </c>
      <c r="BA29" s="47">
        <v>0</v>
      </c>
      <c r="BB29" s="134">
        <f t="shared" si="13"/>
        <v>0</v>
      </c>
      <c r="BC29" s="47">
        <v>0</v>
      </c>
      <c r="BD29" s="134">
        <f t="shared" si="14"/>
        <v>0</v>
      </c>
      <c r="BE29" s="47">
        <v>0</v>
      </c>
      <c r="BF29" s="134">
        <f t="shared" si="15"/>
        <v>0</v>
      </c>
      <c r="BG29" s="47">
        <v>0</v>
      </c>
      <c r="BH29" s="134">
        <f t="shared" si="16"/>
        <v>0</v>
      </c>
      <c r="BI29" s="47">
        <v>0</v>
      </c>
      <c r="BJ29" s="134">
        <f t="shared" si="17"/>
        <v>0</v>
      </c>
      <c r="BK29" s="47">
        <f t="shared" si="36"/>
        <v>0</v>
      </c>
      <c r="BL29" s="85">
        <f t="shared" si="36"/>
        <v>0</v>
      </c>
      <c r="BM29" s="339" t="s">
        <v>476</v>
      </c>
      <c r="BO29" s="385">
        <f t="shared" ref="BO29:BO36" si="43">H29</f>
        <v>0</v>
      </c>
      <c r="BP29" s="385"/>
      <c r="BQ29" s="385">
        <f>H29</f>
        <v>0</v>
      </c>
      <c r="BR29" s="385"/>
      <c r="BS29" s="385">
        <f t="shared" si="41"/>
        <v>0</v>
      </c>
      <c r="BT29" s="385"/>
      <c r="BU29" s="385"/>
      <c r="BV29" s="385">
        <f t="shared" si="42"/>
        <v>0</v>
      </c>
      <c r="BW29" s="387">
        <f t="shared" si="20"/>
        <v>0</v>
      </c>
    </row>
    <row r="30" spans="1:160" s="482" customFormat="1" ht="31.5" x14ac:dyDescent="0.25">
      <c r="A30" s="955"/>
      <c r="B30" s="359"/>
      <c r="C30" s="471"/>
      <c r="D30" s="210" t="s">
        <v>217</v>
      </c>
      <c r="E30" s="210" t="s">
        <v>761</v>
      </c>
      <c r="F30" s="388">
        <v>40000</v>
      </c>
      <c r="G30" s="210">
        <f t="shared" si="34"/>
        <v>174</v>
      </c>
      <c r="H30" s="466">
        <f t="shared" si="35"/>
        <v>6960000</v>
      </c>
      <c r="I30" s="466">
        <f>H30*0.1</f>
        <v>696000</v>
      </c>
      <c r="J30" s="466">
        <f>H30*0</f>
        <v>0</v>
      </c>
      <c r="K30" s="466">
        <f>H30*0</f>
        <v>0</v>
      </c>
      <c r="L30" s="466">
        <f>H30*0</f>
        <v>0</v>
      </c>
      <c r="M30" s="466">
        <f>H30*0.9</f>
        <v>6264000</v>
      </c>
      <c r="N30" s="466">
        <f>H30*0</f>
        <v>0</v>
      </c>
      <c r="O30" s="466">
        <f>H30*0</f>
        <v>0</v>
      </c>
      <c r="P30" s="466">
        <f>H30*0</f>
        <v>0</v>
      </c>
      <c r="Q30" s="466">
        <f>H30*0</f>
        <v>0</v>
      </c>
      <c r="R30" s="466">
        <f>H30*0</f>
        <v>0</v>
      </c>
      <c r="S30" s="144">
        <v>34</v>
      </c>
      <c r="T30" s="187">
        <v>0</v>
      </c>
      <c r="U30" s="187">
        <v>103</v>
      </c>
      <c r="V30" s="187">
        <v>35</v>
      </c>
      <c r="W30" s="466">
        <f t="shared" si="37"/>
        <v>1360000</v>
      </c>
      <c r="X30" s="466">
        <f t="shared" si="38"/>
        <v>0</v>
      </c>
      <c r="Y30" s="466">
        <f t="shared" si="39"/>
        <v>4120000</v>
      </c>
      <c r="Z30" s="466">
        <f t="shared" si="40"/>
        <v>1400000</v>
      </c>
      <c r="AA30" s="47">
        <v>20</v>
      </c>
      <c r="AB30" s="85">
        <f t="shared" si="24"/>
        <v>800000</v>
      </c>
      <c r="AC30" s="47">
        <v>3</v>
      </c>
      <c r="AD30" s="85">
        <f t="shared" si="1"/>
        <v>120000</v>
      </c>
      <c r="AE30" s="47">
        <v>4</v>
      </c>
      <c r="AF30" s="85">
        <f t="shared" si="2"/>
        <v>160000</v>
      </c>
      <c r="AG30" s="47">
        <v>5</v>
      </c>
      <c r="AH30" s="85">
        <f t="shared" si="3"/>
        <v>200000</v>
      </c>
      <c r="AI30" s="47">
        <v>4</v>
      </c>
      <c r="AJ30" s="85">
        <f t="shared" si="4"/>
        <v>160000</v>
      </c>
      <c r="AK30" s="47">
        <v>20</v>
      </c>
      <c r="AL30" s="85">
        <f t="shared" si="5"/>
        <v>800000</v>
      </c>
      <c r="AM30" s="47">
        <v>4</v>
      </c>
      <c r="AN30" s="85">
        <f t="shared" si="6"/>
        <v>160000</v>
      </c>
      <c r="AO30" s="641">
        <v>15</v>
      </c>
      <c r="AP30" s="85">
        <f t="shared" si="7"/>
        <v>600000</v>
      </c>
      <c r="AQ30" s="47">
        <v>10</v>
      </c>
      <c r="AR30" s="85">
        <f t="shared" si="8"/>
        <v>400000</v>
      </c>
      <c r="AS30" s="47">
        <v>10</v>
      </c>
      <c r="AT30" s="85">
        <f t="shared" si="9"/>
        <v>400000</v>
      </c>
      <c r="AU30" s="47">
        <v>26</v>
      </c>
      <c r="AV30" s="85">
        <f t="shared" si="10"/>
        <v>1040000</v>
      </c>
      <c r="AW30" s="47">
        <v>10</v>
      </c>
      <c r="AX30" s="85">
        <f t="shared" si="11"/>
        <v>400000</v>
      </c>
      <c r="AY30" s="47">
        <v>3</v>
      </c>
      <c r="AZ30" s="85">
        <f t="shared" si="12"/>
        <v>120000</v>
      </c>
      <c r="BA30" s="47">
        <v>10</v>
      </c>
      <c r="BB30" s="85">
        <f t="shared" si="13"/>
        <v>400000</v>
      </c>
      <c r="BC30" s="47">
        <v>0</v>
      </c>
      <c r="BD30" s="85">
        <f t="shared" si="14"/>
        <v>0</v>
      </c>
      <c r="BE30" s="47">
        <v>20</v>
      </c>
      <c r="BF30" s="85">
        <f t="shared" si="15"/>
        <v>800000</v>
      </c>
      <c r="BG30" s="47">
        <v>10</v>
      </c>
      <c r="BH30" s="85">
        <f t="shared" si="16"/>
        <v>400000</v>
      </c>
      <c r="BI30" s="47">
        <v>0</v>
      </c>
      <c r="BJ30" s="85">
        <f t="shared" si="17"/>
        <v>0</v>
      </c>
      <c r="BK30" s="47">
        <f t="shared" si="36"/>
        <v>174</v>
      </c>
      <c r="BL30" s="85">
        <f t="shared" si="36"/>
        <v>6960000</v>
      </c>
      <c r="BM30" s="339" t="s">
        <v>476</v>
      </c>
      <c r="BN30" s="106"/>
      <c r="BO30" s="385">
        <f t="shared" si="43"/>
        <v>6960000</v>
      </c>
      <c r="BP30" s="385"/>
      <c r="BQ30" s="385"/>
      <c r="BR30" s="385"/>
      <c r="BS30" s="385">
        <f t="shared" si="41"/>
        <v>6960000</v>
      </c>
      <c r="BT30" s="385"/>
      <c r="BU30" s="385"/>
      <c r="BV30" s="385">
        <f t="shared" si="42"/>
        <v>0</v>
      </c>
      <c r="BW30" s="387">
        <f t="shared" si="20"/>
        <v>6960000</v>
      </c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</row>
    <row r="31" spans="1:160" s="482" customFormat="1" x14ac:dyDescent="0.25">
      <c r="A31" s="956"/>
      <c r="B31" s="484"/>
      <c r="C31" s="471"/>
      <c r="D31" s="210" t="s">
        <v>681</v>
      </c>
      <c r="E31" s="210" t="s">
        <v>694</v>
      </c>
      <c r="F31" s="388">
        <v>300000</v>
      </c>
      <c r="G31" s="210">
        <f t="shared" si="34"/>
        <v>60.5</v>
      </c>
      <c r="H31" s="466">
        <f t="shared" si="35"/>
        <v>18150000</v>
      </c>
      <c r="I31" s="466">
        <f>H31*0.2</f>
        <v>3630000</v>
      </c>
      <c r="J31" s="466">
        <f>H31*0.8</f>
        <v>14520000</v>
      </c>
      <c r="K31" s="466"/>
      <c r="L31" s="466"/>
      <c r="M31" s="466"/>
      <c r="N31" s="466">
        <f>H31*0</f>
        <v>0</v>
      </c>
      <c r="O31" s="466"/>
      <c r="P31" s="466"/>
      <c r="Q31" s="466"/>
      <c r="R31" s="466"/>
      <c r="S31" s="209">
        <v>12.5</v>
      </c>
      <c r="T31" s="143">
        <v>0</v>
      </c>
      <c r="U31" s="143">
        <v>36</v>
      </c>
      <c r="V31" s="143">
        <v>12</v>
      </c>
      <c r="W31" s="466">
        <f t="shared" si="37"/>
        <v>3750000</v>
      </c>
      <c r="X31" s="466">
        <f t="shared" si="38"/>
        <v>0</v>
      </c>
      <c r="Y31" s="466">
        <f t="shared" si="39"/>
        <v>10800000</v>
      </c>
      <c r="Z31" s="466">
        <f t="shared" si="40"/>
        <v>3600000</v>
      </c>
      <c r="AA31" s="47"/>
      <c r="AB31" s="134">
        <f t="shared" si="24"/>
        <v>0</v>
      </c>
      <c r="AC31" s="47"/>
      <c r="AD31" s="134">
        <f t="shared" si="1"/>
        <v>0</v>
      </c>
      <c r="AE31" s="47"/>
      <c r="AF31" s="134">
        <f t="shared" si="2"/>
        <v>0</v>
      </c>
      <c r="AG31" s="47">
        <v>25</v>
      </c>
      <c r="AH31" s="134">
        <f t="shared" si="3"/>
        <v>7500000</v>
      </c>
      <c r="AI31" s="47">
        <v>4</v>
      </c>
      <c r="AJ31" s="134">
        <f t="shared" si="4"/>
        <v>1200000</v>
      </c>
      <c r="AK31" s="47">
        <v>5</v>
      </c>
      <c r="AL31" s="134">
        <f t="shared" si="5"/>
        <v>1500000</v>
      </c>
      <c r="AM31" s="47"/>
      <c r="AN31" s="134">
        <f t="shared" si="6"/>
        <v>0</v>
      </c>
      <c r="AO31" s="47"/>
      <c r="AP31" s="134">
        <f t="shared" si="7"/>
        <v>0</v>
      </c>
      <c r="AQ31" s="478">
        <v>0.5</v>
      </c>
      <c r="AR31" s="134">
        <f t="shared" si="8"/>
        <v>150000</v>
      </c>
      <c r="AS31" s="47">
        <v>6</v>
      </c>
      <c r="AT31" s="134">
        <f t="shared" si="9"/>
        <v>1800000</v>
      </c>
      <c r="AU31" s="47">
        <v>6</v>
      </c>
      <c r="AV31" s="134">
        <f t="shared" si="10"/>
        <v>1800000</v>
      </c>
      <c r="AW31" s="47">
        <v>2</v>
      </c>
      <c r="AX31" s="134">
        <f t="shared" si="11"/>
        <v>600000</v>
      </c>
      <c r="AY31" s="47">
        <v>3</v>
      </c>
      <c r="AZ31" s="134">
        <f t="shared" si="12"/>
        <v>900000</v>
      </c>
      <c r="BA31" s="47"/>
      <c r="BB31" s="134">
        <f t="shared" si="13"/>
        <v>0</v>
      </c>
      <c r="BC31" s="47">
        <v>8</v>
      </c>
      <c r="BD31" s="134">
        <f t="shared" si="14"/>
        <v>2400000</v>
      </c>
      <c r="BE31" s="47">
        <v>1</v>
      </c>
      <c r="BF31" s="134">
        <f t="shared" si="15"/>
        <v>300000</v>
      </c>
      <c r="BG31" s="47"/>
      <c r="BH31" s="134">
        <f t="shared" si="16"/>
        <v>0</v>
      </c>
      <c r="BI31" s="47"/>
      <c r="BJ31" s="134">
        <f t="shared" si="17"/>
        <v>0</v>
      </c>
      <c r="BK31" s="47">
        <f t="shared" si="36"/>
        <v>60.5</v>
      </c>
      <c r="BL31" s="85">
        <f t="shared" si="36"/>
        <v>18150000</v>
      </c>
      <c r="BM31" s="340" t="s">
        <v>469</v>
      </c>
      <c r="BN31" s="106"/>
      <c r="BO31" s="385">
        <f t="shared" si="43"/>
        <v>18150000</v>
      </c>
      <c r="BP31" s="385"/>
      <c r="BQ31" s="385"/>
      <c r="BR31" s="385"/>
      <c r="BS31" s="385">
        <f t="shared" si="41"/>
        <v>18150000</v>
      </c>
      <c r="BT31" s="385"/>
      <c r="BU31" s="385"/>
      <c r="BV31" s="385">
        <f t="shared" si="42"/>
        <v>0</v>
      </c>
      <c r="BW31" s="387">
        <f t="shared" si="20"/>
        <v>18150000</v>
      </c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</row>
    <row r="32" spans="1:160" s="482" customFormat="1" x14ac:dyDescent="0.25">
      <c r="A32" s="956"/>
      <c r="B32" s="484"/>
      <c r="C32" s="471"/>
      <c r="D32" s="210" t="s">
        <v>814</v>
      </c>
      <c r="E32" s="210" t="s">
        <v>606</v>
      </c>
      <c r="F32" s="388">
        <v>500000</v>
      </c>
      <c r="G32" s="210">
        <f t="shared" si="34"/>
        <v>100</v>
      </c>
      <c r="H32" s="466">
        <f t="shared" si="35"/>
        <v>50000000</v>
      </c>
      <c r="I32" s="466"/>
      <c r="J32" s="466"/>
      <c r="K32" s="466">
        <f>H32*0.3</f>
        <v>15000000</v>
      </c>
      <c r="L32" s="466">
        <f>H32*0.4</f>
        <v>20000000</v>
      </c>
      <c r="M32" s="466">
        <f>H32*0.3</f>
        <v>15000000</v>
      </c>
      <c r="N32" s="466"/>
      <c r="O32" s="466"/>
      <c r="P32" s="466"/>
      <c r="Q32" s="466"/>
      <c r="R32" s="466">
        <f>H32*0</f>
        <v>0</v>
      </c>
      <c r="S32" s="144">
        <v>20</v>
      </c>
      <c r="T32" s="143">
        <v>5</v>
      </c>
      <c r="U32" s="143">
        <v>130</v>
      </c>
      <c r="V32" s="143">
        <v>45</v>
      </c>
      <c r="W32" s="466">
        <f t="shared" si="37"/>
        <v>10000000</v>
      </c>
      <c r="X32" s="466">
        <f t="shared" si="38"/>
        <v>2500000</v>
      </c>
      <c r="Y32" s="466">
        <f t="shared" si="39"/>
        <v>65000000</v>
      </c>
      <c r="Z32" s="466">
        <f t="shared" si="40"/>
        <v>22500000</v>
      </c>
      <c r="AA32" s="47">
        <v>8</v>
      </c>
      <c r="AB32" s="134">
        <f t="shared" si="24"/>
        <v>4000000</v>
      </c>
      <c r="AC32" s="47">
        <v>3</v>
      </c>
      <c r="AD32" s="134">
        <f t="shared" si="1"/>
        <v>1500000</v>
      </c>
      <c r="AE32" s="47">
        <v>8</v>
      </c>
      <c r="AF32" s="134">
        <f t="shared" si="2"/>
        <v>4000000</v>
      </c>
      <c r="AG32" s="47">
        <v>8</v>
      </c>
      <c r="AH32" s="134">
        <f t="shared" si="3"/>
        <v>4000000</v>
      </c>
      <c r="AI32" s="47">
        <v>3</v>
      </c>
      <c r="AJ32" s="134">
        <f t="shared" si="4"/>
        <v>1500000</v>
      </c>
      <c r="AK32" s="47">
        <v>7</v>
      </c>
      <c r="AL32" s="134">
        <f t="shared" si="5"/>
        <v>3500000</v>
      </c>
      <c r="AM32" s="47">
        <v>4</v>
      </c>
      <c r="AN32" s="134">
        <f t="shared" si="6"/>
        <v>2000000</v>
      </c>
      <c r="AO32" s="47">
        <v>5</v>
      </c>
      <c r="AP32" s="134">
        <f t="shared" si="7"/>
        <v>2500000</v>
      </c>
      <c r="AQ32" s="47">
        <v>6</v>
      </c>
      <c r="AR32" s="134">
        <f t="shared" si="8"/>
        <v>3000000</v>
      </c>
      <c r="AS32" s="47">
        <v>6</v>
      </c>
      <c r="AT32" s="134">
        <f t="shared" si="9"/>
        <v>3000000</v>
      </c>
      <c r="AU32" s="47">
        <v>7</v>
      </c>
      <c r="AV32" s="134">
        <f t="shared" si="10"/>
        <v>3500000</v>
      </c>
      <c r="AW32" s="47">
        <v>5</v>
      </c>
      <c r="AX32" s="134">
        <f t="shared" si="11"/>
        <v>2500000</v>
      </c>
      <c r="AY32" s="47">
        <v>5</v>
      </c>
      <c r="AZ32" s="134">
        <f t="shared" si="12"/>
        <v>2500000</v>
      </c>
      <c r="BA32" s="47">
        <v>6</v>
      </c>
      <c r="BB32" s="134">
        <f t="shared" si="13"/>
        <v>3000000</v>
      </c>
      <c r="BC32" s="47">
        <v>5</v>
      </c>
      <c r="BD32" s="134">
        <f t="shared" si="14"/>
        <v>2500000</v>
      </c>
      <c r="BE32" s="47">
        <v>4</v>
      </c>
      <c r="BF32" s="134">
        <f t="shared" si="15"/>
        <v>2000000</v>
      </c>
      <c r="BG32" s="47">
        <v>10</v>
      </c>
      <c r="BH32" s="134">
        <f t="shared" si="16"/>
        <v>5000000</v>
      </c>
      <c r="BI32" s="47"/>
      <c r="BJ32" s="134">
        <f t="shared" si="17"/>
        <v>0</v>
      </c>
      <c r="BK32" s="47">
        <f t="shared" si="36"/>
        <v>100</v>
      </c>
      <c r="BL32" s="85">
        <f t="shared" si="36"/>
        <v>50000000</v>
      </c>
      <c r="BM32" s="348" t="s">
        <v>838</v>
      </c>
      <c r="BN32" s="106"/>
      <c r="BO32" s="385">
        <f t="shared" si="43"/>
        <v>50000000</v>
      </c>
      <c r="BP32" s="385"/>
      <c r="BQ32" s="385"/>
      <c r="BR32" s="385"/>
      <c r="BS32" s="385">
        <f t="shared" si="41"/>
        <v>50000000</v>
      </c>
      <c r="BT32" s="385"/>
      <c r="BU32" s="385"/>
      <c r="BV32" s="385">
        <f t="shared" si="42"/>
        <v>0</v>
      </c>
      <c r="BW32" s="387">
        <f t="shared" si="20"/>
        <v>50000000</v>
      </c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</row>
    <row r="33" spans="1:160" s="482" customFormat="1" x14ac:dyDescent="0.25">
      <c r="A33" s="956"/>
      <c r="B33" s="484"/>
      <c r="C33" s="471"/>
      <c r="D33" s="210" t="s">
        <v>695</v>
      </c>
      <c r="E33" s="210" t="s">
        <v>694</v>
      </c>
      <c r="F33" s="388">
        <v>140000</v>
      </c>
      <c r="G33" s="210">
        <f t="shared" si="34"/>
        <v>19</v>
      </c>
      <c r="H33" s="466">
        <f t="shared" si="35"/>
        <v>2660000</v>
      </c>
      <c r="I33" s="466">
        <f>H33*0.1</f>
        <v>266000</v>
      </c>
      <c r="J33" s="466"/>
      <c r="K33" s="466"/>
      <c r="L33" s="466"/>
      <c r="M33" s="466">
        <f>H33*0.9</f>
        <v>2394000</v>
      </c>
      <c r="N33" s="466"/>
      <c r="O33" s="466"/>
      <c r="P33" s="466"/>
      <c r="Q33" s="466"/>
      <c r="R33" s="466">
        <f>H33*0</f>
        <v>0</v>
      </c>
      <c r="S33" s="187">
        <v>4</v>
      </c>
      <c r="T33" s="143">
        <v>0</v>
      </c>
      <c r="U33" s="143">
        <v>11</v>
      </c>
      <c r="V33" s="143">
        <v>4</v>
      </c>
      <c r="W33" s="466">
        <f t="shared" si="37"/>
        <v>560000</v>
      </c>
      <c r="X33" s="466">
        <f t="shared" si="38"/>
        <v>0</v>
      </c>
      <c r="Y33" s="466">
        <f t="shared" si="39"/>
        <v>1540000</v>
      </c>
      <c r="Z33" s="466">
        <f t="shared" si="40"/>
        <v>560000</v>
      </c>
      <c r="AA33" s="47"/>
      <c r="AB33" s="134">
        <f t="shared" si="24"/>
        <v>0</v>
      </c>
      <c r="AC33" s="47">
        <v>2</v>
      </c>
      <c r="AD33" s="134">
        <f t="shared" si="1"/>
        <v>280000</v>
      </c>
      <c r="AE33" s="47">
        <v>2</v>
      </c>
      <c r="AF33" s="134">
        <f t="shared" si="2"/>
        <v>280000</v>
      </c>
      <c r="AG33" s="47">
        <v>5</v>
      </c>
      <c r="AH33" s="134">
        <f t="shared" si="3"/>
        <v>700000</v>
      </c>
      <c r="AI33" s="47"/>
      <c r="AJ33" s="134">
        <f t="shared" si="4"/>
        <v>0</v>
      </c>
      <c r="AK33" s="47"/>
      <c r="AL33" s="134">
        <f t="shared" si="5"/>
        <v>0</v>
      </c>
      <c r="AM33" s="47"/>
      <c r="AN33" s="134">
        <f t="shared" si="6"/>
        <v>0</v>
      </c>
      <c r="AO33" s="47"/>
      <c r="AP33" s="134">
        <f t="shared" si="7"/>
        <v>0</v>
      </c>
      <c r="AQ33" s="47">
        <v>1</v>
      </c>
      <c r="AR33" s="134">
        <f t="shared" si="8"/>
        <v>140000</v>
      </c>
      <c r="AS33" s="47">
        <v>2</v>
      </c>
      <c r="AT33" s="134">
        <f t="shared" si="9"/>
        <v>280000</v>
      </c>
      <c r="AU33" s="47"/>
      <c r="AV33" s="134">
        <f t="shared" si="10"/>
        <v>0</v>
      </c>
      <c r="AW33" s="47"/>
      <c r="AX33" s="134">
        <f t="shared" si="11"/>
        <v>0</v>
      </c>
      <c r="AY33" s="47">
        <v>2</v>
      </c>
      <c r="AZ33" s="134">
        <f t="shared" si="12"/>
        <v>280000</v>
      </c>
      <c r="BA33" s="47"/>
      <c r="BB33" s="134">
        <f t="shared" si="13"/>
        <v>0</v>
      </c>
      <c r="BC33" s="47">
        <v>3</v>
      </c>
      <c r="BD33" s="134">
        <f t="shared" si="14"/>
        <v>420000</v>
      </c>
      <c r="BE33" s="47">
        <v>2</v>
      </c>
      <c r="BF33" s="134">
        <f t="shared" si="15"/>
        <v>280000</v>
      </c>
      <c r="BG33" s="47"/>
      <c r="BH33" s="134">
        <f t="shared" si="16"/>
        <v>0</v>
      </c>
      <c r="BI33" s="47"/>
      <c r="BJ33" s="134">
        <f t="shared" si="17"/>
        <v>0</v>
      </c>
      <c r="BK33" s="47">
        <f t="shared" si="36"/>
        <v>19</v>
      </c>
      <c r="BL33" s="85">
        <f t="shared" si="36"/>
        <v>2660000</v>
      </c>
      <c r="BM33" s="339" t="s">
        <v>476</v>
      </c>
      <c r="BN33" s="106"/>
      <c r="BO33" s="385">
        <f t="shared" si="43"/>
        <v>2660000</v>
      </c>
      <c r="BP33" s="385"/>
      <c r="BQ33" s="385"/>
      <c r="BR33" s="385"/>
      <c r="BS33" s="385">
        <f t="shared" si="41"/>
        <v>2660000</v>
      </c>
      <c r="BT33" s="385"/>
      <c r="BU33" s="385"/>
      <c r="BV33" s="385">
        <f t="shared" si="42"/>
        <v>0</v>
      </c>
      <c r="BW33" s="387">
        <f t="shared" si="20"/>
        <v>2660000</v>
      </c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</row>
    <row r="34" spans="1:160" s="482" customFormat="1" ht="31.5" x14ac:dyDescent="0.25">
      <c r="A34" s="956"/>
      <c r="B34" s="484"/>
      <c r="C34" s="471"/>
      <c r="D34" s="210" t="s">
        <v>696</v>
      </c>
      <c r="E34" s="210" t="s">
        <v>694</v>
      </c>
      <c r="F34" s="388">
        <v>30000</v>
      </c>
      <c r="G34" s="210">
        <f t="shared" si="34"/>
        <v>24</v>
      </c>
      <c r="H34" s="466">
        <f t="shared" si="35"/>
        <v>720000</v>
      </c>
      <c r="I34" s="466"/>
      <c r="J34" s="466"/>
      <c r="K34" s="466"/>
      <c r="L34" s="466"/>
      <c r="M34" s="466"/>
      <c r="N34" s="466">
        <f>H34*1</f>
        <v>720000</v>
      </c>
      <c r="O34" s="466"/>
      <c r="P34" s="466"/>
      <c r="Q34" s="466"/>
      <c r="R34" s="466"/>
      <c r="S34" s="187">
        <v>4</v>
      </c>
      <c r="T34" s="143">
        <v>0</v>
      </c>
      <c r="U34" s="143">
        <v>13</v>
      </c>
      <c r="V34" s="143">
        <v>4</v>
      </c>
      <c r="W34" s="466">
        <f t="shared" si="37"/>
        <v>120000</v>
      </c>
      <c r="X34" s="466">
        <f t="shared" si="38"/>
        <v>0</v>
      </c>
      <c r="Y34" s="466">
        <f t="shared" si="39"/>
        <v>390000</v>
      </c>
      <c r="Z34" s="466">
        <f t="shared" si="40"/>
        <v>120000</v>
      </c>
      <c r="AA34" s="47">
        <v>2</v>
      </c>
      <c r="AB34" s="134">
        <f t="shared" si="24"/>
        <v>60000</v>
      </c>
      <c r="AC34" s="47">
        <v>1</v>
      </c>
      <c r="AD34" s="134">
        <f t="shared" si="1"/>
        <v>30000</v>
      </c>
      <c r="AE34" s="47"/>
      <c r="AF34" s="134">
        <f t="shared" si="2"/>
        <v>0</v>
      </c>
      <c r="AG34" s="47">
        <v>5</v>
      </c>
      <c r="AH34" s="134">
        <f t="shared" si="3"/>
        <v>150000</v>
      </c>
      <c r="AI34" s="47"/>
      <c r="AJ34" s="134">
        <f t="shared" si="4"/>
        <v>0</v>
      </c>
      <c r="AK34" s="47">
        <v>1</v>
      </c>
      <c r="AL34" s="134">
        <f t="shared" si="5"/>
        <v>30000</v>
      </c>
      <c r="AM34" s="47"/>
      <c r="AN34" s="134">
        <f t="shared" si="6"/>
        <v>0</v>
      </c>
      <c r="AO34" s="47">
        <v>2</v>
      </c>
      <c r="AP34" s="134">
        <f t="shared" si="7"/>
        <v>60000</v>
      </c>
      <c r="AQ34" s="47">
        <v>0</v>
      </c>
      <c r="AR34" s="134">
        <f t="shared" si="8"/>
        <v>0</v>
      </c>
      <c r="AS34" s="47">
        <v>1</v>
      </c>
      <c r="AT34" s="134">
        <f t="shared" si="9"/>
        <v>30000</v>
      </c>
      <c r="AU34" s="641">
        <v>5</v>
      </c>
      <c r="AV34" s="134">
        <f t="shared" si="10"/>
        <v>150000</v>
      </c>
      <c r="AW34" s="47"/>
      <c r="AX34" s="134">
        <f t="shared" si="11"/>
        <v>0</v>
      </c>
      <c r="AY34" s="47"/>
      <c r="AZ34" s="134">
        <f t="shared" si="12"/>
        <v>0</v>
      </c>
      <c r="BA34" s="47">
        <v>2</v>
      </c>
      <c r="BB34" s="134">
        <f t="shared" si="13"/>
        <v>60000</v>
      </c>
      <c r="BC34" s="47">
        <v>5</v>
      </c>
      <c r="BD34" s="134">
        <f t="shared" si="14"/>
        <v>150000</v>
      </c>
      <c r="BE34" s="47"/>
      <c r="BF34" s="134">
        <f t="shared" si="15"/>
        <v>0</v>
      </c>
      <c r="BG34" s="47"/>
      <c r="BH34" s="134">
        <f t="shared" si="16"/>
        <v>0</v>
      </c>
      <c r="BI34" s="47"/>
      <c r="BJ34" s="134">
        <f t="shared" si="17"/>
        <v>0</v>
      </c>
      <c r="BK34" s="47">
        <f t="shared" si="36"/>
        <v>24</v>
      </c>
      <c r="BL34" s="85">
        <f t="shared" si="36"/>
        <v>720000</v>
      </c>
      <c r="BM34" s="339" t="s">
        <v>732</v>
      </c>
      <c r="BN34" s="106"/>
      <c r="BO34" s="385">
        <f t="shared" si="43"/>
        <v>720000</v>
      </c>
      <c r="BP34" s="385"/>
      <c r="BQ34" s="385"/>
      <c r="BR34" s="385"/>
      <c r="BS34" s="385">
        <f t="shared" si="41"/>
        <v>720000</v>
      </c>
      <c r="BT34" s="385"/>
      <c r="BU34" s="385"/>
      <c r="BV34" s="385">
        <f t="shared" si="42"/>
        <v>0</v>
      </c>
      <c r="BW34" s="387">
        <f t="shared" si="20"/>
        <v>720000</v>
      </c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</row>
    <row r="35" spans="1:160" s="482" customFormat="1" x14ac:dyDescent="0.25">
      <c r="A35" s="956"/>
      <c r="B35" s="484"/>
      <c r="C35" s="471"/>
      <c r="D35" s="210" t="s">
        <v>697</v>
      </c>
      <c r="E35" s="210" t="s">
        <v>715</v>
      </c>
      <c r="F35" s="388">
        <v>2880</v>
      </c>
      <c r="G35" s="210">
        <f t="shared" si="34"/>
        <v>2800</v>
      </c>
      <c r="H35" s="466">
        <f t="shared" si="35"/>
        <v>8064000</v>
      </c>
      <c r="I35" s="466"/>
      <c r="J35" s="466"/>
      <c r="K35" s="466"/>
      <c r="L35" s="466"/>
      <c r="M35" s="466">
        <f>H35*1</f>
        <v>8064000</v>
      </c>
      <c r="N35" s="466"/>
      <c r="O35" s="466"/>
      <c r="P35" s="466"/>
      <c r="Q35" s="466"/>
      <c r="R35" s="466">
        <f>H35*0</f>
        <v>0</v>
      </c>
      <c r="S35" s="144">
        <v>540</v>
      </c>
      <c r="T35" s="143">
        <v>0</v>
      </c>
      <c r="U35" s="143">
        <f>G35*0.6</f>
        <v>1680</v>
      </c>
      <c r="V35" s="143">
        <f>G35*0.2</f>
        <v>560</v>
      </c>
      <c r="W35" s="466">
        <f t="shared" si="37"/>
        <v>1555200</v>
      </c>
      <c r="X35" s="466">
        <f t="shared" si="38"/>
        <v>0</v>
      </c>
      <c r="Y35" s="466">
        <f t="shared" si="39"/>
        <v>4838400</v>
      </c>
      <c r="Z35" s="466">
        <f t="shared" si="40"/>
        <v>1612800</v>
      </c>
      <c r="AA35" s="47">
        <v>200</v>
      </c>
      <c r="AB35" s="134">
        <f t="shared" si="24"/>
        <v>576000</v>
      </c>
      <c r="AC35" s="47">
        <v>50</v>
      </c>
      <c r="AD35" s="134">
        <f t="shared" si="1"/>
        <v>144000</v>
      </c>
      <c r="AE35" s="47">
        <v>100</v>
      </c>
      <c r="AF35" s="134">
        <f t="shared" si="2"/>
        <v>288000</v>
      </c>
      <c r="AG35" s="47">
        <v>300</v>
      </c>
      <c r="AH35" s="134">
        <f t="shared" si="3"/>
        <v>864000</v>
      </c>
      <c r="AI35" s="47">
        <v>100</v>
      </c>
      <c r="AJ35" s="134">
        <f t="shared" si="4"/>
        <v>288000</v>
      </c>
      <c r="AK35" s="47">
        <v>300</v>
      </c>
      <c r="AL35" s="134">
        <f t="shared" si="5"/>
        <v>864000</v>
      </c>
      <c r="AM35" s="47">
        <v>400</v>
      </c>
      <c r="AN35" s="134">
        <f t="shared" si="6"/>
        <v>1152000</v>
      </c>
      <c r="AO35" s="47">
        <v>50</v>
      </c>
      <c r="AP35" s="134">
        <f t="shared" si="7"/>
        <v>144000</v>
      </c>
      <c r="AQ35" s="47">
        <v>100</v>
      </c>
      <c r="AR35" s="134">
        <f t="shared" si="8"/>
        <v>288000</v>
      </c>
      <c r="AS35" s="47">
        <v>200</v>
      </c>
      <c r="AT35" s="134">
        <f t="shared" si="9"/>
        <v>576000</v>
      </c>
      <c r="AU35" s="641">
        <v>200</v>
      </c>
      <c r="AV35" s="134">
        <f t="shared" si="10"/>
        <v>576000</v>
      </c>
      <c r="AW35" s="47"/>
      <c r="AX35" s="134">
        <f t="shared" si="11"/>
        <v>0</v>
      </c>
      <c r="AY35" s="47"/>
      <c r="AZ35" s="134">
        <f t="shared" si="12"/>
        <v>0</v>
      </c>
      <c r="BA35" s="47">
        <v>200</v>
      </c>
      <c r="BB35" s="134">
        <f t="shared" si="13"/>
        <v>576000</v>
      </c>
      <c r="BC35" s="47">
        <v>300</v>
      </c>
      <c r="BD35" s="134">
        <f t="shared" si="14"/>
        <v>864000</v>
      </c>
      <c r="BE35" s="47">
        <v>100</v>
      </c>
      <c r="BF35" s="134">
        <f t="shared" si="15"/>
        <v>288000</v>
      </c>
      <c r="BG35" s="47">
        <v>200</v>
      </c>
      <c r="BH35" s="134">
        <f t="shared" si="16"/>
        <v>576000</v>
      </c>
      <c r="BI35" s="47"/>
      <c r="BJ35" s="134">
        <f t="shared" si="17"/>
        <v>0</v>
      </c>
      <c r="BK35" s="47">
        <f t="shared" si="36"/>
        <v>2800</v>
      </c>
      <c r="BL35" s="85">
        <f t="shared" si="36"/>
        <v>8064000</v>
      </c>
      <c r="BM35" s="339" t="s">
        <v>835</v>
      </c>
      <c r="BN35" s="106"/>
      <c r="BO35" s="385">
        <f t="shared" si="43"/>
        <v>8064000</v>
      </c>
      <c r="BP35" s="385"/>
      <c r="BQ35" s="385"/>
      <c r="BR35" s="385"/>
      <c r="BS35" s="385">
        <f t="shared" si="41"/>
        <v>8064000</v>
      </c>
      <c r="BT35" s="385"/>
      <c r="BU35" s="385"/>
      <c r="BV35" s="385">
        <f t="shared" si="42"/>
        <v>0</v>
      </c>
      <c r="BW35" s="387">
        <f t="shared" si="20"/>
        <v>8064000</v>
      </c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</row>
    <row r="36" spans="1:160" s="482" customFormat="1" x14ac:dyDescent="0.25">
      <c r="A36" s="956"/>
      <c r="B36" s="484"/>
      <c r="C36" s="471"/>
      <c r="D36" s="210" t="s">
        <v>704</v>
      </c>
      <c r="E36" s="210" t="s">
        <v>606</v>
      </c>
      <c r="F36" s="388">
        <v>210000</v>
      </c>
      <c r="G36" s="210">
        <f t="shared" si="34"/>
        <v>33</v>
      </c>
      <c r="H36" s="466">
        <f t="shared" si="35"/>
        <v>6930000</v>
      </c>
      <c r="I36" s="466"/>
      <c r="J36" s="466"/>
      <c r="K36" s="466"/>
      <c r="L36" s="466"/>
      <c r="M36" s="466">
        <f>H36*1</f>
        <v>6930000</v>
      </c>
      <c r="N36" s="466"/>
      <c r="O36" s="466"/>
      <c r="P36" s="466"/>
      <c r="Q36" s="466"/>
      <c r="R36" s="466">
        <f>H36*0</f>
        <v>0</v>
      </c>
      <c r="S36" s="144">
        <v>6</v>
      </c>
      <c r="T36" s="143">
        <v>0</v>
      </c>
      <c r="U36" s="143">
        <v>20</v>
      </c>
      <c r="V36" s="143">
        <v>7</v>
      </c>
      <c r="W36" s="466">
        <f t="shared" si="37"/>
        <v>1260000</v>
      </c>
      <c r="X36" s="466">
        <f t="shared" si="38"/>
        <v>0</v>
      </c>
      <c r="Y36" s="466">
        <f t="shared" si="39"/>
        <v>4200000</v>
      </c>
      <c r="Z36" s="466">
        <f t="shared" si="40"/>
        <v>1470000</v>
      </c>
      <c r="AA36" s="47">
        <v>2</v>
      </c>
      <c r="AB36" s="134">
        <f t="shared" si="24"/>
        <v>420000</v>
      </c>
      <c r="AC36" s="47">
        <v>0</v>
      </c>
      <c r="AD36" s="134">
        <f t="shared" si="1"/>
        <v>0</v>
      </c>
      <c r="AE36" s="47"/>
      <c r="AF36" s="134">
        <f t="shared" si="2"/>
        <v>0</v>
      </c>
      <c r="AG36" s="47">
        <v>4</v>
      </c>
      <c r="AH36" s="134">
        <f t="shared" si="3"/>
        <v>840000</v>
      </c>
      <c r="AI36" s="47">
        <v>1</v>
      </c>
      <c r="AJ36" s="134">
        <f t="shared" si="4"/>
        <v>210000</v>
      </c>
      <c r="AK36" s="47">
        <v>2</v>
      </c>
      <c r="AL36" s="134">
        <f t="shared" si="5"/>
        <v>420000</v>
      </c>
      <c r="AM36" s="47">
        <v>4</v>
      </c>
      <c r="AN36" s="134">
        <f t="shared" si="6"/>
        <v>840000</v>
      </c>
      <c r="AO36" s="47"/>
      <c r="AP36" s="134">
        <f t="shared" si="7"/>
        <v>0</v>
      </c>
      <c r="AQ36" s="47">
        <v>2</v>
      </c>
      <c r="AR36" s="134">
        <f t="shared" si="8"/>
        <v>420000</v>
      </c>
      <c r="AS36" s="47">
        <v>3</v>
      </c>
      <c r="AT36" s="134">
        <f t="shared" si="9"/>
        <v>630000</v>
      </c>
      <c r="AU36" s="47">
        <v>2</v>
      </c>
      <c r="AV36" s="134">
        <f t="shared" si="10"/>
        <v>420000</v>
      </c>
      <c r="AW36" s="47"/>
      <c r="AX36" s="134">
        <f t="shared" si="11"/>
        <v>0</v>
      </c>
      <c r="AY36" s="47">
        <v>2</v>
      </c>
      <c r="AZ36" s="134">
        <f t="shared" si="12"/>
        <v>420000</v>
      </c>
      <c r="BA36" s="47">
        <v>5</v>
      </c>
      <c r="BB36" s="134">
        <f t="shared" si="13"/>
        <v>1050000</v>
      </c>
      <c r="BC36" s="47">
        <v>5</v>
      </c>
      <c r="BD36" s="134">
        <f t="shared" si="14"/>
        <v>1050000</v>
      </c>
      <c r="BE36" s="47">
        <v>1</v>
      </c>
      <c r="BF36" s="134">
        <f t="shared" si="15"/>
        <v>210000</v>
      </c>
      <c r="BG36" s="47"/>
      <c r="BH36" s="134">
        <f t="shared" si="16"/>
        <v>0</v>
      </c>
      <c r="BI36" s="47"/>
      <c r="BJ36" s="134">
        <f t="shared" si="17"/>
        <v>0</v>
      </c>
      <c r="BK36" s="47">
        <f t="shared" si="36"/>
        <v>33</v>
      </c>
      <c r="BL36" s="85">
        <f t="shared" si="36"/>
        <v>6930000</v>
      </c>
      <c r="BM36" s="339" t="s">
        <v>835</v>
      </c>
      <c r="BN36" s="106"/>
      <c r="BO36" s="385">
        <f t="shared" si="43"/>
        <v>6930000</v>
      </c>
      <c r="BP36" s="385"/>
      <c r="BQ36" s="385"/>
      <c r="BR36" s="385"/>
      <c r="BS36" s="385">
        <f t="shared" si="41"/>
        <v>6930000</v>
      </c>
      <c r="BT36" s="385"/>
      <c r="BU36" s="385"/>
      <c r="BV36" s="385">
        <f t="shared" si="42"/>
        <v>0</v>
      </c>
      <c r="BW36" s="387">
        <f t="shared" si="20"/>
        <v>6930000</v>
      </c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</row>
    <row r="37" spans="1:160" s="482" customFormat="1" x14ac:dyDescent="0.25">
      <c r="A37" s="956"/>
      <c r="B37" s="484"/>
      <c r="C37" s="138"/>
      <c r="D37" s="138"/>
      <c r="E37" s="138"/>
      <c r="F37" s="138"/>
      <c r="G37" s="138">
        <f>SUM(G27:G36)</f>
        <v>3242.5</v>
      </c>
      <c r="H37" s="138">
        <f t="shared" ref="H37:BM37" si="44">SUM(H27:H36)</f>
        <v>120384000</v>
      </c>
      <c r="I37" s="138">
        <f t="shared" si="44"/>
        <v>5782000</v>
      </c>
      <c r="J37" s="138">
        <f t="shared" si="44"/>
        <v>14520000</v>
      </c>
      <c r="K37" s="138">
        <f t="shared" si="44"/>
        <v>30000000</v>
      </c>
      <c r="L37" s="138">
        <f t="shared" si="44"/>
        <v>20000000</v>
      </c>
      <c r="M37" s="138">
        <f t="shared" si="44"/>
        <v>49362000</v>
      </c>
      <c r="N37" s="138">
        <f t="shared" si="44"/>
        <v>720000</v>
      </c>
      <c r="O37" s="138">
        <f t="shared" si="44"/>
        <v>0</v>
      </c>
      <c r="P37" s="138">
        <f t="shared" si="44"/>
        <v>0</v>
      </c>
      <c r="Q37" s="138">
        <f t="shared" si="44"/>
        <v>0</v>
      </c>
      <c r="R37" s="138">
        <f t="shared" si="44"/>
        <v>0</v>
      </c>
      <c r="S37" s="138">
        <f t="shared" si="44"/>
        <v>626.5</v>
      </c>
      <c r="T37" s="138">
        <f t="shared" si="44"/>
        <v>5</v>
      </c>
      <c r="U37" s="138">
        <f t="shared" si="44"/>
        <v>2012</v>
      </c>
      <c r="V37" s="138">
        <f t="shared" si="44"/>
        <v>674</v>
      </c>
      <c r="W37" s="138">
        <f t="shared" si="44"/>
        <v>23705200</v>
      </c>
      <c r="X37" s="138">
        <f t="shared" si="44"/>
        <v>2500000</v>
      </c>
      <c r="Y37" s="138">
        <f t="shared" si="44"/>
        <v>106888400</v>
      </c>
      <c r="Z37" s="138">
        <f t="shared" si="44"/>
        <v>37062800</v>
      </c>
      <c r="AA37" s="248">
        <f t="shared" si="44"/>
        <v>234.2</v>
      </c>
      <c r="AB37" s="248">
        <f t="shared" si="44"/>
        <v>7756000</v>
      </c>
      <c r="AC37" s="248">
        <f t="shared" si="44"/>
        <v>60.5</v>
      </c>
      <c r="AD37" s="248">
        <f t="shared" si="44"/>
        <v>3274000</v>
      </c>
      <c r="AE37" s="248">
        <f t="shared" si="44"/>
        <v>116</v>
      </c>
      <c r="AF37" s="248">
        <f t="shared" si="44"/>
        <v>6428000</v>
      </c>
      <c r="AG37" s="248">
        <f t="shared" si="44"/>
        <v>354</v>
      </c>
      <c r="AH37" s="248">
        <f t="shared" si="44"/>
        <v>15954000</v>
      </c>
      <c r="AI37" s="248">
        <f t="shared" si="44"/>
        <v>114.3</v>
      </c>
      <c r="AJ37" s="248">
        <f t="shared" si="44"/>
        <v>5358000</v>
      </c>
      <c r="AK37" s="248">
        <f t="shared" si="44"/>
        <v>337</v>
      </c>
      <c r="AL37" s="248">
        <f t="shared" si="44"/>
        <v>8814000</v>
      </c>
      <c r="AM37" s="248">
        <f t="shared" si="44"/>
        <v>412.5</v>
      </c>
      <c r="AN37" s="248">
        <f t="shared" si="44"/>
        <v>4652000</v>
      </c>
      <c r="AO37" s="248">
        <f t="shared" si="44"/>
        <v>72.5</v>
      </c>
      <c r="AP37" s="248">
        <f t="shared" si="44"/>
        <v>3804000</v>
      </c>
      <c r="AQ37" s="248">
        <f t="shared" si="44"/>
        <v>120</v>
      </c>
      <c r="AR37" s="248">
        <f t="shared" si="44"/>
        <v>4898000</v>
      </c>
      <c r="AS37" s="248">
        <f t="shared" si="44"/>
        <v>230</v>
      </c>
      <c r="AT37" s="248">
        <f t="shared" si="44"/>
        <v>8416000</v>
      </c>
      <c r="AU37" s="248">
        <f t="shared" si="44"/>
        <v>248</v>
      </c>
      <c r="AV37" s="248">
        <f t="shared" si="44"/>
        <v>9186000</v>
      </c>
      <c r="AW37" s="248">
        <f t="shared" si="44"/>
        <v>19</v>
      </c>
      <c r="AX37" s="248">
        <f t="shared" si="44"/>
        <v>5200000</v>
      </c>
      <c r="AY37" s="248">
        <f t="shared" si="44"/>
        <v>17</v>
      </c>
      <c r="AZ37" s="248">
        <f t="shared" si="44"/>
        <v>5920000</v>
      </c>
      <c r="BA37" s="248">
        <f t="shared" si="44"/>
        <v>225</v>
      </c>
      <c r="BB37" s="248">
        <f t="shared" si="44"/>
        <v>6786000</v>
      </c>
      <c r="BC37" s="248">
        <f t="shared" si="44"/>
        <v>330.5</v>
      </c>
      <c r="BD37" s="248">
        <f t="shared" si="44"/>
        <v>10984000</v>
      </c>
      <c r="BE37" s="248">
        <f t="shared" si="44"/>
        <v>128.5</v>
      </c>
      <c r="BF37" s="248">
        <f t="shared" si="44"/>
        <v>4378000</v>
      </c>
      <c r="BG37" s="248">
        <f t="shared" si="44"/>
        <v>223.5</v>
      </c>
      <c r="BH37" s="248">
        <f t="shared" si="44"/>
        <v>8576000</v>
      </c>
      <c r="BI37" s="248">
        <f t="shared" si="44"/>
        <v>0</v>
      </c>
      <c r="BJ37" s="248">
        <f t="shared" si="44"/>
        <v>0</v>
      </c>
      <c r="BK37" s="203">
        <f t="shared" si="44"/>
        <v>3242.5</v>
      </c>
      <c r="BL37" s="248">
        <f t="shared" si="44"/>
        <v>120384000</v>
      </c>
      <c r="BM37" s="349">
        <f t="shared" si="44"/>
        <v>0</v>
      </c>
      <c r="BN37" s="67"/>
      <c r="BO37" s="138">
        <f t="shared" ref="BO37:BW37" si="45">SUM(BO27:BO36)</f>
        <v>120384000</v>
      </c>
      <c r="BP37" s="138">
        <f t="shared" si="45"/>
        <v>0</v>
      </c>
      <c r="BQ37" s="138">
        <f t="shared" si="45"/>
        <v>0</v>
      </c>
      <c r="BR37" s="138">
        <f t="shared" si="45"/>
        <v>0</v>
      </c>
      <c r="BS37" s="138">
        <f t="shared" si="45"/>
        <v>120384000</v>
      </c>
      <c r="BT37" s="138">
        <f t="shared" si="45"/>
        <v>0</v>
      </c>
      <c r="BU37" s="138">
        <f t="shared" si="45"/>
        <v>0</v>
      </c>
      <c r="BV37" s="138">
        <f t="shared" si="45"/>
        <v>0</v>
      </c>
      <c r="BW37" s="138">
        <f t="shared" si="45"/>
        <v>120384000</v>
      </c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  <c r="EM37" s="275"/>
      <c r="EN37" s="275"/>
      <c r="EO37" s="275"/>
      <c r="EP37" s="275"/>
      <c r="EQ37" s="275"/>
      <c r="ER37" s="275"/>
      <c r="ES37" s="275"/>
      <c r="ET37" s="275"/>
      <c r="EU37" s="275"/>
      <c r="EV37" s="275"/>
      <c r="EW37" s="275"/>
      <c r="EX37" s="275"/>
      <c r="EY37" s="275"/>
      <c r="EZ37" s="275"/>
      <c r="FA37" s="275"/>
      <c r="FB37" s="275"/>
      <c r="FC37" s="275"/>
      <c r="FD37" s="275"/>
    </row>
    <row r="38" spans="1:160" x14ac:dyDescent="0.25">
      <c r="A38" s="956"/>
      <c r="B38" s="484"/>
      <c r="C38" s="367">
        <v>31500</v>
      </c>
      <c r="D38" s="367" t="s">
        <v>218</v>
      </c>
      <c r="E38" s="210"/>
      <c r="F38" s="388"/>
      <c r="G38" s="210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87"/>
      <c r="T38" s="143">
        <f>G38*0.2</f>
        <v>0</v>
      </c>
      <c r="U38" s="143">
        <f>G38*0.6</f>
        <v>0</v>
      </c>
      <c r="V38" s="143">
        <f>G38*0.2</f>
        <v>0</v>
      </c>
      <c r="W38" s="85"/>
      <c r="X38" s="134">
        <f>H38*0.2</f>
        <v>0</v>
      </c>
      <c r="Y38" s="134">
        <f>H38*0.6</f>
        <v>0</v>
      </c>
      <c r="Z38" s="134">
        <f>H38*0.2</f>
        <v>0</v>
      </c>
      <c r="AA38" s="47"/>
      <c r="AB38" s="134">
        <f t="shared" si="24"/>
        <v>0</v>
      </c>
      <c r="AC38" s="47"/>
      <c r="AD38" s="134">
        <f t="shared" si="1"/>
        <v>0</v>
      </c>
      <c r="AE38" s="47"/>
      <c r="AF38" s="134">
        <f t="shared" si="2"/>
        <v>0</v>
      </c>
      <c r="AG38" s="47"/>
      <c r="AH38" s="134">
        <f t="shared" si="3"/>
        <v>0</v>
      </c>
      <c r="AI38" s="47"/>
      <c r="AJ38" s="134">
        <f t="shared" si="4"/>
        <v>0</v>
      </c>
      <c r="AK38" s="47"/>
      <c r="AL38" s="134">
        <f t="shared" si="5"/>
        <v>0</v>
      </c>
      <c r="AM38" s="47"/>
      <c r="AN38" s="134">
        <f t="shared" si="6"/>
        <v>0</v>
      </c>
      <c r="AO38" s="47"/>
      <c r="AP38" s="134">
        <f t="shared" si="7"/>
        <v>0</v>
      </c>
      <c r="AQ38" s="47"/>
      <c r="AR38" s="134">
        <f t="shared" si="8"/>
        <v>0</v>
      </c>
      <c r="AS38" s="47"/>
      <c r="AT38" s="134">
        <f t="shared" si="9"/>
        <v>0</v>
      </c>
      <c r="AU38" s="47"/>
      <c r="AV38" s="134">
        <f t="shared" si="10"/>
        <v>0</v>
      </c>
      <c r="AW38" s="47"/>
      <c r="AX38" s="134">
        <f t="shared" si="11"/>
        <v>0</v>
      </c>
      <c r="AY38" s="47"/>
      <c r="AZ38" s="134">
        <f t="shared" si="12"/>
        <v>0</v>
      </c>
      <c r="BA38" s="47"/>
      <c r="BB38" s="134">
        <f t="shared" si="13"/>
        <v>0</v>
      </c>
      <c r="BC38" s="47"/>
      <c r="BD38" s="134">
        <f t="shared" si="14"/>
        <v>0</v>
      </c>
      <c r="BE38" s="47"/>
      <c r="BF38" s="134">
        <f t="shared" si="15"/>
        <v>0</v>
      </c>
      <c r="BG38" s="47"/>
      <c r="BH38" s="134">
        <f t="shared" si="16"/>
        <v>0</v>
      </c>
      <c r="BI38" s="47"/>
      <c r="BJ38" s="134">
        <f t="shared" si="17"/>
        <v>0</v>
      </c>
      <c r="BK38" s="47"/>
      <c r="BL38" s="85"/>
      <c r="BM38" s="348"/>
      <c r="BO38" s="385"/>
      <c r="BP38" s="385"/>
      <c r="BQ38" s="385"/>
      <c r="BR38" s="385"/>
      <c r="BS38" s="385"/>
      <c r="BT38" s="385"/>
      <c r="BU38" s="385"/>
      <c r="BV38" s="385"/>
      <c r="BW38" s="387">
        <f t="shared" si="20"/>
        <v>0</v>
      </c>
    </row>
    <row r="39" spans="1:160" x14ac:dyDescent="0.25">
      <c r="A39" s="956"/>
      <c r="B39" s="484"/>
      <c r="C39" s="483"/>
      <c r="D39" s="210" t="s">
        <v>219</v>
      </c>
      <c r="E39" s="210" t="s">
        <v>606</v>
      </c>
      <c r="F39" s="388">
        <v>800000</v>
      </c>
      <c r="G39" s="210">
        <f>BK39</f>
        <v>26</v>
      </c>
      <c r="H39" s="466">
        <f>F39*G39</f>
        <v>20800000</v>
      </c>
      <c r="I39" s="466">
        <f>H39*0</f>
        <v>0</v>
      </c>
      <c r="J39" s="466">
        <f>H39*0</f>
        <v>0</v>
      </c>
      <c r="K39" s="466">
        <f>H39*0</f>
        <v>0</v>
      </c>
      <c r="L39" s="466">
        <f>H39*0</f>
        <v>0</v>
      </c>
      <c r="M39" s="466">
        <f>H39*1</f>
        <v>20800000</v>
      </c>
      <c r="N39" s="466">
        <f>H39*0</f>
        <v>0</v>
      </c>
      <c r="O39" s="466">
        <f>H39*0</f>
        <v>0</v>
      </c>
      <c r="P39" s="466">
        <f>H39*0</f>
        <v>0</v>
      </c>
      <c r="Q39" s="466">
        <f>H39*0</f>
        <v>0</v>
      </c>
      <c r="R39" s="466">
        <f>H39*0</f>
        <v>0</v>
      </c>
      <c r="S39" s="187">
        <v>3</v>
      </c>
      <c r="T39" s="143">
        <v>5</v>
      </c>
      <c r="U39" s="143">
        <v>12</v>
      </c>
      <c r="V39" s="143">
        <v>6</v>
      </c>
      <c r="W39" s="466">
        <f>S39*F39</f>
        <v>2400000</v>
      </c>
      <c r="X39" s="466">
        <f>T39*F39</f>
        <v>4000000</v>
      </c>
      <c r="Y39" s="466">
        <f>U39*F39</f>
        <v>9600000</v>
      </c>
      <c r="Z39" s="466">
        <f>V39*F39</f>
        <v>4800000</v>
      </c>
      <c r="AA39" s="47">
        <v>2</v>
      </c>
      <c r="AB39" s="134">
        <f t="shared" si="24"/>
        <v>1600000</v>
      </c>
      <c r="AC39" s="47">
        <v>1</v>
      </c>
      <c r="AD39" s="134">
        <f t="shared" si="1"/>
        <v>800000</v>
      </c>
      <c r="AE39" s="47">
        <v>1</v>
      </c>
      <c r="AF39" s="134">
        <f t="shared" si="2"/>
        <v>800000</v>
      </c>
      <c r="AG39" s="47">
        <v>3</v>
      </c>
      <c r="AH39" s="134">
        <f t="shared" si="3"/>
        <v>2400000</v>
      </c>
      <c r="AI39" s="47">
        <v>2</v>
      </c>
      <c r="AJ39" s="134">
        <f t="shared" si="4"/>
        <v>1600000</v>
      </c>
      <c r="AK39" s="47">
        <v>2</v>
      </c>
      <c r="AL39" s="134">
        <f>AK39*F39</f>
        <v>1600000</v>
      </c>
      <c r="AM39" s="47">
        <v>1</v>
      </c>
      <c r="AN39" s="134">
        <f t="shared" si="6"/>
        <v>800000</v>
      </c>
      <c r="AO39" s="47">
        <v>2</v>
      </c>
      <c r="AP39" s="134">
        <f t="shared" si="7"/>
        <v>1600000</v>
      </c>
      <c r="AQ39" s="47">
        <v>1</v>
      </c>
      <c r="AR39" s="134">
        <f t="shared" si="8"/>
        <v>800000</v>
      </c>
      <c r="AS39" s="47">
        <v>1</v>
      </c>
      <c r="AT39" s="134">
        <f t="shared" si="9"/>
        <v>800000</v>
      </c>
      <c r="AU39" s="47">
        <v>1</v>
      </c>
      <c r="AV39" s="134">
        <f t="shared" si="10"/>
        <v>800000</v>
      </c>
      <c r="AW39" s="47">
        <v>2</v>
      </c>
      <c r="AX39" s="134">
        <f t="shared" si="11"/>
        <v>1600000</v>
      </c>
      <c r="AY39" s="47">
        <v>1</v>
      </c>
      <c r="AZ39" s="134">
        <f t="shared" si="12"/>
        <v>800000</v>
      </c>
      <c r="BA39" s="47">
        <v>1</v>
      </c>
      <c r="BB39" s="134">
        <f t="shared" si="13"/>
        <v>800000</v>
      </c>
      <c r="BC39" s="47">
        <v>2</v>
      </c>
      <c r="BD39" s="134">
        <f t="shared" si="14"/>
        <v>1600000</v>
      </c>
      <c r="BE39" s="47">
        <v>2</v>
      </c>
      <c r="BF39" s="134">
        <f t="shared" si="15"/>
        <v>1600000</v>
      </c>
      <c r="BG39" s="47">
        <v>1</v>
      </c>
      <c r="BH39" s="134">
        <f t="shared" si="16"/>
        <v>800000</v>
      </c>
      <c r="BI39" s="47">
        <v>0</v>
      </c>
      <c r="BJ39" s="134">
        <f t="shared" si="17"/>
        <v>0</v>
      </c>
      <c r="BK39" s="47">
        <f t="shared" ref="BK39:BL41" si="46">AA39+AC39+AE39+AG39+AI39+AK39+AM39+AO39+AQ39+AS39+AU39+AW39+AY39+BA39+BC39+BE39+BG39+BI39</f>
        <v>26</v>
      </c>
      <c r="BL39" s="85">
        <f t="shared" si="46"/>
        <v>20800000</v>
      </c>
      <c r="BM39" s="339" t="s">
        <v>835</v>
      </c>
      <c r="BO39" s="385">
        <f>H39</f>
        <v>20800000</v>
      </c>
      <c r="BP39" s="385"/>
      <c r="BQ39" s="385"/>
      <c r="BR39" s="385"/>
      <c r="BS39" s="385">
        <f>BO39+BP39+BQ39+BR39</f>
        <v>20800000</v>
      </c>
      <c r="BT39" s="385"/>
      <c r="BU39" s="385"/>
      <c r="BV39" s="385">
        <f>BT39+BU39</f>
        <v>0</v>
      </c>
      <c r="BW39" s="387">
        <f t="shared" si="20"/>
        <v>20800000</v>
      </c>
    </row>
    <row r="40" spans="1:160" ht="31.5" x14ac:dyDescent="0.25">
      <c r="A40" s="956"/>
      <c r="B40" s="484"/>
      <c r="C40" s="483"/>
      <c r="D40" s="210" t="s">
        <v>698</v>
      </c>
      <c r="E40" s="210" t="s">
        <v>606</v>
      </c>
      <c r="F40" s="388">
        <v>200000</v>
      </c>
      <c r="G40" s="210">
        <f>BK40</f>
        <v>54</v>
      </c>
      <c r="H40" s="466">
        <f>F40*G40</f>
        <v>10800000</v>
      </c>
      <c r="I40" s="466"/>
      <c r="J40" s="466"/>
      <c r="K40" s="466"/>
      <c r="L40" s="466"/>
      <c r="M40" s="466">
        <f>H40*1</f>
        <v>10800000</v>
      </c>
      <c r="N40" s="466"/>
      <c r="O40" s="466"/>
      <c r="P40" s="466"/>
      <c r="Q40" s="466"/>
      <c r="R40" s="466">
        <f>H40*0</f>
        <v>0</v>
      </c>
      <c r="S40" s="187"/>
      <c r="T40" s="143">
        <f>G40*0.2</f>
        <v>10.8</v>
      </c>
      <c r="U40" s="143">
        <f>G40*0.6</f>
        <v>32.4</v>
      </c>
      <c r="V40" s="143">
        <f>G40*0.2</f>
        <v>10.8</v>
      </c>
      <c r="W40" s="466">
        <f>S40*F40</f>
        <v>0</v>
      </c>
      <c r="X40" s="466">
        <f>T40*F40</f>
        <v>2160000</v>
      </c>
      <c r="Y40" s="466">
        <f>U40*F40</f>
        <v>6480000</v>
      </c>
      <c r="Z40" s="466">
        <f>V40*F40</f>
        <v>2160000</v>
      </c>
      <c r="AA40" s="47">
        <v>2</v>
      </c>
      <c r="AB40" s="134">
        <f t="shared" si="24"/>
        <v>400000</v>
      </c>
      <c r="AC40" s="47">
        <v>1</v>
      </c>
      <c r="AD40" s="134">
        <f t="shared" si="1"/>
        <v>200000</v>
      </c>
      <c r="AE40" s="47">
        <v>1</v>
      </c>
      <c r="AF40" s="134">
        <f t="shared" si="2"/>
        <v>200000</v>
      </c>
      <c r="AG40" s="47">
        <v>5</v>
      </c>
      <c r="AH40" s="134">
        <f t="shared" si="3"/>
        <v>1000000</v>
      </c>
      <c r="AI40" s="47"/>
      <c r="AJ40" s="134">
        <f t="shared" si="4"/>
        <v>0</v>
      </c>
      <c r="AK40" s="47">
        <v>8</v>
      </c>
      <c r="AL40" s="134">
        <f t="shared" si="5"/>
        <v>1600000</v>
      </c>
      <c r="AM40" s="47">
        <v>5</v>
      </c>
      <c r="AN40" s="134">
        <f t="shared" si="6"/>
        <v>1000000</v>
      </c>
      <c r="AO40" s="47"/>
      <c r="AP40" s="134">
        <f t="shared" si="7"/>
        <v>0</v>
      </c>
      <c r="AQ40" s="47">
        <v>3</v>
      </c>
      <c r="AR40" s="134">
        <f t="shared" si="8"/>
        <v>600000</v>
      </c>
      <c r="AS40" s="47">
        <v>4</v>
      </c>
      <c r="AT40" s="134">
        <f t="shared" si="9"/>
        <v>800000</v>
      </c>
      <c r="AU40" s="47">
        <v>2</v>
      </c>
      <c r="AV40" s="134">
        <f t="shared" si="10"/>
        <v>400000</v>
      </c>
      <c r="AW40" s="47">
        <v>8</v>
      </c>
      <c r="AX40" s="134">
        <f t="shared" si="11"/>
        <v>1600000</v>
      </c>
      <c r="AY40" s="47">
        <v>5</v>
      </c>
      <c r="AZ40" s="134">
        <f t="shared" si="12"/>
        <v>1000000</v>
      </c>
      <c r="BA40" s="47">
        <v>4</v>
      </c>
      <c r="BB40" s="134">
        <f t="shared" si="13"/>
        <v>800000</v>
      </c>
      <c r="BC40" s="47">
        <v>2</v>
      </c>
      <c r="BD40" s="134">
        <f t="shared" si="14"/>
        <v>400000</v>
      </c>
      <c r="BE40" s="47">
        <v>2</v>
      </c>
      <c r="BF40" s="134">
        <f t="shared" si="15"/>
        <v>400000</v>
      </c>
      <c r="BG40" s="47">
        <v>2</v>
      </c>
      <c r="BH40" s="134">
        <f t="shared" si="16"/>
        <v>400000</v>
      </c>
      <c r="BI40" s="47"/>
      <c r="BJ40" s="134">
        <f t="shared" si="17"/>
        <v>0</v>
      </c>
      <c r="BK40" s="47">
        <f t="shared" si="46"/>
        <v>54</v>
      </c>
      <c r="BL40" s="85">
        <f t="shared" si="46"/>
        <v>10800000</v>
      </c>
      <c r="BM40" s="339" t="s">
        <v>835</v>
      </c>
      <c r="BO40" s="385">
        <f>H40</f>
        <v>10800000</v>
      </c>
      <c r="BP40" s="385"/>
      <c r="BQ40" s="385"/>
      <c r="BR40" s="385"/>
      <c r="BS40" s="385">
        <f>BO40+BP40+BQ40+BR40</f>
        <v>10800000</v>
      </c>
      <c r="BT40" s="385"/>
      <c r="BU40" s="385"/>
      <c r="BV40" s="385"/>
      <c r="BW40" s="387">
        <f t="shared" si="20"/>
        <v>10800000</v>
      </c>
    </row>
    <row r="41" spans="1:160" x14ac:dyDescent="0.25">
      <c r="A41" s="956"/>
      <c r="B41" s="484"/>
      <c r="C41" s="483"/>
      <c r="D41" s="210" t="s">
        <v>818</v>
      </c>
      <c r="E41" s="210" t="s">
        <v>606</v>
      </c>
      <c r="F41" s="388">
        <v>500000</v>
      </c>
      <c r="G41" s="210">
        <f>BK41</f>
        <v>70</v>
      </c>
      <c r="H41" s="466">
        <f>F41*G41</f>
        <v>35000000</v>
      </c>
      <c r="I41" s="466"/>
      <c r="J41" s="466"/>
      <c r="K41" s="466"/>
      <c r="L41" s="466">
        <f>H41*1</f>
        <v>35000000</v>
      </c>
      <c r="M41" s="466"/>
      <c r="N41" s="466"/>
      <c r="O41" s="466"/>
      <c r="P41" s="466"/>
      <c r="Q41" s="466"/>
      <c r="R41" s="466"/>
      <c r="S41" s="187">
        <v>10</v>
      </c>
      <c r="T41" s="143">
        <v>5</v>
      </c>
      <c r="U41" s="143">
        <v>40</v>
      </c>
      <c r="V41" s="143">
        <v>15</v>
      </c>
      <c r="W41" s="466">
        <f>S41*F41</f>
        <v>5000000</v>
      </c>
      <c r="X41" s="466">
        <f>T41*F41</f>
        <v>2500000</v>
      </c>
      <c r="Y41" s="466">
        <f>U41*F41</f>
        <v>20000000</v>
      </c>
      <c r="Z41" s="466">
        <f>V41*F41</f>
        <v>7500000</v>
      </c>
      <c r="AA41" s="47">
        <v>6</v>
      </c>
      <c r="AB41" s="134">
        <f t="shared" si="24"/>
        <v>3000000</v>
      </c>
      <c r="AC41" s="47">
        <v>2</v>
      </c>
      <c r="AD41" s="134">
        <f t="shared" si="1"/>
        <v>1000000</v>
      </c>
      <c r="AE41" s="47">
        <v>6</v>
      </c>
      <c r="AF41" s="134">
        <f t="shared" si="2"/>
        <v>3000000</v>
      </c>
      <c r="AG41" s="47">
        <v>5</v>
      </c>
      <c r="AH41" s="134">
        <f t="shared" si="3"/>
        <v>2500000</v>
      </c>
      <c r="AI41" s="47">
        <v>2</v>
      </c>
      <c r="AJ41" s="134">
        <f t="shared" si="4"/>
        <v>1000000</v>
      </c>
      <c r="AK41" s="47">
        <v>4</v>
      </c>
      <c r="AL41" s="134">
        <f t="shared" si="5"/>
        <v>2000000</v>
      </c>
      <c r="AM41" s="47">
        <v>3</v>
      </c>
      <c r="AN41" s="134">
        <f t="shared" si="6"/>
        <v>1500000</v>
      </c>
      <c r="AO41" s="47">
        <v>4</v>
      </c>
      <c r="AP41" s="134">
        <f t="shared" si="7"/>
        <v>2000000</v>
      </c>
      <c r="AQ41" s="47">
        <v>4</v>
      </c>
      <c r="AR41" s="134">
        <f t="shared" si="8"/>
        <v>2000000</v>
      </c>
      <c r="AS41" s="47">
        <v>5</v>
      </c>
      <c r="AT41" s="134">
        <f t="shared" si="9"/>
        <v>2500000</v>
      </c>
      <c r="AU41" s="47">
        <v>4</v>
      </c>
      <c r="AV41" s="134">
        <f t="shared" si="10"/>
        <v>2000000</v>
      </c>
      <c r="AW41" s="47">
        <v>4</v>
      </c>
      <c r="AX41" s="134">
        <f t="shared" si="11"/>
        <v>2000000</v>
      </c>
      <c r="AY41" s="47">
        <v>4</v>
      </c>
      <c r="AZ41" s="134">
        <f t="shared" si="12"/>
        <v>2000000</v>
      </c>
      <c r="BA41" s="47">
        <v>4</v>
      </c>
      <c r="BB41" s="134">
        <f t="shared" si="13"/>
        <v>2000000</v>
      </c>
      <c r="BC41" s="47">
        <v>4</v>
      </c>
      <c r="BD41" s="134">
        <f t="shared" si="14"/>
        <v>2000000</v>
      </c>
      <c r="BE41" s="47">
        <v>3</v>
      </c>
      <c r="BF41" s="134">
        <f t="shared" si="15"/>
        <v>1500000</v>
      </c>
      <c r="BG41" s="47">
        <v>6</v>
      </c>
      <c r="BH41" s="134">
        <f t="shared" si="16"/>
        <v>3000000</v>
      </c>
      <c r="BI41" s="47"/>
      <c r="BJ41" s="134">
        <f t="shared" si="17"/>
        <v>0</v>
      </c>
      <c r="BK41" s="47">
        <f t="shared" si="46"/>
        <v>70</v>
      </c>
      <c r="BL41" s="85">
        <f t="shared" si="46"/>
        <v>35000000</v>
      </c>
      <c r="BM41" s="339" t="s">
        <v>815</v>
      </c>
      <c r="BO41" s="385">
        <f>H41</f>
        <v>35000000</v>
      </c>
      <c r="BP41" s="385"/>
      <c r="BQ41" s="385"/>
      <c r="BR41" s="385"/>
      <c r="BS41" s="385">
        <f>BO41+BP41+BQ41+BR41</f>
        <v>35000000</v>
      </c>
      <c r="BT41" s="385"/>
      <c r="BU41" s="385"/>
      <c r="BV41" s="385"/>
      <c r="BW41" s="387">
        <f t="shared" si="20"/>
        <v>35000000</v>
      </c>
    </row>
    <row r="42" spans="1:160" x14ac:dyDescent="0.25">
      <c r="A42" s="956"/>
      <c r="B42" s="484"/>
      <c r="C42" s="472"/>
      <c r="D42" s="472"/>
      <c r="E42" s="472"/>
      <c r="F42" s="472"/>
      <c r="G42" s="138">
        <f>SUM(G39:G41)</f>
        <v>150</v>
      </c>
      <c r="H42" s="140">
        <f>SUM(H39:H41)</f>
        <v>66600000</v>
      </c>
      <c r="I42" s="140">
        <f>SUM(I39:I41)</f>
        <v>0</v>
      </c>
      <c r="J42" s="140">
        <f t="shared" ref="J42:R42" si="47">SUM(J39:J41)</f>
        <v>0</v>
      </c>
      <c r="K42" s="140">
        <f t="shared" si="47"/>
        <v>0</v>
      </c>
      <c r="L42" s="140">
        <f t="shared" si="47"/>
        <v>35000000</v>
      </c>
      <c r="M42" s="140">
        <f t="shared" si="47"/>
        <v>31600000</v>
      </c>
      <c r="N42" s="140">
        <f t="shared" si="47"/>
        <v>0</v>
      </c>
      <c r="O42" s="140">
        <f t="shared" si="47"/>
        <v>0</v>
      </c>
      <c r="P42" s="140">
        <f t="shared" si="47"/>
        <v>0</v>
      </c>
      <c r="Q42" s="140">
        <f t="shared" si="47"/>
        <v>0</v>
      </c>
      <c r="R42" s="140">
        <f t="shared" si="47"/>
        <v>0</v>
      </c>
      <c r="S42" s="479">
        <f t="shared" ref="S42:BL42" si="48">SUM(S39:S41)</f>
        <v>13</v>
      </c>
      <c r="T42" s="479">
        <f t="shared" si="48"/>
        <v>20.8</v>
      </c>
      <c r="U42" s="479">
        <f t="shared" si="48"/>
        <v>84.4</v>
      </c>
      <c r="V42" s="479">
        <f t="shared" si="48"/>
        <v>31.8</v>
      </c>
      <c r="W42" s="479">
        <f t="shared" si="48"/>
        <v>7400000</v>
      </c>
      <c r="X42" s="479">
        <f t="shared" si="48"/>
        <v>8660000</v>
      </c>
      <c r="Y42" s="479">
        <f t="shared" si="48"/>
        <v>36080000</v>
      </c>
      <c r="Z42" s="479">
        <f t="shared" si="48"/>
        <v>14460000</v>
      </c>
      <c r="AA42" s="248">
        <f t="shared" si="48"/>
        <v>10</v>
      </c>
      <c r="AB42" s="248">
        <f t="shared" si="48"/>
        <v>5000000</v>
      </c>
      <c r="AC42" s="248">
        <f t="shared" si="48"/>
        <v>4</v>
      </c>
      <c r="AD42" s="248">
        <f t="shared" si="48"/>
        <v>2000000</v>
      </c>
      <c r="AE42" s="248">
        <f t="shared" si="48"/>
        <v>8</v>
      </c>
      <c r="AF42" s="248">
        <f t="shared" si="48"/>
        <v>4000000</v>
      </c>
      <c r="AG42" s="248">
        <f t="shared" si="48"/>
        <v>13</v>
      </c>
      <c r="AH42" s="248">
        <f t="shared" si="48"/>
        <v>5900000</v>
      </c>
      <c r="AI42" s="248">
        <f t="shared" si="48"/>
        <v>4</v>
      </c>
      <c r="AJ42" s="248">
        <f t="shared" si="48"/>
        <v>2600000</v>
      </c>
      <c r="AK42" s="248">
        <f t="shared" si="48"/>
        <v>14</v>
      </c>
      <c r="AL42" s="248">
        <f t="shared" si="48"/>
        <v>5200000</v>
      </c>
      <c r="AM42" s="248">
        <f t="shared" si="48"/>
        <v>9</v>
      </c>
      <c r="AN42" s="248">
        <f t="shared" si="48"/>
        <v>3300000</v>
      </c>
      <c r="AO42" s="248">
        <f t="shared" si="48"/>
        <v>6</v>
      </c>
      <c r="AP42" s="248">
        <f t="shared" si="48"/>
        <v>3600000</v>
      </c>
      <c r="AQ42" s="248">
        <f t="shared" si="48"/>
        <v>8</v>
      </c>
      <c r="AR42" s="248">
        <f t="shared" si="48"/>
        <v>3400000</v>
      </c>
      <c r="AS42" s="248">
        <f t="shared" si="48"/>
        <v>10</v>
      </c>
      <c r="AT42" s="248">
        <f t="shared" si="48"/>
        <v>4100000</v>
      </c>
      <c r="AU42" s="248">
        <f t="shared" si="48"/>
        <v>7</v>
      </c>
      <c r="AV42" s="248">
        <f t="shared" si="48"/>
        <v>3200000</v>
      </c>
      <c r="AW42" s="248">
        <f t="shared" si="48"/>
        <v>14</v>
      </c>
      <c r="AX42" s="248">
        <f t="shared" si="48"/>
        <v>5200000</v>
      </c>
      <c r="AY42" s="248">
        <f t="shared" si="48"/>
        <v>10</v>
      </c>
      <c r="AZ42" s="248">
        <f t="shared" si="48"/>
        <v>3800000</v>
      </c>
      <c r="BA42" s="248">
        <f t="shared" si="48"/>
        <v>9</v>
      </c>
      <c r="BB42" s="248">
        <f t="shared" si="48"/>
        <v>3600000</v>
      </c>
      <c r="BC42" s="248">
        <f t="shared" si="48"/>
        <v>8</v>
      </c>
      <c r="BD42" s="248">
        <f t="shared" si="48"/>
        <v>4000000</v>
      </c>
      <c r="BE42" s="248">
        <f t="shared" si="48"/>
        <v>7</v>
      </c>
      <c r="BF42" s="248">
        <f t="shared" si="48"/>
        <v>3500000</v>
      </c>
      <c r="BG42" s="248">
        <f t="shared" si="48"/>
        <v>9</v>
      </c>
      <c r="BH42" s="248">
        <f t="shared" si="48"/>
        <v>4200000</v>
      </c>
      <c r="BI42" s="248">
        <f t="shared" si="48"/>
        <v>0</v>
      </c>
      <c r="BJ42" s="248">
        <f t="shared" si="48"/>
        <v>0</v>
      </c>
      <c r="BK42" s="248">
        <f t="shared" si="48"/>
        <v>150</v>
      </c>
      <c r="BL42" s="248">
        <f t="shared" si="48"/>
        <v>66600000</v>
      </c>
      <c r="BM42" s="349"/>
      <c r="BN42" s="67"/>
      <c r="BO42" s="485">
        <f>SUM(BO39:BO41)</f>
        <v>66600000</v>
      </c>
      <c r="BP42" s="138">
        <f t="shared" ref="BP42:BV42" si="49">SUM(BP39:BP40)</f>
        <v>0</v>
      </c>
      <c r="BQ42" s="138">
        <f t="shared" si="49"/>
        <v>0</v>
      </c>
      <c r="BR42" s="138">
        <f t="shared" si="49"/>
        <v>0</v>
      </c>
      <c r="BS42" s="485">
        <f>SUM(BS39:BS41)</f>
        <v>66600000</v>
      </c>
      <c r="BT42" s="138">
        <f t="shared" si="49"/>
        <v>0</v>
      </c>
      <c r="BU42" s="138">
        <f t="shared" si="49"/>
        <v>0</v>
      </c>
      <c r="BV42" s="138">
        <f t="shared" si="49"/>
        <v>0</v>
      </c>
      <c r="BW42" s="485">
        <f>SUM(BW39:BW41)</f>
        <v>66600000</v>
      </c>
    </row>
    <row r="43" spans="1:160" x14ac:dyDescent="0.25">
      <c r="A43" s="956"/>
      <c r="B43" s="484"/>
      <c r="C43" s="367">
        <v>31600</v>
      </c>
      <c r="D43" s="367" t="s">
        <v>220</v>
      </c>
      <c r="E43" s="210"/>
      <c r="F43" s="388"/>
      <c r="G43" s="210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87"/>
      <c r="T43" s="143">
        <f>G43*0.2</f>
        <v>0</v>
      </c>
      <c r="U43" s="143">
        <f>G43*0.6</f>
        <v>0</v>
      </c>
      <c r="V43" s="143">
        <f>G43*0.2</f>
        <v>0</v>
      </c>
      <c r="W43" s="85"/>
      <c r="X43" s="134">
        <f>H43*0.2</f>
        <v>0</v>
      </c>
      <c r="Y43" s="134">
        <f>H43*0.6</f>
        <v>0</v>
      </c>
      <c r="Z43" s="134">
        <f>H43*0.2</f>
        <v>0</v>
      </c>
      <c r="AA43" s="47"/>
      <c r="AB43" s="134">
        <f t="shared" si="24"/>
        <v>0</v>
      </c>
      <c r="AC43" s="47"/>
      <c r="AD43" s="134">
        <f t="shared" si="1"/>
        <v>0</v>
      </c>
      <c r="AE43" s="47"/>
      <c r="AF43" s="134">
        <f t="shared" si="2"/>
        <v>0</v>
      </c>
      <c r="AG43" s="47"/>
      <c r="AH43" s="134">
        <f t="shared" si="3"/>
        <v>0</v>
      </c>
      <c r="AI43" s="47"/>
      <c r="AJ43" s="134">
        <f t="shared" si="4"/>
        <v>0</v>
      </c>
      <c r="AK43" s="47"/>
      <c r="AL43" s="134">
        <f t="shared" si="5"/>
        <v>0</v>
      </c>
      <c r="AM43" s="47"/>
      <c r="AN43" s="134">
        <f t="shared" si="6"/>
        <v>0</v>
      </c>
      <c r="AO43" s="47"/>
      <c r="AP43" s="134">
        <f t="shared" si="7"/>
        <v>0</v>
      </c>
      <c r="AQ43" s="47"/>
      <c r="AR43" s="134">
        <f t="shared" si="8"/>
        <v>0</v>
      </c>
      <c r="AS43" s="47"/>
      <c r="AT43" s="134">
        <f t="shared" si="9"/>
        <v>0</v>
      </c>
      <c r="AU43" s="47"/>
      <c r="AV43" s="134">
        <f t="shared" si="10"/>
        <v>0</v>
      </c>
      <c r="AW43" s="47"/>
      <c r="AX43" s="134">
        <f t="shared" si="11"/>
        <v>0</v>
      </c>
      <c r="AY43" s="47"/>
      <c r="AZ43" s="134">
        <f t="shared" si="12"/>
        <v>0</v>
      </c>
      <c r="BA43" s="47"/>
      <c r="BB43" s="134">
        <f t="shared" si="13"/>
        <v>0</v>
      </c>
      <c r="BC43" s="47"/>
      <c r="BD43" s="134">
        <f t="shared" si="14"/>
        <v>0</v>
      </c>
      <c r="BE43" s="47"/>
      <c r="BF43" s="134">
        <f t="shared" si="15"/>
        <v>0</v>
      </c>
      <c r="BG43" s="47"/>
      <c r="BH43" s="134">
        <f t="shared" si="16"/>
        <v>0</v>
      </c>
      <c r="BI43" s="47"/>
      <c r="BJ43" s="134">
        <f t="shared" si="17"/>
        <v>0</v>
      </c>
      <c r="BK43" s="47"/>
      <c r="BL43" s="85"/>
      <c r="BM43" s="348"/>
      <c r="BO43" s="385"/>
      <c r="BP43" s="385"/>
      <c r="BQ43" s="385"/>
      <c r="BR43" s="385"/>
      <c r="BS43" s="385"/>
      <c r="BT43" s="385"/>
      <c r="BU43" s="385"/>
      <c r="BV43" s="385"/>
      <c r="BW43" s="387">
        <f t="shared" si="20"/>
        <v>0</v>
      </c>
    </row>
    <row r="44" spans="1:160" x14ac:dyDescent="0.25">
      <c r="A44" s="956"/>
      <c r="B44" s="484"/>
      <c r="C44" s="483"/>
      <c r="D44" s="210" t="s">
        <v>221</v>
      </c>
      <c r="E44" s="210" t="s">
        <v>209</v>
      </c>
      <c r="F44" s="388">
        <v>300000</v>
      </c>
      <c r="G44" s="210">
        <f>BK44</f>
        <v>31</v>
      </c>
      <c r="H44" s="466">
        <f>F44*G44</f>
        <v>9300000</v>
      </c>
      <c r="I44" s="466">
        <f>H44*0</f>
        <v>0</v>
      </c>
      <c r="J44" s="466">
        <f>H44*0</f>
        <v>0</v>
      </c>
      <c r="K44" s="466">
        <f>H44*0</f>
        <v>0</v>
      </c>
      <c r="L44" s="466">
        <f>H44*0</f>
        <v>0</v>
      </c>
      <c r="M44" s="466">
        <f>H44*1</f>
        <v>9300000</v>
      </c>
      <c r="N44" s="466">
        <f>H44*0</f>
        <v>0</v>
      </c>
      <c r="O44" s="466">
        <f>H44*0</f>
        <v>0</v>
      </c>
      <c r="P44" s="466">
        <f>H44*0</f>
        <v>0</v>
      </c>
      <c r="Q44" s="466">
        <f>H44*0</f>
        <v>0</v>
      </c>
      <c r="R44" s="466">
        <f>H44*0</f>
        <v>0</v>
      </c>
      <c r="S44" s="187">
        <v>5</v>
      </c>
      <c r="T44" s="143">
        <v>0</v>
      </c>
      <c r="U44" s="143">
        <v>13</v>
      </c>
      <c r="V44" s="143">
        <v>4</v>
      </c>
      <c r="W44" s="466">
        <f>S44*F44</f>
        <v>1500000</v>
      </c>
      <c r="X44" s="466">
        <f>T44*F44</f>
        <v>0</v>
      </c>
      <c r="Y44" s="466">
        <f>U44*F44</f>
        <v>3900000</v>
      </c>
      <c r="Z44" s="466">
        <f>V44*F44</f>
        <v>1200000</v>
      </c>
      <c r="AA44" s="47">
        <v>1</v>
      </c>
      <c r="AB44" s="134">
        <f t="shared" si="24"/>
        <v>300000</v>
      </c>
      <c r="AC44" s="47">
        <v>0</v>
      </c>
      <c r="AD44" s="134">
        <f t="shared" si="1"/>
        <v>0</v>
      </c>
      <c r="AE44" s="47">
        <v>0</v>
      </c>
      <c r="AF44" s="134">
        <f t="shared" si="2"/>
        <v>0</v>
      </c>
      <c r="AG44" s="641">
        <v>5</v>
      </c>
      <c r="AH44" s="134">
        <f t="shared" si="3"/>
        <v>1500000</v>
      </c>
      <c r="AI44" s="47">
        <v>2</v>
      </c>
      <c r="AJ44" s="134">
        <f t="shared" si="4"/>
        <v>600000</v>
      </c>
      <c r="AK44" s="47">
        <v>3</v>
      </c>
      <c r="AL44" s="134">
        <f t="shared" si="5"/>
        <v>900000</v>
      </c>
      <c r="AM44" s="47">
        <v>2</v>
      </c>
      <c r="AN44" s="134">
        <f t="shared" si="6"/>
        <v>600000</v>
      </c>
      <c r="AO44" s="47">
        <v>0</v>
      </c>
      <c r="AP44" s="134">
        <f t="shared" si="7"/>
        <v>0</v>
      </c>
      <c r="AQ44" s="47">
        <v>1</v>
      </c>
      <c r="AR44" s="134">
        <f t="shared" si="8"/>
        <v>300000</v>
      </c>
      <c r="AS44" s="47">
        <v>2</v>
      </c>
      <c r="AT44" s="134">
        <f t="shared" si="9"/>
        <v>600000</v>
      </c>
      <c r="AU44" s="641">
        <v>5</v>
      </c>
      <c r="AV44" s="134">
        <f t="shared" si="10"/>
        <v>1500000</v>
      </c>
      <c r="AW44" s="47">
        <v>0</v>
      </c>
      <c r="AX44" s="134">
        <f t="shared" si="11"/>
        <v>0</v>
      </c>
      <c r="AY44" s="47">
        <v>2</v>
      </c>
      <c r="AZ44" s="134">
        <f t="shared" si="12"/>
        <v>600000</v>
      </c>
      <c r="BA44" s="47">
        <v>2</v>
      </c>
      <c r="BB44" s="134">
        <f t="shared" si="13"/>
        <v>600000</v>
      </c>
      <c r="BC44" s="47">
        <v>2</v>
      </c>
      <c r="BD44" s="134">
        <f t="shared" si="14"/>
        <v>600000</v>
      </c>
      <c r="BE44" s="47">
        <v>2</v>
      </c>
      <c r="BF44" s="134">
        <f t="shared" si="15"/>
        <v>600000</v>
      </c>
      <c r="BG44" s="47">
        <v>2</v>
      </c>
      <c r="BH44" s="134">
        <f t="shared" si="16"/>
        <v>600000</v>
      </c>
      <c r="BI44" s="47">
        <v>0</v>
      </c>
      <c r="BJ44" s="134">
        <f t="shared" si="17"/>
        <v>0</v>
      </c>
      <c r="BK44" s="47">
        <f t="shared" ref="BK44:BL48" si="50">AA44+AC44+AE44+AG44+AI44+AK44+AM44+AO44+AQ44+AS44+AU44+AW44+AY44+BA44+BC44+BE44+BG44+BI44</f>
        <v>31</v>
      </c>
      <c r="BL44" s="85">
        <f t="shared" si="50"/>
        <v>9300000</v>
      </c>
      <c r="BM44" s="348" t="s">
        <v>801</v>
      </c>
      <c r="BO44" s="385">
        <f>H44</f>
        <v>9300000</v>
      </c>
      <c r="BP44" s="385"/>
      <c r="BQ44" s="385"/>
      <c r="BR44" s="385"/>
      <c r="BS44" s="385">
        <f>BO44+BP44+BQ44+BR44</f>
        <v>9300000</v>
      </c>
      <c r="BT44" s="385"/>
      <c r="BU44" s="385"/>
      <c r="BV44" s="385">
        <f>BT44+BU44</f>
        <v>0</v>
      </c>
      <c r="BW44" s="387">
        <f t="shared" si="20"/>
        <v>9300000</v>
      </c>
    </row>
    <row r="45" spans="1:160" x14ac:dyDescent="0.25">
      <c r="A45" s="956"/>
      <c r="B45" s="484"/>
      <c r="C45" s="483"/>
      <c r="D45" s="210" t="s">
        <v>222</v>
      </c>
      <c r="E45" s="210" t="s">
        <v>209</v>
      </c>
      <c r="F45" s="388">
        <f>5*100000</f>
        <v>500000</v>
      </c>
      <c r="G45" s="210">
        <f>BK45</f>
        <v>14</v>
      </c>
      <c r="H45" s="466">
        <f>F45*G45</f>
        <v>7000000</v>
      </c>
      <c r="I45" s="466">
        <f>H45*0</f>
        <v>0</v>
      </c>
      <c r="J45" s="466">
        <f>H45*0</f>
        <v>0</v>
      </c>
      <c r="K45" s="466">
        <f>H45*0</f>
        <v>0</v>
      </c>
      <c r="L45" s="466">
        <f>H45*0</f>
        <v>0</v>
      </c>
      <c r="M45" s="466">
        <f>H45*1</f>
        <v>7000000</v>
      </c>
      <c r="N45" s="466">
        <f>H45*0</f>
        <v>0</v>
      </c>
      <c r="O45" s="466">
        <f>H45*0</f>
        <v>0</v>
      </c>
      <c r="P45" s="466">
        <f>H45*0</f>
        <v>0</v>
      </c>
      <c r="Q45" s="466">
        <f>H45*0</f>
        <v>0</v>
      </c>
      <c r="R45" s="466">
        <f>H45*0</f>
        <v>0</v>
      </c>
      <c r="S45" s="187">
        <v>2</v>
      </c>
      <c r="T45" s="143">
        <v>0</v>
      </c>
      <c r="U45" s="143">
        <v>7</v>
      </c>
      <c r="V45" s="143">
        <v>3</v>
      </c>
      <c r="W45" s="466">
        <f>S45*F45</f>
        <v>1000000</v>
      </c>
      <c r="X45" s="466">
        <f>T45*F45</f>
        <v>0</v>
      </c>
      <c r="Y45" s="466">
        <f>U45*F45</f>
        <v>3500000</v>
      </c>
      <c r="Z45" s="466">
        <f>V45*F45</f>
        <v>1500000</v>
      </c>
      <c r="AA45" s="47">
        <v>0</v>
      </c>
      <c r="AB45" s="134">
        <f t="shared" si="24"/>
        <v>0</v>
      </c>
      <c r="AC45" s="47">
        <v>0</v>
      </c>
      <c r="AD45" s="134">
        <f t="shared" si="1"/>
        <v>0</v>
      </c>
      <c r="AE45" s="47">
        <v>0</v>
      </c>
      <c r="AF45" s="134">
        <f t="shared" si="2"/>
        <v>0</v>
      </c>
      <c r="AG45" s="47">
        <v>1</v>
      </c>
      <c r="AH45" s="134">
        <f t="shared" si="3"/>
        <v>500000</v>
      </c>
      <c r="AI45" s="47">
        <v>1</v>
      </c>
      <c r="AJ45" s="134">
        <f t="shared" si="4"/>
        <v>500000</v>
      </c>
      <c r="AK45" s="47">
        <v>0</v>
      </c>
      <c r="AL45" s="134">
        <f t="shared" si="5"/>
        <v>0</v>
      </c>
      <c r="AM45" s="47">
        <v>0</v>
      </c>
      <c r="AN45" s="134">
        <f t="shared" si="6"/>
        <v>0</v>
      </c>
      <c r="AO45" s="47">
        <v>0</v>
      </c>
      <c r="AP45" s="134">
        <f t="shared" si="7"/>
        <v>0</v>
      </c>
      <c r="AQ45" s="47">
        <v>0</v>
      </c>
      <c r="AR45" s="134">
        <f t="shared" si="8"/>
        <v>0</v>
      </c>
      <c r="AS45" s="47">
        <v>3</v>
      </c>
      <c r="AT45" s="134">
        <f t="shared" si="9"/>
        <v>1500000</v>
      </c>
      <c r="AU45" s="641">
        <v>2</v>
      </c>
      <c r="AV45" s="134">
        <f t="shared" si="10"/>
        <v>1000000</v>
      </c>
      <c r="AW45" s="47">
        <v>1</v>
      </c>
      <c r="AX45" s="134">
        <f t="shared" si="11"/>
        <v>500000</v>
      </c>
      <c r="AY45" s="47">
        <v>2</v>
      </c>
      <c r="AZ45" s="134">
        <f t="shared" si="12"/>
        <v>1000000</v>
      </c>
      <c r="BA45" s="47">
        <v>0</v>
      </c>
      <c r="BB45" s="134">
        <f t="shared" si="13"/>
        <v>0</v>
      </c>
      <c r="BC45" s="47">
        <v>2</v>
      </c>
      <c r="BD45" s="134">
        <f t="shared" si="14"/>
        <v>1000000</v>
      </c>
      <c r="BE45" s="47">
        <v>1</v>
      </c>
      <c r="BF45" s="134">
        <f t="shared" si="15"/>
        <v>500000</v>
      </c>
      <c r="BG45" s="47">
        <v>1</v>
      </c>
      <c r="BH45" s="134">
        <f t="shared" si="16"/>
        <v>500000</v>
      </c>
      <c r="BI45" s="47">
        <v>0</v>
      </c>
      <c r="BJ45" s="134">
        <f t="shared" si="17"/>
        <v>0</v>
      </c>
      <c r="BK45" s="47">
        <f t="shared" si="50"/>
        <v>14</v>
      </c>
      <c r="BL45" s="85">
        <f t="shared" si="50"/>
        <v>7000000</v>
      </c>
      <c r="BM45" s="348" t="s">
        <v>801</v>
      </c>
      <c r="BO45" s="385">
        <f>H45</f>
        <v>7000000</v>
      </c>
      <c r="BP45" s="385"/>
      <c r="BQ45" s="385"/>
      <c r="BR45" s="385"/>
      <c r="BS45" s="385">
        <f>BO45+BP45+BQ45+BR45</f>
        <v>7000000</v>
      </c>
      <c r="BT45" s="385"/>
      <c r="BU45" s="385"/>
      <c r="BV45" s="385">
        <f>BT45+BU45</f>
        <v>0</v>
      </c>
      <c r="BW45" s="387">
        <f t="shared" si="20"/>
        <v>7000000</v>
      </c>
    </row>
    <row r="46" spans="1:160" x14ac:dyDescent="0.25">
      <c r="A46" s="956"/>
      <c r="B46" s="484"/>
      <c r="C46" s="483"/>
      <c r="D46" s="656" t="s">
        <v>223</v>
      </c>
      <c r="E46" s="210" t="s">
        <v>209</v>
      </c>
      <c r="F46" s="388">
        <f>4*100000</f>
        <v>400000</v>
      </c>
      <c r="G46" s="210">
        <f>BK46</f>
        <v>15</v>
      </c>
      <c r="H46" s="466">
        <f>F46*G46</f>
        <v>6000000</v>
      </c>
      <c r="I46" s="466">
        <f>0.2*H46</f>
        <v>1200000</v>
      </c>
      <c r="J46" s="466">
        <f>0.8*H46</f>
        <v>4800000</v>
      </c>
      <c r="K46" s="466">
        <f>H46*0</f>
        <v>0</v>
      </c>
      <c r="L46" s="466">
        <f>H46*0</f>
        <v>0</v>
      </c>
      <c r="M46" s="466">
        <f>H46*0</f>
        <v>0</v>
      </c>
      <c r="N46" s="466">
        <f>H46*0</f>
        <v>0</v>
      </c>
      <c r="O46" s="466">
        <f>H46*0</f>
        <v>0</v>
      </c>
      <c r="P46" s="466">
        <f>H46*0</f>
        <v>0</v>
      </c>
      <c r="Q46" s="466">
        <f>H46*0</f>
        <v>0</v>
      </c>
      <c r="R46" s="466">
        <f>H46*0</f>
        <v>0</v>
      </c>
      <c r="S46" s="187"/>
      <c r="T46" s="143"/>
      <c r="U46" s="143">
        <v>10</v>
      </c>
      <c r="V46" s="143">
        <v>4</v>
      </c>
      <c r="W46" s="466">
        <f>S46*F46</f>
        <v>0</v>
      </c>
      <c r="X46" s="466">
        <f>T46*F46</f>
        <v>0</v>
      </c>
      <c r="Y46" s="466">
        <f>U46*F46</f>
        <v>4000000</v>
      </c>
      <c r="Z46" s="466">
        <f>V46*F46</f>
        <v>1600000</v>
      </c>
      <c r="AA46" s="47">
        <v>0</v>
      </c>
      <c r="AB46" s="134">
        <f t="shared" si="24"/>
        <v>0</v>
      </c>
      <c r="AC46" s="47">
        <v>0</v>
      </c>
      <c r="AD46" s="134">
        <f t="shared" si="1"/>
        <v>0</v>
      </c>
      <c r="AE46" s="47">
        <v>1</v>
      </c>
      <c r="AF46" s="726">
        <f t="shared" si="2"/>
        <v>400000</v>
      </c>
      <c r="AG46" s="47">
        <v>2</v>
      </c>
      <c r="AH46" s="134">
        <f t="shared" si="3"/>
        <v>800000</v>
      </c>
      <c r="AI46" s="47">
        <v>0</v>
      </c>
      <c r="AJ46" s="134">
        <f t="shared" si="4"/>
        <v>0</v>
      </c>
      <c r="AK46" s="47">
        <v>2</v>
      </c>
      <c r="AL46" s="134">
        <f t="shared" si="5"/>
        <v>800000</v>
      </c>
      <c r="AM46" s="47">
        <v>0</v>
      </c>
      <c r="AN46" s="134">
        <f t="shared" si="6"/>
        <v>0</v>
      </c>
      <c r="AO46" s="47">
        <v>1</v>
      </c>
      <c r="AP46" s="134">
        <f t="shared" si="7"/>
        <v>400000</v>
      </c>
      <c r="AQ46" s="47">
        <v>0</v>
      </c>
      <c r="AR46" s="134">
        <f t="shared" si="8"/>
        <v>0</v>
      </c>
      <c r="AS46" s="47">
        <v>1</v>
      </c>
      <c r="AT46" s="134">
        <f t="shared" si="9"/>
        <v>400000</v>
      </c>
      <c r="AU46" s="47">
        <v>1</v>
      </c>
      <c r="AV46" s="134">
        <f t="shared" si="10"/>
        <v>400000</v>
      </c>
      <c r="AW46" s="47">
        <v>1</v>
      </c>
      <c r="AX46" s="134">
        <f t="shared" si="11"/>
        <v>400000</v>
      </c>
      <c r="AY46" s="47">
        <v>1</v>
      </c>
      <c r="AZ46" s="134">
        <f t="shared" si="12"/>
        <v>400000</v>
      </c>
      <c r="BA46" s="47">
        <v>1</v>
      </c>
      <c r="BB46" s="134">
        <f t="shared" si="13"/>
        <v>400000</v>
      </c>
      <c r="BC46" s="47">
        <v>2</v>
      </c>
      <c r="BD46" s="134">
        <f t="shared" si="14"/>
        <v>800000</v>
      </c>
      <c r="BE46" s="47">
        <v>1</v>
      </c>
      <c r="BF46" s="134">
        <f t="shared" si="15"/>
        <v>400000</v>
      </c>
      <c r="BG46" s="47">
        <v>1</v>
      </c>
      <c r="BH46" s="134">
        <f t="shared" si="16"/>
        <v>400000</v>
      </c>
      <c r="BI46" s="47">
        <v>0</v>
      </c>
      <c r="BJ46" s="134">
        <f t="shared" si="17"/>
        <v>0</v>
      </c>
      <c r="BK46" s="47">
        <f t="shared" si="50"/>
        <v>15</v>
      </c>
      <c r="BL46" s="85">
        <f t="shared" si="50"/>
        <v>6000000</v>
      </c>
      <c r="BM46" s="655" t="s">
        <v>874</v>
      </c>
      <c r="BO46" s="385">
        <f>H46</f>
        <v>6000000</v>
      </c>
      <c r="BP46" s="385"/>
      <c r="BQ46" s="385"/>
      <c r="BR46" s="385"/>
      <c r="BS46" s="385">
        <f>BO46+BP46+BQ46+BR46</f>
        <v>6000000</v>
      </c>
      <c r="BT46" s="385"/>
      <c r="BU46" s="385"/>
      <c r="BV46" s="385">
        <f>BT46+BU46</f>
        <v>0</v>
      </c>
      <c r="BW46" s="387">
        <f t="shared" si="20"/>
        <v>6000000</v>
      </c>
    </row>
    <row r="47" spans="1:160" x14ac:dyDescent="0.25">
      <c r="A47" s="956"/>
      <c r="B47" s="484"/>
      <c r="C47" s="483"/>
      <c r="D47" s="210" t="s">
        <v>224</v>
      </c>
      <c r="E47" s="210" t="s">
        <v>209</v>
      </c>
      <c r="F47" s="388">
        <f>3*100000</f>
        <v>300000</v>
      </c>
      <c r="G47" s="210">
        <f>BK47</f>
        <v>24</v>
      </c>
      <c r="H47" s="466">
        <f>F47*G47</f>
        <v>7200000</v>
      </c>
      <c r="I47" s="466">
        <f>H47*0</f>
        <v>0</v>
      </c>
      <c r="J47" s="466">
        <f>H47*0</f>
        <v>0</v>
      </c>
      <c r="K47" s="466">
        <f>H47*0</f>
        <v>0</v>
      </c>
      <c r="L47" s="466">
        <f>H47*0</f>
        <v>0</v>
      </c>
      <c r="M47" s="466">
        <f>H47*1</f>
        <v>7200000</v>
      </c>
      <c r="N47" s="466">
        <f>H47*0</f>
        <v>0</v>
      </c>
      <c r="O47" s="466">
        <f>H47*0</f>
        <v>0</v>
      </c>
      <c r="P47" s="466">
        <f>H47*0</f>
        <v>0</v>
      </c>
      <c r="Q47" s="466">
        <f>H47*0</f>
        <v>0</v>
      </c>
      <c r="R47" s="466">
        <f>H47*0</f>
        <v>0</v>
      </c>
      <c r="S47" s="187">
        <v>4</v>
      </c>
      <c r="T47" s="143"/>
      <c r="U47" s="143">
        <v>14</v>
      </c>
      <c r="V47" s="143">
        <v>6</v>
      </c>
      <c r="W47" s="466">
        <f>S47*F47</f>
        <v>1200000</v>
      </c>
      <c r="X47" s="466">
        <f>T47*F47</f>
        <v>0</v>
      </c>
      <c r="Y47" s="466">
        <f>U47*F47</f>
        <v>4200000</v>
      </c>
      <c r="Z47" s="466">
        <f>V47*F47</f>
        <v>1800000</v>
      </c>
      <c r="AA47" s="47">
        <v>2</v>
      </c>
      <c r="AB47" s="134">
        <f t="shared" si="24"/>
        <v>600000</v>
      </c>
      <c r="AC47" s="47">
        <v>1</v>
      </c>
      <c r="AD47" s="134">
        <f t="shared" si="1"/>
        <v>300000</v>
      </c>
      <c r="AE47" s="47">
        <v>1</v>
      </c>
      <c r="AF47" s="134">
        <f t="shared" si="2"/>
        <v>300000</v>
      </c>
      <c r="AG47" s="47">
        <v>2</v>
      </c>
      <c r="AH47" s="134">
        <f t="shared" si="3"/>
        <v>600000</v>
      </c>
      <c r="AI47" s="47">
        <v>1</v>
      </c>
      <c r="AJ47" s="134">
        <f t="shared" si="4"/>
        <v>300000</v>
      </c>
      <c r="AK47" s="47">
        <v>2</v>
      </c>
      <c r="AL47" s="134">
        <f t="shared" si="5"/>
        <v>600000</v>
      </c>
      <c r="AM47" s="47">
        <v>1</v>
      </c>
      <c r="AN47" s="134">
        <f t="shared" si="6"/>
        <v>300000</v>
      </c>
      <c r="AO47" s="47">
        <v>2</v>
      </c>
      <c r="AP47" s="134">
        <f t="shared" si="7"/>
        <v>600000</v>
      </c>
      <c r="AQ47" s="47">
        <v>1</v>
      </c>
      <c r="AR47" s="134">
        <f t="shared" si="8"/>
        <v>300000</v>
      </c>
      <c r="AS47" s="47">
        <v>1</v>
      </c>
      <c r="AT47" s="134">
        <f t="shared" si="9"/>
        <v>300000</v>
      </c>
      <c r="AU47" s="47">
        <v>1</v>
      </c>
      <c r="AV47" s="134">
        <f t="shared" si="10"/>
        <v>300000</v>
      </c>
      <c r="AW47" s="47">
        <v>1</v>
      </c>
      <c r="AX47" s="134">
        <f t="shared" si="11"/>
        <v>300000</v>
      </c>
      <c r="AY47" s="47">
        <v>1</v>
      </c>
      <c r="AZ47" s="134">
        <f t="shared" si="12"/>
        <v>300000</v>
      </c>
      <c r="BA47" s="47">
        <v>2</v>
      </c>
      <c r="BB47" s="134">
        <f t="shared" si="13"/>
        <v>600000</v>
      </c>
      <c r="BC47" s="47">
        <v>2</v>
      </c>
      <c r="BD47" s="134">
        <f t="shared" si="14"/>
        <v>600000</v>
      </c>
      <c r="BE47" s="47">
        <v>1</v>
      </c>
      <c r="BF47" s="134">
        <f t="shared" si="15"/>
        <v>300000</v>
      </c>
      <c r="BG47" s="47">
        <v>2</v>
      </c>
      <c r="BH47" s="134">
        <f t="shared" si="16"/>
        <v>600000</v>
      </c>
      <c r="BI47" s="47">
        <v>0</v>
      </c>
      <c r="BJ47" s="134">
        <f t="shared" si="17"/>
        <v>0</v>
      </c>
      <c r="BK47" s="47">
        <f t="shared" si="50"/>
        <v>24</v>
      </c>
      <c r="BL47" s="85">
        <f t="shared" si="50"/>
        <v>7200000</v>
      </c>
      <c r="BM47" s="348" t="s">
        <v>801</v>
      </c>
      <c r="BO47" s="385">
        <f>H47</f>
        <v>7200000</v>
      </c>
      <c r="BP47" s="385"/>
      <c r="BQ47" s="385"/>
      <c r="BR47" s="385"/>
      <c r="BS47" s="385">
        <f>BO47+BP47+BQ47+BR47</f>
        <v>7200000</v>
      </c>
      <c r="BT47" s="385"/>
      <c r="BU47" s="385"/>
      <c r="BV47" s="385">
        <f>BT47+BU47</f>
        <v>0</v>
      </c>
      <c r="BW47" s="387">
        <f t="shared" si="20"/>
        <v>7200000</v>
      </c>
    </row>
    <row r="48" spans="1:160" x14ac:dyDescent="0.25">
      <c r="A48" s="956"/>
      <c r="B48" s="484"/>
      <c r="C48" s="483"/>
      <c r="D48" s="210" t="s">
        <v>734</v>
      </c>
      <c r="E48" s="210" t="s">
        <v>209</v>
      </c>
      <c r="F48" s="388">
        <v>3000000</v>
      </c>
      <c r="G48" s="210">
        <f>BK48</f>
        <v>17</v>
      </c>
      <c r="H48" s="466">
        <f>F48*G48</f>
        <v>51000000</v>
      </c>
      <c r="I48" s="466"/>
      <c r="J48" s="466">
        <f>H48</f>
        <v>51000000</v>
      </c>
      <c r="K48" s="466"/>
      <c r="L48" s="466"/>
      <c r="M48" s="466"/>
      <c r="N48" s="466"/>
      <c r="O48" s="466"/>
      <c r="P48" s="466"/>
      <c r="Q48" s="466"/>
      <c r="R48" s="466"/>
      <c r="S48" s="187">
        <v>3</v>
      </c>
      <c r="T48" s="143">
        <v>0</v>
      </c>
      <c r="U48" s="143">
        <v>10</v>
      </c>
      <c r="V48" s="143">
        <v>4</v>
      </c>
      <c r="W48" s="466">
        <f>S48*F48</f>
        <v>9000000</v>
      </c>
      <c r="X48" s="466">
        <f>T48*F48</f>
        <v>0</v>
      </c>
      <c r="Y48" s="466">
        <f>U48*F48</f>
        <v>30000000</v>
      </c>
      <c r="Z48" s="466">
        <f>V48*F48</f>
        <v>12000000</v>
      </c>
      <c r="AA48" s="47">
        <v>1</v>
      </c>
      <c r="AB48" s="134">
        <f t="shared" si="24"/>
        <v>3000000</v>
      </c>
      <c r="AC48" s="47">
        <v>1</v>
      </c>
      <c r="AD48" s="134">
        <f t="shared" si="1"/>
        <v>3000000</v>
      </c>
      <c r="AE48" s="47">
        <v>1</v>
      </c>
      <c r="AF48" s="134">
        <f t="shared" si="2"/>
        <v>3000000</v>
      </c>
      <c r="AG48" s="47">
        <v>1</v>
      </c>
      <c r="AH48" s="134">
        <f t="shared" si="3"/>
        <v>3000000</v>
      </c>
      <c r="AI48" s="47">
        <v>1</v>
      </c>
      <c r="AJ48" s="134">
        <f t="shared" si="4"/>
        <v>3000000</v>
      </c>
      <c r="AK48" s="47">
        <v>1</v>
      </c>
      <c r="AL48" s="134">
        <f t="shared" si="5"/>
        <v>3000000</v>
      </c>
      <c r="AM48" s="47">
        <v>1</v>
      </c>
      <c r="AN48" s="134">
        <f t="shared" si="6"/>
        <v>3000000</v>
      </c>
      <c r="AO48" s="47">
        <v>1</v>
      </c>
      <c r="AP48" s="134">
        <f t="shared" si="7"/>
        <v>3000000</v>
      </c>
      <c r="AQ48" s="47">
        <v>1</v>
      </c>
      <c r="AR48" s="134">
        <f t="shared" si="8"/>
        <v>3000000</v>
      </c>
      <c r="AS48" s="47">
        <v>1</v>
      </c>
      <c r="AT48" s="134">
        <f t="shared" si="9"/>
        <v>3000000</v>
      </c>
      <c r="AU48" s="47">
        <v>1</v>
      </c>
      <c r="AV48" s="134">
        <f t="shared" si="10"/>
        <v>3000000</v>
      </c>
      <c r="AW48" s="47">
        <v>1</v>
      </c>
      <c r="AX48" s="134">
        <f t="shared" si="11"/>
        <v>3000000</v>
      </c>
      <c r="AY48" s="47">
        <v>1</v>
      </c>
      <c r="AZ48" s="134">
        <f t="shared" si="12"/>
        <v>3000000</v>
      </c>
      <c r="BA48" s="47">
        <v>1</v>
      </c>
      <c r="BB48" s="134">
        <f t="shared" si="13"/>
        <v>3000000</v>
      </c>
      <c r="BC48" s="47">
        <v>1</v>
      </c>
      <c r="BD48" s="134">
        <f t="shared" si="14"/>
        <v>3000000</v>
      </c>
      <c r="BE48" s="47">
        <v>1</v>
      </c>
      <c r="BF48" s="134">
        <f t="shared" si="15"/>
        <v>3000000</v>
      </c>
      <c r="BG48" s="47">
        <v>1</v>
      </c>
      <c r="BH48" s="134">
        <f t="shared" si="16"/>
        <v>3000000</v>
      </c>
      <c r="BI48" s="47">
        <v>0</v>
      </c>
      <c r="BJ48" s="134">
        <f t="shared" si="17"/>
        <v>0</v>
      </c>
      <c r="BK48" s="47">
        <f t="shared" si="50"/>
        <v>17</v>
      </c>
      <c r="BL48" s="85">
        <f t="shared" si="50"/>
        <v>51000000</v>
      </c>
      <c r="BM48" s="339" t="s">
        <v>735</v>
      </c>
      <c r="BO48" s="385">
        <f>H48</f>
        <v>51000000</v>
      </c>
      <c r="BP48" s="385"/>
      <c r="BQ48" s="385"/>
      <c r="BR48" s="385"/>
      <c r="BS48" s="385">
        <f>BO48+BP48+BQ48+BR48</f>
        <v>51000000</v>
      </c>
      <c r="BT48" s="385"/>
      <c r="BU48" s="385"/>
      <c r="BV48" s="385">
        <f>BT48+BU48</f>
        <v>0</v>
      </c>
      <c r="BW48" s="387">
        <f t="shared" si="20"/>
        <v>51000000</v>
      </c>
    </row>
    <row r="49" spans="1:160" s="482" customFormat="1" x14ac:dyDescent="0.25">
      <c r="A49" s="956"/>
      <c r="B49" s="484"/>
      <c r="C49" s="138"/>
      <c r="D49" s="138"/>
      <c r="E49" s="138"/>
      <c r="F49" s="138"/>
      <c r="G49" s="138">
        <f>SUM(G44:G48)</f>
        <v>101</v>
      </c>
      <c r="H49" s="140">
        <f>SUM(H44:H48)</f>
        <v>80500000</v>
      </c>
      <c r="I49" s="140">
        <f>SUM(I44:I48)</f>
        <v>1200000</v>
      </c>
      <c r="J49" s="140">
        <f t="shared" ref="J49:R49" si="51">SUM(J44:J48)</f>
        <v>55800000</v>
      </c>
      <c r="K49" s="140">
        <f t="shared" si="51"/>
        <v>0</v>
      </c>
      <c r="L49" s="140">
        <f t="shared" si="51"/>
        <v>0</v>
      </c>
      <c r="M49" s="140">
        <f t="shared" si="51"/>
        <v>23500000</v>
      </c>
      <c r="N49" s="140">
        <f t="shared" si="51"/>
        <v>0</v>
      </c>
      <c r="O49" s="140">
        <f t="shared" si="51"/>
        <v>0</v>
      </c>
      <c r="P49" s="140">
        <f t="shared" si="51"/>
        <v>0</v>
      </c>
      <c r="Q49" s="140">
        <f t="shared" si="51"/>
        <v>0</v>
      </c>
      <c r="R49" s="140">
        <f t="shared" si="51"/>
        <v>0</v>
      </c>
      <c r="S49" s="479">
        <f>SUM(S44:S48)</f>
        <v>14</v>
      </c>
      <c r="T49" s="479">
        <f t="shared" ref="T49:Z49" si="52">SUM(T44:T48)</f>
        <v>0</v>
      </c>
      <c r="U49" s="479">
        <f t="shared" si="52"/>
        <v>54</v>
      </c>
      <c r="V49" s="479">
        <f t="shared" si="52"/>
        <v>21</v>
      </c>
      <c r="W49" s="479">
        <f t="shared" si="52"/>
        <v>12700000</v>
      </c>
      <c r="X49" s="479">
        <f t="shared" si="52"/>
        <v>0</v>
      </c>
      <c r="Y49" s="479">
        <f t="shared" si="52"/>
        <v>45600000</v>
      </c>
      <c r="Z49" s="479">
        <f t="shared" si="52"/>
        <v>18100000</v>
      </c>
      <c r="AA49" s="248">
        <f>SUM(AA44:AA48)</f>
        <v>4</v>
      </c>
      <c r="AB49" s="248">
        <f t="shared" ref="AB49:BL49" si="53">SUM(AB44:AB48)</f>
        <v>3900000</v>
      </c>
      <c r="AC49" s="248">
        <f t="shared" si="53"/>
        <v>2</v>
      </c>
      <c r="AD49" s="248">
        <f t="shared" si="53"/>
        <v>3300000</v>
      </c>
      <c r="AE49" s="248">
        <f t="shared" si="53"/>
        <v>3</v>
      </c>
      <c r="AF49" s="248">
        <f t="shared" si="53"/>
        <v>3700000</v>
      </c>
      <c r="AG49" s="248">
        <f t="shared" si="53"/>
        <v>11</v>
      </c>
      <c r="AH49" s="248">
        <f t="shared" si="53"/>
        <v>6400000</v>
      </c>
      <c r="AI49" s="248">
        <f t="shared" si="53"/>
        <v>5</v>
      </c>
      <c r="AJ49" s="248">
        <f t="shared" si="53"/>
        <v>4400000</v>
      </c>
      <c r="AK49" s="248">
        <f t="shared" si="53"/>
        <v>8</v>
      </c>
      <c r="AL49" s="248">
        <f t="shared" si="53"/>
        <v>5300000</v>
      </c>
      <c r="AM49" s="248">
        <f t="shared" si="53"/>
        <v>4</v>
      </c>
      <c r="AN49" s="248">
        <f t="shared" si="53"/>
        <v>3900000</v>
      </c>
      <c r="AO49" s="248">
        <f t="shared" si="53"/>
        <v>4</v>
      </c>
      <c r="AP49" s="248">
        <f t="shared" si="53"/>
        <v>4000000</v>
      </c>
      <c r="AQ49" s="248">
        <f t="shared" si="53"/>
        <v>3</v>
      </c>
      <c r="AR49" s="248">
        <f t="shared" si="53"/>
        <v>3600000</v>
      </c>
      <c r="AS49" s="248">
        <f t="shared" si="53"/>
        <v>8</v>
      </c>
      <c r="AT49" s="248">
        <f t="shared" si="53"/>
        <v>5800000</v>
      </c>
      <c r="AU49" s="248">
        <f t="shared" si="53"/>
        <v>10</v>
      </c>
      <c r="AV49" s="248">
        <f t="shared" si="53"/>
        <v>6200000</v>
      </c>
      <c r="AW49" s="248">
        <f t="shared" si="53"/>
        <v>4</v>
      </c>
      <c r="AX49" s="248">
        <f t="shared" si="53"/>
        <v>4200000</v>
      </c>
      <c r="AY49" s="248">
        <f t="shared" si="53"/>
        <v>7</v>
      </c>
      <c r="AZ49" s="248">
        <f t="shared" si="53"/>
        <v>5300000</v>
      </c>
      <c r="BA49" s="248">
        <f t="shared" si="53"/>
        <v>6</v>
      </c>
      <c r="BB49" s="248">
        <f t="shared" si="53"/>
        <v>4600000</v>
      </c>
      <c r="BC49" s="248">
        <f t="shared" si="53"/>
        <v>9</v>
      </c>
      <c r="BD49" s="248">
        <f t="shared" si="53"/>
        <v>6000000</v>
      </c>
      <c r="BE49" s="248">
        <f t="shared" si="53"/>
        <v>6</v>
      </c>
      <c r="BF49" s="248">
        <f t="shared" si="53"/>
        <v>4800000</v>
      </c>
      <c r="BG49" s="248">
        <f t="shared" si="53"/>
        <v>7</v>
      </c>
      <c r="BH49" s="248">
        <f t="shared" si="53"/>
        <v>5100000</v>
      </c>
      <c r="BI49" s="248">
        <f t="shared" si="53"/>
        <v>0</v>
      </c>
      <c r="BJ49" s="248">
        <f t="shared" si="53"/>
        <v>0</v>
      </c>
      <c r="BK49" s="248">
        <f t="shared" si="53"/>
        <v>101</v>
      </c>
      <c r="BL49" s="248">
        <f t="shared" si="53"/>
        <v>80500000</v>
      </c>
      <c r="BM49" s="350"/>
      <c r="BN49" s="301"/>
      <c r="BO49" s="140">
        <f t="shared" ref="BO49:BW49" si="54">SUM(BO44:BO48)</f>
        <v>80500000</v>
      </c>
      <c r="BP49" s="140">
        <f t="shared" si="54"/>
        <v>0</v>
      </c>
      <c r="BQ49" s="140">
        <f t="shared" si="54"/>
        <v>0</v>
      </c>
      <c r="BR49" s="140">
        <f t="shared" si="54"/>
        <v>0</v>
      </c>
      <c r="BS49" s="140">
        <f t="shared" si="54"/>
        <v>80500000</v>
      </c>
      <c r="BT49" s="140">
        <f t="shared" si="54"/>
        <v>0</v>
      </c>
      <c r="BU49" s="140">
        <f t="shared" si="54"/>
        <v>0</v>
      </c>
      <c r="BV49" s="140">
        <f t="shared" si="54"/>
        <v>0</v>
      </c>
      <c r="BW49" s="140">
        <f t="shared" si="54"/>
        <v>80500000</v>
      </c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</row>
    <row r="50" spans="1:160" ht="22.5" customHeight="1" x14ac:dyDescent="0.25">
      <c r="A50" s="956"/>
      <c r="B50" s="484"/>
      <c r="C50" s="367">
        <v>31700</v>
      </c>
      <c r="D50" s="367" t="s">
        <v>225</v>
      </c>
      <c r="E50" s="210"/>
      <c r="F50" s="388"/>
      <c r="G50" s="210"/>
      <c r="H50" s="85"/>
      <c r="I50" s="85"/>
      <c r="J50" s="85"/>
      <c r="K50" s="85"/>
      <c r="L50" s="85"/>
      <c r="M50" s="85"/>
      <c r="N50" s="85"/>
      <c r="O50" s="85"/>
      <c r="P50" s="145"/>
      <c r="Q50" s="145"/>
      <c r="R50" s="145"/>
      <c r="S50" s="144"/>
      <c r="T50" s="143">
        <f>G50*0.2</f>
        <v>0</v>
      </c>
      <c r="U50" s="143">
        <f>G50*0.6</f>
        <v>0</v>
      </c>
      <c r="V50" s="143">
        <f>G50*0.2</f>
        <v>0</v>
      </c>
      <c r="W50" s="145"/>
      <c r="X50" s="134">
        <f>H50*0.2</f>
        <v>0</v>
      </c>
      <c r="Y50" s="134">
        <f>H50*0.6</f>
        <v>0</v>
      </c>
      <c r="Z50" s="134">
        <f>H50*0.2</f>
        <v>0</v>
      </c>
      <c r="AA50" s="146"/>
      <c r="AB50" s="134">
        <f t="shared" si="24"/>
        <v>0</v>
      </c>
      <c r="AC50" s="146"/>
      <c r="AD50" s="134">
        <f t="shared" si="1"/>
        <v>0</v>
      </c>
      <c r="AE50" s="146"/>
      <c r="AF50" s="134">
        <f t="shared" si="2"/>
        <v>0</v>
      </c>
      <c r="AG50" s="146"/>
      <c r="AH50" s="134">
        <f t="shared" si="3"/>
        <v>0</v>
      </c>
      <c r="AI50" s="146"/>
      <c r="AJ50" s="134">
        <f t="shared" si="4"/>
        <v>0</v>
      </c>
      <c r="AK50" s="146"/>
      <c r="AL50" s="134">
        <f t="shared" si="5"/>
        <v>0</v>
      </c>
      <c r="AM50" s="146"/>
      <c r="AN50" s="134">
        <f t="shared" si="6"/>
        <v>0</v>
      </c>
      <c r="AO50" s="146"/>
      <c r="AP50" s="134">
        <f t="shared" si="7"/>
        <v>0</v>
      </c>
      <c r="AQ50" s="146"/>
      <c r="AR50" s="134">
        <f t="shared" si="8"/>
        <v>0</v>
      </c>
      <c r="AS50" s="146"/>
      <c r="AT50" s="134">
        <f t="shared" si="9"/>
        <v>0</v>
      </c>
      <c r="AU50" s="146"/>
      <c r="AV50" s="134">
        <f t="shared" si="10"/>
        <v>0</v>
      </c>
      <c r="AW50" s="146"/>
      <c r="AX50" s="134">
        <f t="shared" si="11"/>
        <v>0</v>
      </c>
      <c r="AY50" s="146"/>
      <c r="AZ50" s="134">
        <f t="shared" si="12"/>
        <v>0</v>
      </c>
      <c r="BA50" s="146"/>
      <c r="BB50" s="134">
        <f t="shared" si="13"/>
        <v>0</v>
      </c>
      <c r="BC50" s="146"/>
      <c r="BD50" s="134">
        <f t="shared" si="14"/>
        <v>0</v>
      </c>
      <c r="BE50" s="146"/>
      <c r="BF50" s="134">
        <f t="shared" si="15"/>
        <v>0</v>
      </c>
      <c r="BG50" s="146"/>
      <c r="BH50" s="134">
        <f t="shared" si="16"/>
        <v>0</v>
      </c>
      <c r="BI50" s="146"/>
      <c r="BJ50" s="134">
        <f t="shared" si="17"/>
        <v>0</v>
      </c>
      <c r="BK50" s="146"/>
      <c r="BL50" s="39"/>
      <c r="BM50" s="348"/>
      <c r="BO50" s="385"/>
      <c r="BP50" s="385"/>
      <c r="BQ50" s="385"/>
      <c r="BR50" s="385"/>
      <c r="BS50" s="385"/>
      <c r="BT50" s="385"/>
      <c r="BU50" s="385"/>
      <c r="BV50" s="385"/>
      <c r="BW50" s="387">
        <f t="shared" si="20"/>
        <v>0</v>
      </c>
    </row>
    <row r="51" spans="1:160" ht="26.25" customHeight="1" x14ac:dyDescent="0.25">
      <c r="A51" s="956"/>
      <c r="B51" s="484"/>
      <c r="C51" s="483"/>
      <c r="D51" s="210" t="s">
        <v>850</v>
      </c>
      <c r="E51" s="210" t="s">
        <v>226</v>
      </c>
      <c r="F51" s="388">
        <v>300000</v>
      </c>
      <c r="G51" s="210">
        <f>BK51</f>
        <v>97</v>
      </c>
      <c r="H51" s="466">
        <f>F51*G51</f>
        <v>29100000</v>
      </c>
      <c r="I51" s="466">
        <f>H51*0.05</f>
        <v>1455000</v>
      </c>
      <c r="J51" s="466">
        <f>H51*0</f>
        <v>0</v>
      </c>
      <c r="K51" s="466">
        <f>H51*0.45</f>
        <v>13095000</v>
      </c>
      <c r="L51" s="466">
        <f>H51*0</f>
        <v>0</v>
      </c>
      <c r="M51" s="466">
        <f>H51*0.45</f>
        <v>13095000</v>
      </c>
      <c r="N51" s="466">
        <f>H51*0</f>
        <v>0</v>
      </c>
      <c r="O51" s="466">
        <f>H51*0</f>
        <v>0</v>
      </c>
      <c r="P51" s="466">
        <f>H51*0</f>
        <v>0</v>
      </c>
      <c r="Q51" s="466">
        <f>H51*0.05</f>
        <v>1455000</v>
      </c>
      <c r="R51" s="466">
        <f>H51*0</f>
        <v>0</v>
      </c>
      <c r="S51" s="187">
        <v>10</v>
      </c>
      <c r="T51" s="143">
        <f>G51*0.2</f>
        <v>19.400000000000002</v>
      </c>
      <c r="U51" s="143">
        <f>G51*0.6</f>
        <v>58.199999999999996</v>
      </c>
      <c r="V51" s="143">
        <v>10</v>
      </c>
      <c r="W51" s="466">
        <f>S51*F51</f>
        <v>3000000</v>
      </c>
      <c r="X51" s="466">
        <f>T51*F51</f>
        <v>5820000.0000000009</v>
      </c>
      <c r="Y51" s="466">
        <f>U51*F51</f>
        <v>17460000</v>
      </c>
      <c r="Z51" s="466">
        <f>V51*F51</f>
        <v>3000000</v>
      </c>
      <c r="AA51" s="48">
        <v>8</v>
      </c>
      <c r="AB51" s="134">
        <f t="shared" si="24"/>
        <v>2400000</v>
      </c>
      <c r="AC51" s="48">
        <v>3</v>
      </c>
      <c r="AD51" s="134">
        <f t="shared" si="1"/>
        <v>900000</v>
      </c>
      <c r="AE51" s="48">
        <v>8</v>
      </c>
      <c r="AF51" s="134">
        <f t="shared" si="2"/>
        <v>2400000</v>
      </c>
      <c r="AG51" s="48">
        <v>8</v>
      </c>
      <c r="AH51" s="134">
        <f t="shared" si="3"/>
        <v>2400000</v>
      </c>
      <c r="AI51" s="48">
        <v>3</v>
      </c>
      <c r="AJ51" s="134">
        <f t="shared" si="4"/>
        <v>900000</v>
      </c>
      <c r="AK51" s="48">
        <v>7</v>
      </c>
      <c r="AL51" s="134">
        <f t="shared" si="5"/>
        <v>2100000</v>
      </c>
      <c r="AM51" s="48">
        <v>4</v>
      </c>
      <c r="AN51" s="134">
        <f t="shared" si="6"/>
        <v>1200000</v>
      </c>
      <c r="AO51" s="48">
        <v>2</v>
      </c>
      <c r="AP51" s="134">
        <f t="shared" si="7"/>
        <v>600000</v>
      </c>
      <c r="AQ51" s="48">
        <v>6</v>
      </c>
      <c r="AR51" s="134">
        <f t="shared" si="8"/>
        <v>1800000</v>
      </c>
      <c r="AS51" s="48">
        <v>7</v>
      </c>
      <c r="AT51" s="134">
        <f t="shared" si="9"/>
        <v>2100000</v>
      </c>
      <c r="AU51" s="48">
        <v>7</v>
      </c>
      <c r="AV51" s="134">
        <f t="shared" si="10"/>
        <v>2100000</v>
      </c>
      <c r="AW51" s="48">
        <v>5</v>
      </c>
      <c r="AX51" s="134">
        <f t="shared" si="11"/>
        <v>1500000</v>
      </c>
      <c r="AY51" s="48">
        <v>5</v>
      </c>
      <c r="AZ51" s="134">
        <f t="shared" si="12"/>
        <v>1500000</v>
      </c>
      <c r="BA51" s="48">
        <v>6</v>
      </c>
      <c r="BB51" s="134">
        <f t="shared" si="13"/>
        <v>1800000</v>
      </c>
      <c r="BC51" s="48">
        <v>5</v>
      </c>
      <c r="BD51" s="134">
        <f t="shared" si="14"/>
        <v>1500000</v>
      </c>
      <c r="BE51" s="48">
        <v>4</v>
      </c>
      <c r="BF51" s="134">
        <f t="shared" si="15"/>
        <v>1200000</v>
      </c>
      <c r="BG51" s="48">
        <v>9</v>
      </c>
      <c r="BH51" s="134">
        <f t="shared" si="16"/>
        <v>2700000</v>
      </c>
      <c r="BI51" s="48">
        <v>0</v>
      </c>
      <c r="BJ51" s="134">
        <f t="shared" si="17"/>
        <v>0</v>
      </c>
      <c r="BK51" s="47">
        <f>AA51+AC51+AE51+AG51+AI51+AK51+AM51+AO51+AQ51+AS51+AU51+AW51+AY51+BA51+BC51+BE51+BG51+BI51</f>
        <v>97</v>
      </c>
      <c r="BL51" s="85">
        <f>AB51+AD51+AF51+AH51+AJ51+AL51+AN51+AP51+AR51+AT51+AV51+AX51+AZ51+BB51+BD51+BF51+BH51+BJ51</f>
        <v>29100000</v>
      </c>
      <c r="BM51" s="339" t="s">
        <v>477</v>
      </c>
      <c r="BO51" s="385"/>
      <c r="BP51" s="385"/>
      <c r="BQ51" s="385">
        <f>H51</f>
        <v>29100000</v>
      </c>
      <c r="BR51" s="385"/>
      <c r="BS51" s="385">
        <f>BO51+BP51+BQ51+BR51</f>
        <v>29100000</v>
      </c>
      <c r="BT51" s="385"/>
      <c r="BU51" s="385"/>
      <c r="BV51" s="385">
        <f>BT51+BU51</f>
        <v>0</v>
      </c>
      <c r="BW51" s="387">
        <f t="shared" si="20"/>
        <v>29100000</v>
      </c>
    </row>
    <row r="52" spans="1:160" x14ac:dyDescent="0.25">
      <c r="A52" s="956"/>
      <c r="B52" s="484"/>
      <c r="C52" s="472"/>
      <c r="D52" s="472"/>
      <c r="E52" s="472"/>
      <c r="F52" s="472"/>
      <c r="G52" s="472">
        <f t="shared" ref="G52:BL52" si="55">SUM(G51:G51)</f>
        <v>97</v>
      </c>
      <c r="H52" s="140">
        <f t="shared" si="55"/>
        <v>29100000</v>
      </c>
      <c r="I52" s="140">
        <f t="shared" si="55"/>
        <v>1455000</v>
      </c>
      <c r="J52" s="140">
        <f t="shared" si="55"/>
        <v>0</v>
      </c>
      <c r="K52" s="140">
        <f t="shared" si="55"/>
        <v>13095000</v>
      </c>
      <c r="L52" s="140">
        <f t="shared" si="55"/>
        <v>0</v>
      </c>
      <c r="M52" s="140">
        <f t="shared" si="55"/>
        <v>13095000</v>
      </c>
      <c r="N52" s="140">
        <f t="shared" si="55"/>
        <v>0</v>
      </c>
      <c r="O52" s="140">
        <f t="shared" si="55"/>
        <v>0</v>
      </c>
      <c r="P52" s="140">
        <f t="shared" si="55"/>
        <v>0</v>
      </c>
      <c r="Q52" s="140">
        <f t="shared" si="55"/>
        <v>1455000</v>
      </c>
      <c r="R52" s="140">
        <f t="shared" si="55"/>
        <v>0</v>
      </c>
      <c r="S52" s="472">
        <f t="shared" si="55"/>
        <v>10</v>
      </c>
      <c r="T52" s="473">
        <f t="shared" si="55"/>
        <v>19.400000000000002</v>
      </c>
      <c r="U52" s="473">
        <f t="shared" si="55"/>
        <v>58.199999999999996</v>
      </c>
      <c r="V52" s="473">
        <f t="shared" si="55"/>
        <v>10</v>
      </c>
      <c r="W52" s="140">
        <f t="shared" si="55"/>
        <v>3000000</v>
      </c>
      <c r="X52" s="140">
        <f t="shared" si="55"/>
        <v>5820000.0000000009</v>
      </c>
      <c r="Y52" s="140">
        <f t="shared" si="55"/>
        <v>17460000</v>
      </c>
      <c r="Z52" s="140">
        <f t="shared" si="55"/>
        <v>3000000</v>
      </c>
      <c r="AA52" s="267">
        <f t="shared" si="55"/>
        <v>8</v>
      </c>
      <c r="AB52" s="267">
        <f t="shared" si="55"/>
        <v>2400000</v>
      </c>
      <c r="AC52" s="267">
        <f t="shared" si="55"/>
        <v>3</v>
      </c>
      <c r="AD52" s="267">
        <f t="shared" si="55"/>
        <v>900000</v>
      </c>
      <c r="AE52" s="267">
        <f t="shared" si="55"/>
        <v>8</v>
      </c>
      <c r="AF52" s="267">
        <f t="shared" si="55"/>
        <v>2400000</v>
      </c>
      <c r="AG52" s="267">
        <f t="shared" si="55"/>
        <v>8</v>
      </c>
      <c r="AH52" s="267">
        <f t="shared" si="55"/>
        <v>2400000</v>
      </c>
      <c r="AI52" s="267">
        <f t="shared" si="55"/>
        <v>3</v>
      </c>
      <c r="AJ52" s="267">
        <f t="shared" si="55"/>
        <v>900000</v>
      </c>
      <c r="AK52" s="267">
        <f t="shared" si="55"/>
        <v>7</v>
      </c>
      <c r="AL52" s="267">
        <f t="shared" si="55"/>
        <v>2100000</v>
      </c>
      <c r="AM52" s="267">
        <f t="shared" si="55"/>
        <v>4</v>
      </c>
      <c r="AN52" s="267">
        <f t="shared" si="55"/>
        <v>1200000</v>
      </c>
      <c r="AO52" s="267">
        <f t="shared" si="55"/>
        <v>2</v>
      </c>
      <c r="AP52" s="267">
        <f t="shared" si="55"/>
        <v>600000</v>
      </c>
      <c r="AQ52" s="267">
        <f t="shared" si="55"/>
        <v>6</v>
      </c>
      <c r="AR52" s="267">
        <f t="shared" si="55"/>
        <v>1800000</v>
      </c>
      <c r="AS52" s="267">
        <f t="shared" si="55"/>
        <v>7</v>
      </c>
      <c r="AT52" s="267">
        <f t="shared" si="55"/>
        <v>2100000</v>
      </c>
      <c r="AU52" s="267">
        <f t="shared" si="55"/>
        <v>7</v>
      </c>
      <c r="AV52" s="267">
        <f t="shared" si="55"/>
        <v>2100000</v>
      </c>
      <c r="AW52" s="267">
        <f t="shared" si="55"/>
        <v>5</v>
      </c>
      <c r="AX52" s="267">
        <f t="shared" si="55"/>
        <v>1500000</v>
      </c>
      <c r="AY52" s="267">
        <f t="shared" si="55"/>
        <v>5</v>
      </c>
      <c r="AZ52" s="267">
        <f t="shared" si="55"/>
        <v>1500000</v>
      </c>
      <c r="BA52" s="267">
        <f t="shared" si="55"/>
        <v>6</v>
      </c>
      <c r="BB52" s="267">
        <f t="shared" si="55"/>
        <v>1800000</v>
      </c>
      <c r="BC52" s="267">
        <f t="shared" si="55"/>
        <v>5</v>
      </c>
      <c r="BD52" s="267">
        <f t="shared" si="55"/>
        <v>1500000</v>
      </c>
      <c r="BE52" s="267">
        <f t="shared" si="55"/>
        <v>4</v>
      </c>
      <c r="BF52" s="267">
        <f t="shared" si="55"/>
        <v>1200000</v>
      </c>
      <c r="BG52" s="267">
        <f t="shared" si="55"/>
        <v>9</v>
      </c>
      <c r="BH52" s="267">
        <f t="shared" si="55"/>
        <v>2700000</v>
      </c>
      <c r="BI52" s="267">
        <f t="shared" si="55"/>
        <v>0</v>
      </c>
      <c r="BJ52" s="267">
        <f t="shared" si="55"/>
        <v>0</v>
      </c>
      <c r="BK52" s="267">
        <f t="shared" si="55"/>
        <v>97</v>
      </c>
      <c r="BL52" s="267">
        <f t="shared" si="55"/>
        <v>29100000</v>
      </c>
      <c r="BM52" s="348"/>
      <c r="BO52" s="397">
        <f t="shared" ref="BO52:BV52" si="56">SUM(BO51:BO51)</f>
        <v>0</v>
      </c>
      <c r="BP52" s="397">
        <f t="shared" si="56"/>
        <v>0</v>
      </c>
      <c r="BQ52" s="397">
        <f t="shared" si="56"/>
        <v>29100000</v>
      </c>
      <c r="BR52" s="397">
        <f t="shared" si="56"/>
        <v>0</v>
      </c>
      <c r="BS52" s="397">
        <f t="shared" si="56"/>
        <v>29100000</v>
      </c>
      <c r="BT52" s="397">
        <f t="shared" si="56"/>
        <v>0</v>
      </c>
      <c r="BU52" s="397">
        <f t="shared" si="56"/>
        <v>0</v>
      </c>
      <c r="BV52" s="397">
        <f t="shared" si="56"/>
        <v>0</v>
      </c>
      <c r="BW52" s="387">
        <f t="shared" si="20"/>
        <v>29100000</v>
      </c>
    </row>
    <row r="53" spans="1:160" x14ac:dyDescent="0.25">
      <c r="A53" s="927"/>
      <c r="B53" s="484"/>
      <c r="C53" s="118"/>
      <c r="D53" s="486"/>
      <c r="E53" s="487"/>
      <c r="F53" s="487"/>
      <c r="G53" s="487">
        <f t="shared" ref="G53:AL53" si="57">G52+G49+G42+G37+G25+G20+G13</f>
        <v>6456.5</v>
      </c>
      <c r="H53" s="488">
        <f t="shared" si="57"/>
        <v>444184000</v>
      </c>
      <c r="I53" s="488">
        <f t="shared" si="57"/>
        <v>17357000</v>
      </c>
      <c r="J53" s="488">
        <f t="shared" si="57"/>
        <v>75600000</v>
      </c>
      <c r="K53" s="488">
        <f t="shared" si="57"/>
        <v>43095000</v>
      </c>
      <c r="L53" s="488">
        <f t="shared" si="57"/>
        <v>55000000</v>
      </c>
      <c r="M53" s="488">
        <f t="shared" si="57"/>
        <v>250957000</v>
      </c>
      <c r="N53" s="488">
        <f t="shared" si="57"/>
        <v>720000</v>
      </c>
      <c r="O53" s="488">
        <f t="shared" si="57"/>
        <v>0</v>
      </c>
      <c r="P53" s="488">
        <f t="shared" si="57"/>
        <v>0</v>
      </c>
      <c r="Q53" s="488">
        <f t="shared" si="57"/>
        <v>1455000</v>
      </c>
      <c r="R53" s="488">
        <f t="shared" si="57"/>
        <v>0</v>
      </c>
      <c r="S53" s="487">
        <f t="shared" si="57"/>
        <v>1096.2</v>
      </c>
      <c r="T53" s="487">
        <f t="shared" si="57"/>
        <v>320.8</v>
      </c>
      <c r="U53" s="487">
        <f t="shared" si="57"/>
        <v>3917.8</v>
      </c>
      <c r="V53" s="487">
        <f t="shared" si="57"/>
        <v>1189.3</v>
      </c>
      <c r="W53" s="488">
        <f t="shared" si="57"/>
        <v>73955200</v>
      </c>
      <c r="X53" s="488">
        <f t="shared" si="57"/>
        <v>16980000</v>
      </c>
      <c r="Y53" s="488">
        <f t="shared" si="57"/>
        <v>286328400</v>
      </c>
      <c r="Z53" s="488">
        <f t="shared" si="57"/>
        <v>112772800</v>
      </c>
      <c r="AA53" s="487">
        <f t="shared" si="57"/>
        <v>828.2</v>
      </c>
      <c r="AB53" s="487">
        <f t="shared" si="57"/>
        <v>33306000</v>
      </c>
      <c r="AC53" s="487">
        <f t="shared" si="57"/>
        <v>231.5</v>
      </c>
      <c r="AD53" s="487">
        <f t="shared" si="57"/>
        <v>17874000</v>
      </c>
      <c r="AE53" s="487">
        <f t="shared" si="57"/>
        <v>245.5</v>
      </c>
      <c r="AF53" s="487">
        <f t="shared" si="57"/>
        <v>28378000</v>
      </c>
      <c r="AG53" s="487">
        <f t="shared" si="57"/>
        <v>393.5</v>
      </c>
      <c r="AH53" s="487">
        <f t="shared" si="57"/>
        <v>40554000</v>
      </c>
      <c r="AI53" s="487">
        <f t="shared" si="57"/>
        <v>531.29999999999995</v>
      </c>
      <c r="AJ53" s="487">
        <f t="shared" si="57"/>
        <v>19608000</v>
      </c>
      <c r="AK53" s="487">
        <f t="shared" si="57"/>
        <v>422.5</v>
      </c>
      <c r="AL53" s="487">
        <f t="shared" si="57"/>
        <v>30664000</v>
      </c>
      <c r="AM53" s="487">
        <f t="shared" ref="AM53:BL53" si="58">AM52+AM49+AM42+AM37+AM25+AM20+AM13</f>
        <v>436.5</v>
      </c>
      <c r="AN53" s="487">
        <f t="shared" si="58"/>
        <v>20702000</v>
      </c>
      <c r="AO53" s="487">
        <f t="shared" si="58"/>
        <v>90.5</v>
      </c>
      <c r="AP53" s="487">
        <f t="shared" si="58"/>
        <v>19004000</v>
      </c>
      <c r="AQ53" s="487">
        <f t="shared" si="58"/>
        <v>342.5</v>
      </c>
      <c r="AR53" s="487">
        <f t="shared" si="58"/>
        <v>18948000</v>
      </c>
      <c r="AS53" s="487">
        <f t="shared" si="58"/>
        <v>270</v>
      </c>
      <c r="AT53" s="487">
        <f t="shared" si="58"/>
        <v>30766000</v>
      </c>
      <c r="AU53" s="487">
        <f t="shared" si="58"/>
        <v>279</v>
      </c>
      <c r="AV53" s="487">
        <f t="shared" si="58"/>
        <v>28586000</v>
      </c>
      <c r="AW53" s="487">
        <f t="shared" si="58"/>
        <v>64</v>
      </c>
      <c r="AX53" s="487">
        <f t="shared" si="58"/>
        <v>24500000</v>
      </c>
      <c r="AY53" s="487">
        <f t="shared" si="58"/>
        <v>55</v>
      </c>
      <c r="AZ53" s="487">
        <f t="shared" si="58"/>
        <v>23770000</v>
      </c>
      <c r="BA53" s="487">
        <f t="shared" si="58"/>
        <v>1491</v>
      </c>
      <c r="BB53" s="487">
        <f t="shared" si="58"/>
        <v>23436000</v>
      </c>
      <c r="BC53" s="487">
        <f t="shared" si="58"/>
        <v>365.5</v>
      </c>
      <c r="BD53" s="487">
        <f t="shared" si="58"/>
        <v>32534000</v>
      </c>
      <c r="BE53" s="487">
        <f t="shared" si="58"/>
        <v>148.5</v>
      </c>
      <c r="BF53" s="487">
        <f t="shared" si="58"/>
        <v>19178000</v>
      </c>
      <c r="BG53" s="487">
        <f t="shared" si="58"/>
        <v>261.5</v>
      </c>
      <c r="BH53" s="487">
        <f t="shared" si="58"/>
        <v>32376000</v>
      </c>
      <c r="BI53" s="487">
        <f t="shared" si="58"/>
        <v>0</v>
      </c>
      <c r="BJ53" s="487">
        <f t="shared" si="58"/>
        <v>0</v>
      </c>
      <c r="BK53" s="487">
        <f t="shared" si="58"/>
        <v>6456.5</v>
      </c>
      <c r="BL53" s="489">
        <f t="shared" si="58"/>
        <v>444184000</v>
      </c>
      <c r="BM53" s="348"/>
      <c r="BO53" s="490">
        <f t="shared" ref="BO53:BV53" si="59">BO52+BO49+BO42+BO37+BO25+BO20+BO13</f>
        <v>415084000</v>
      </c>
      <c r="BP53" s="491">
        <f t="shared" si="59"/>
        <v>0</v>
      </c>
      <c r="BQ53" s="491">
        <f t="shared" si="59"/>
        <v>29100000</v>
      </c>
      <c r="BR53" s="491">
        <f t="shared" si="59"/>
        <v>0</v>
      </c>
      <c r="BS53" s="491">
        <f t="shared" si="59"/>
        <v>444184000</v>
      </c>
      <c r="BT53" s="491">
        <f t="shared" si="59"/>
        <v>0</v>
      </c>
      <c r="BU53" s="491">
        <f t="shared" si="59"/>
        <v>0</v>
      </c>
      <c r="BV53" s="491">
        <f t="shared" si="59"/>
        <v>0</v>
      </c>
      <c r="BW53" s="492">
        <f t="shared" si="20"/>
        <v>444184000</v>
      </c>
    </row>
    <row r="54" spans="1:160" x14ac:dyDescent="0.25">
      <c r="D54" s="39" t="s">
        <v>507</v>
      </c>
      <c r="E54" s="945"/>
      <c r="F54" s="945"/>
      <c r="G54" s="945"/>
    </row>
    <row r="55" spans="1:160" x14ac:dyDescent="0.25">
      <c r="D55" s="39" t="s">
        <v>561</v>
      </c>
    </row>
    <row r="56" spans="1:160" x14ac:dyDescent="0.25">
      <c r="D56" s="39" t="s">
        <v>562</v>
      </c>
    </row>
    <row r="57" spans="1:160" x14ac:dyDescent="0.25">
      <c r="D57" s="39" t="s">
        <v>563</v>
      </c>
    </row>
    <row r="58" spans="1:160" x14ac:dyDescent="0.25">
      <c r="D58" s="39" t="s">
        <v>564</v>
      </c>
    </row>
  </sheetData>
  <mergeCells count="46">
    <mergeCell ref="BT7:BV7"/>
    <mergeCell ref="BW7:BW8"/>
    <mergeCell ref="A9:A53"/>
    <mergeCell ref="BI6:BJ7"/>
    <mergeCell ref="BK6:BL7"/>
    <mergeCell ref="C7:C8"/>
    <mergeCell ref="D7:D8"/>
    <mergeCell ref="G7:G8"/>
    <mergeCell ref="BE6:BF7"/>
    <mergeCell ref="AI6:AJ7"/>
    <mergeCell ref="AK6:AL7"/>
    <mergeCell ref="F7:F8"/>
    <mergeCell ref="AE6:AF7"/>
    <mergeCell ref="AG6:AH7"/>
    <mergeCell ref="I6:R6"/>
    <mergeCell ref="E7:E8"/>
    <mergeCell ref="BM6:BM8"/>
    <mergeCell ref="BO7:BS7"/>
    <mergeCell ref="BG6:BH7"/>
    <mergeCell ref="AM6:AN7"/>
    <mergeCell ref="AO6:AP7"/>
    <mergeCell ref="AQ6:AR7"/>
    <mergeCell ref="AS6:AT7"/>
    <mergeCell ref="AU6:AV7"/>
    <mergeCell ref="AW6:AX7"/>
    <mergeCell ref="AY6:AZ7"/>
    <mergeCell ref="BA6:BB7"/>
    <mergeCell ref="BC6:BD7"/>
    <mergeCell ref="W6:Z7"/>
    <mergeCell ref="AA6:AB7"/>
    <mergeCell ref="AC6:AD7"/>
    <mergeCell ref="G6:H6"/>
    <mergeCell ref="E54:G54"/>
    <mergeCell ref="S6:V7"/>
    <mergeCell ref="H7:H8"/>
    <mergeCell ref="A1:C1"/>
    <mergeCell ref="D1:R1"/>
    <mergeCell ref="A2:C2"/>
    <mergeCell ref="D2:R2"/>
    <mergeCell ref="A6:E6"/>
    <mergeCell ref="A4:C4"/>
    <mergeCell ref="D4:R4"/>
    <mergeCell ref="A5:C5"/>
    <mergeCell ref="D5:R5"/>
    <mergeCell ref="A3:C3"/>
    <mergeCell ref="D3:R3"/>
  </mergeCells>
  <pageMargins left="0.26" right="0.34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Apr18 to Mar'19 Summry</vt:lpstr>
      <vt:lpstr>Apr19 to Mar'20 Summry , MPA</vt:lpstr>
      <vt:lpstr>Summary </vt:lpstr>
      <vt:lpstr>1.1</vt:lpstr>
      <vt:lpstr>1.2 </vt:lpstr>
      <vt:lpstr>2.1</vt:lpstr>
      <vt:lpstr>2.2</vt:lpstr>
      <vt:lpstr>2.3</vt:lpstr>
      <vt:lpstr>3.1 </vt:lpstr>
      <vt:lpstr>3.2 </vt:lpstr>
      <vt:lpstr>4.1 </vt:lpstr>
      <vt:lpstr>4.2</vt:lpstr>
      <vt:lpstr>4.3 </vt:lpstr>
      <vt:lpstr>Sheet1</vt:lpstr>
      <vt:lpstr>'Apr19 to Mar''20 Summry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acer</cp:lastModifiedBy>
  <cp:lastPrinted>2019-07-02T13:45:02Z</cp:lastPrinted>
  <dcterms:created xsi:type="dcterms:W3CDTF">2000-12-31T18:57:07Z</dcterms:created>
  <dcterms:modified xsi:type="dcterms:W3CDTF">2019-07-18T11:21:12Z</dcterms:modified>
</cp:coreProperties>
</file>