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comments3.xml" ContentType="application/vnd.openxmlformats-officedocument.spreadsheetml.comments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 defaultThemeVersion="124226"/>
  <bookViews>
    <workbookView xWindow="23880" yWindow="-120" windowWidth="20730" windowHeight="11760" tabRatio="831" activeTab="4"/>
  </bookViews>
  <sheets>
    <sheet name="Sum, scheme" sheetId="20" r:id="rId1"/>
    <sheet name="Component wise" sheetId="50" r:id="rId2"/>
    <sheet name="Sum , MPA" sheetId="39" r:id="rId3"/>
    <sheet name="Summary " sheetId="48" r:id="rId4"/>
    <sheet name="1.1" sheetId="47" r:id="rId5"/>
    <sheet name="1.2" sheetId="46" r:id="rId6"/>
    <sheet name="2.1" sheetId="45" r:id="rId7"/>
    <sheet name="2.2" sheetId="44" r:id="rId8"/>
    <sheet name="2.3" sheetId="43" r:id="rId9"/>
    <sheet name="3.1" sheetId="42" r:id="rId10"/>
    <sheet name="3.2" sheetId="41" r:id="rId11"/>
    <sheet name="4.1 " sheetId="24" r:id="rId12"/>
    <sheet name="4.2" sheetId="25" r:id="rId13"/>
    <sheet name="4.3 " sheetId="26" r:id="rId14"/>
  </sheets>
  <definedNames>
    <definedName name="_xlnm._FilterDatabase" localSheetId="10" hidden="1">#N/A</definedName>
    <definedName name="_xlnm.Print_Area" localSheetId="2">'Sum , MPA'!$A$1:$AQ$34</definedName>
    <definedName name="_xlnm.Print_Titles" localSheetId="2">'Sum , MPA'!$A:$C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43"/>
  <c r="BI19" i="45"/>
  <c r="BI18"/>
  <c r="J16" i="25"/>
  <c r="K16"/>
  <c r="M16"/>
  <c r="N16"/>
  <c r="O16"/>
  <c r="P16"/>
  <c r="Q16"/>
  <c r="Z16"/>
  <c r="AB16"/>
  <c r="AD16"/>
  <c r="AF16"/>
  <c r="AH16"/>
  <c r="AJ16"/>
  <c r="AL16"/>
  <c r="AN16"/>
  <c r="AO16"/>
  <c r="AP16"/>
  <c r="AR16"/>
  <c r="AT16"/>
  <c r="AU16"/>
  <c r="AV16"/>
  <c r="AW16"/>
  <c r="AX16"/>
  <c r="AY16"/>
  <c r="AZ16"/>
  <c r="BB16"/>
  <c r="BD16"/>
  <c r="BF16"/>
  <c r="BH16"/>
  <c r="BO16"/>
  <c r="BP16"/>
  <c r="BQ16"/>
  <c r="BS16"/>
  <c r="J37" i="41"/>
  <c r="L37"/>
  <c r="M37"/>
  <c r="N37"/>
  <c r="P37"/>
  <c r="Q37"/>
  <c r="U37"/>
  <c r="Y37"/>
  <c r="Y46" s="1"/>
  <c r="AA37"/>
  <c r="AC37"/>
  <c r="AE37"/>
  <c r="AE46" s="1"/>
  <c r="AG37"/>
  <c r="AI37"/>
  <c r="AK37"/>
  <c r="AK46" s="1"/>
  <c r="AM37"/>
  <c r="AO37"/>
  <c r="AQ37"/>
  <c r="AQ46" s="1"/>
  <c r="AS37"/>
  <c r="AU37"/>
  <c r="AW37"/>
  <c r="AW46" s="1"/>
  <c r="AY37"/>
  <c r="BA37"/>
  <c r="BC37"/>
  <c r="BC46" s="1"/>
  <c r="BE37"/>
  <c r="BG37"/>
  <c r="BI32"/>
  <c r="E32" s="1"/>
  <c r="BJ30"/>
  <c r="BJ32"/>
  <c r="F32" s="1"/>
  <c r="K32" s="1"/>
  <c r="BJ36"/>
  <c r="F36" s="1"/>
  <c r="I45"/>
  <c r="J45"/>
  <c r="L45"/>
  <c r="M45"/>
  <c r="N45"/>
  <c r="O45"/>
  <c r="P45"/>
  <c r="Y45"/>
  <c r="AA45"/>
  <c r="AC45"/>
  <c r="AE45"/>
  <c r="AG45"/>
  <c r="AI45"/>
  <c r="AK45"/>
  <c r="AM45"/>
  <c r="AO45"/>
  <c r="AQ45"/>
  <c r="AS45"/>
  <c r="AU45"/>
  <c r="AU46" s="1"/>
  <c r="AW45"/>
  <c r="AY45"/>
  <c r="BA45"/>
  <c r="BC45"/>
  <c r="BE45"/>
  <c r="BG45"/>
  <c r="Y20"/>
  <c r="AC20"/>
  <c r="AE20"/>
  <c r="AG20"/>
  <c r="AI20"/>
  <c r="AK20"/>
  <c r="AM20"/>
  <c r="AO20"/>
  <c r="AQ20"/>
  <c r="AS20"/>
  <c r="AU20"/>
  <c r="AW20"/>
  <c r="AY20"/>
  <c r="BA20"/>
  <c r="BA46" s="1"/>
  <c r="BC20"/>
  <c r="BE20"/>
  <c r="BG20"/>
  <c r="L34" i="44"/>
  <c r="N34"/>
  <c r="O34"/>
  <c r="P34"/>
  <c r="R34"/>
  <c r="AA34"/>
  <c r="AC34"/>
  <c r="AE34"/>
  <c r="AG34"/>
  <c r="AI34"/>
  <c r="AK34"/>
  <c r="AM34"/>
  <c r="AO34"/>
  <c r="AQ34"/>
  <c r="AS34"/>
  <c r="AU34"/>
  <c r="AW34"/>
  <c r="AY34"/>
  <c r="BC34"/>
  <c r="BE34"/>
  <c r="BG34"/>
  <c r="BI34"/>
  <c r="I13"/>
  <c r="J13"/>
  <c r="K13"/>
  <c r="L13"/>
  <c r="M13"/>
  <c r="O13"/>
  <c r="P13"/>
  <c r="Q13"/>
  <c r="R13"/>
  <c r="AA13"/>
  <c r="AC13"/>
  <c r="AE13"/>
  <c r="AG13"/>
  <c r="AI13"/>
  <c r="AK13"/>
  <c r="AM13"/>
  <c r="AO13"/>
  <c r="AQ13"/>
  <c r="AS13"/>
  <c r="AU13"/>
  <c r="AW13"/>
  <c r="AY13"/>
  <c r="BA13"/>
  <c r="BC13"/>
  <c r="BE13"/>
  <c r="BG13"/>
  <c r="BI13"/>
  <c r="K90"/>
  <c r="L90"/>
  <c r="M90"/>
  <c r="N90"/>
  <c r="O90"/>
  <c r="P90"/>
  <c r="AN37" i="42"/>
  <c r="AV37"/>
  <c r="BG46" i="41" l="1"/>
  <c r="AO46"/>
  <c r="AI46"/>
  <c r="AC46"/>
  <c r="BE46"/>
  <c r="AY46"/>
  <c r="AS46"/>
  <c r="AM46"/>
  <c r="AG46"/>
  <c r="BF19" i="47" l="1"/>
  <c r="BD19"/>
  <c r="BC20"/>
  <c r="BB20"/>
  <c r="BB19"/>
  <c r="BC19" s="1"/>
  <c r="AZ19"/>
  <c r="AX19"/>
  <c r="AV19"/>
  <c r="AW19" s="1"/>
  <c r="AT19"/>
  <c r="AU19" s="1"/>
  <c r="AR19"/>
  <c r="AP19"/>
  <c r="AN19"/>
  <c r="AL19"/>
  <c r="AJ19"/>
  <c r="AK19" s="1"/>
  <c r="AH19"/>
  <c r="AF19"/>
  <c r="AD19"/>
  <c r="AE19" s="1"/>
  <c r="AB19"/>
  <c r="Z19"/>
  <c r="BK25" i="43"/>
  <c r="BL25"/>
  <c r="H25" s="1"/>
  <c r="K25" s="1"/>
  <c r="AV32" i="44"/>
  <c r="AU26" i="45"/>
  <c r="BI14" i="41"/>
  <c r="E14" s="1"/>
  <c r="AN33" i="44"/>
  <c r="BL33" s="1"/>
  <c r="H33" s="1"/>
  <c r="BI36" i="41"/>
  <c r="E36" s="1"/>
  <c r="I36"/>
  <c r="I37" s="1"/>
  <c r="BK33" i="44"/>
  <c r="G33" s="1"/>
  <c r="V33"/>
  <c r="BK24" i="42"/>
  <c r="AN24"/>
  <c r="BL24" s="1"/>
  <c r="G24"/>
  <c r="H24" s="1"/>
  <c r="K24" s="1"/>
  <c r="AM26" i="45"/>
  <c r="AL26"/>
  <c r="AN19" i="43"/>
  <c r="K33" i="44" l="1"/>
  <c r="K34" s="1"/>
  <c r="Z33"/>
  <c r="AL14" i="41" l="1"/>
  <c r="AM15" i="25"/>
  <c r="BK15" s="1"/>
  <c r="G15" s="1"/>
  <c r="BJ15"/>
  <c r="BL16"/>
  <c r="AB27" i="43"/>
  <c r="AD27"/>
  <c r="AF27"/>
  <c r="AH27"/>
  <c r="AJ27"/>
  <c r="AL27"/>
  <c r="AN27"/>
  <c r="AP27"/>
  <c r="AR27"/>
  <c r="AT27"/>
  <c r="AV27"/>
  <c r="AX27"/>
  <c r="AZ27"/>
  <c r="BB27"/>
  <c r="BD27"/>
  <c r="BF27"/>
  <c r="BH27"/>
  <c r="BK27"/>
  <c r="G27" s="1"/>
  <c r="H27" s="1"/>
  <c r="Z27" s="1"/>
  <c r="AX30" i="42"/>
  <c r="O27" i="43" l="1"/>
  <c r="BN15" i="25"/>
  <c r="BR15" s="1"/>
  <c r="BV15" s="1"/>
  <c r="L15"/>
  <c r="L16" s="1"/>
  <c r="BJ14" i="41"/>
  <c r="F14" s="1"/>
  <c r="K14" s="1"/>
  <c r="V27" i="43"/>
  <c r="BL27"/>
  <c r="BC74" i="45" l="1"/>
  <c r="AB20" i="44"/>
  <c r="BA20"/>
  <c r="BD20"/>
  <c r="AZ20"/>
  <c r="AX20"/>
  <c r="AV20"/>
  <c r="AT20"/>
  <c r="AR20"/>
  <c r="AP20"/>
  <c r="AN20"/>
  <c r="AF20"/>
  <c r="AD20"/>
  <c r="BH23" i="42"/>
  <c r="BF23"/>
  <c r="BD23"/>
  <c r="BB23"/>
  <c r="AZ23"/>
  <c r="AX23"/>
  <c r="AV23"/>
  <c r="AT23"/>
  <c r="AR23"/>
  <c r="AP23"/>
  <c r="AL23"/>
  <c r="AJ23"/>
  <c r="AH23"/>
  <c r="AF23"/>
  <c r="AD23"/>
  <c r="AB23"/>
  <c r="BK23"/>
  <c r="G23" s="1"/>
  <c r="AS26" i="45"/>
  <c r="AW26"/>
  <c r="BG26"/>
  <c r="BE26"/>
  <c r="BC26"/>
  <c r="BA26"/>
  <c r="AY26"/>
  <c r="AQ26"/>
  <c r="AO26"/>
  <c r="AK26"/>
  <c r="AI26"/>
  <c r="AG26"/>
  <c r="AE26"/>
  <c r="AC26"/>
  <c r="AA26"/>
  <c r="BJ26"/>
  <c r="F26" s="1"/>
  <c r="AT32" i="44"/>
  <c r="BH32"/>
  <c r="BK32"/>
  <c r="G32" s="1"/>
  <c r="BF32"/>
  <c r="BD32"/>
  <c r="BB32"/>
  <c r="AZ32"/>
  <c r="AX32"/>
  <c r="AR32"/>
  <c r="AP32"/>
  <c r="AN32"/>
  <c r="AL32"/>
  <c r="AJ32"/>
  <c r="AH32"/>
  <c r="AF32"/>
  <c r="AD32"/>
  <c r="AB32"/>
  <c r="AQ57" i="45"/>
  <c r="BJ32" i="44"/>
  <c r="AM83" i="45"/>
  <c r="AM80"/>
  <c r="AK79"/>
  <c r="AK80"/>
  <c r="AI58"/>
  <c r="AG83"/>
  <c r="AG82"/>
  <c r="AG79"/>
  <c r="AE83"/>
  <c r="AE79"/>
  <c r="AE58"/>
  <c r="AC58"/>
  <c r="AA82"/>
  <c r="AA79"/>
  <c r="AA41"/>
  <c r="AM87"/>
  <c r="AM86"/>
  <c r="AO83"/>
  <c r="AO82"/>
  <c r="AQ82"/>
  <c r="AQ80"/>
  <c r="AQ79"/>
  <c r="AS79"/>
  <c r="AU82"/>
  <c r="BG82"/>
  <c r="BG79"/>
  <c r="BE32"/>
  <c r="BA83"/>
  <c r="BA82"/>
  <c r="AY79"/>
  <c r="AW79"/>
  <c r="AU79"/>
  <c r="AS82"/>
  <c r="AS81"/>
  <c r="AQ83"/>
  <c r="AO86"/>
  <c r="AK82"/>
  <c r="AI79"/>
  <c r="AI69"/>
  <c r="AI41"/>
  <c r="AG80"/>
  <c r="AG31"/>
  <c r="AE80"/>
  <c r="BC46"/>
  <c r="BC47"/>
  <c r="BC48"/>
  <c r="BC49"/>
  <c r="BC50"/>
  <c r="BC51"/>
  <c r="BA37"/>
  <c r="AY46"/>
  <c r="AY47"/>
  <c r="AY48"/>
  <c r="AY49"/>
  <c r="AY50"/>
  <c r="AW46"/>
  <c r="AW47"/>
  <c r="AW48"/>
  <c r="AW49"/>
  <c r="AW50"/>
  <c r="AW51"/>
  <c r="AO46"/>
  <c r="AO47"/>
  <c r="AO48"/>
  <c r="AO49"/>
  <c r="AO50"/>
  <c r="AO51"/>
  <c r="AK48"/>
  <c r="AK49"/>
  <c r="AK50"/>
  <c r="AK51"/>
  <c r="AK46"/>
  <c r="AK47"/>
  <c r="AE49"/>
  <c r="AE50"/>
  <c r="BJ34" i="42"/>
  <c r="E84" i="24"/>
  <c r="AD34" i="43"/>
  <c r="BH33"/>
  <c r="AT50" i="42"/>
  <c r="AT34" i="43"/>
  <c r="AT82" i="44"/>
  <c r="AT70"/>
  <c r="AT55"/>
  <c r="AT40"/>
  <c r="AT39"/>
  <c r="AT31"/>
  <c r="AS25" i="45"/>
  <c r="AR64" i="46"/>
  <c r="AS47" i="47"/>
  <c r="AS35"/>
  <c r="AX45" i="43"/>
  <c r="AW25" i="45"/>
  <c r="AX58" i="44"/>
  <c r="AN52"/>
  <c r="BH23" i="43"/>
  <c r="BF23"/>
  <c r="BD23"/>
  <c r="BB23"/>
  <c r="AZ23"/>
  <c r="AX23"/>
  <c r="AV23"/>
  <c r="AT23"/>
  <c r="AR23"/>
  <c r="AP23"/>
  <c r="AN23"/>
  <c r="AL23"/>
  <c r="AJ23"/>
  <c r="AH23"/>
  <c r="AF23"/>
  <c r="AD23"/>
  <c r="AB23"/>
  <c r="AB22"/>
  <c r="BK23"/>
  <c r="G23" s="1"/>
  <c r="BB20" i="44" l="1"/>
  <c r="BA34"/>
  <c r="H23" i="43"/>
  <c r="V23"/>
  <c r="BL32" i="44"/>
  <c r="BL23" i="42"/>
  <c r="H23" s="1"/>
  <c r="M23" s="1"/>
  <c r="BK26" i="45"/>
  <c r="G26" s="1"/>
  <c r="L26" s="1"/>
  <c r="H32" i="44"/>
  <c r="BL23" i="43"/>
  <c r="K50" i="42"/>
  <c r="L50"/>
  <c r="N50"/>
  <c r="P50"/>
  <c r="R50"/>
  <c r="T50"/>
  <c r="U50"/>
  <c r="V50"/>
  <c r="W50"/>
  <c r="X50"/>
  <c r="Y50"/>
  <c r="Z50"/>
  <c r="AA50"/>
  <c r="AB50"/>
  <c r="Z13" i="46"/>
  <c r="AB13"/>
  <c r="AD13"/>
  <c r="AF13"/>
  <c r="AH13"/>
  <c r="AJ13"/>
  <c r="AL13"/>
  <c r="AN13"/>
  <c r="AP13"/>
  <c r="AR13"/>
  <c r="AT13"/>
  <c r="AV13"/>
  <c r="AX13"/>
  <c r="AZ13"/>
  <c r="BB13"/>
  <c r="BD13"/>
  <c r="BF13"/>
  <c r="BI13"/>
  <c r="BF47"/>
  <c r="BD47"/>
  <c r="BB47"/>
  <c r="AZ47"/>
  <c r="AX47"/>
  <c r="AV47"/>
  <c r="AT47"/>
  <c r="AR47"/>
  <c r="AP47"/>
  <c r="AN47"/>
  <c r="AL47"/>
  <c r="AJ47"/>
  <c r="AH47"/>
  <c r="AF47"/>
  <c r="AD47"/>
  <c r="AB47"/>
  <c r="Z47"/>
  <c r="BI47"/>
  <c r="E47" s="1"/>
  <c r="BI48"/>
  <c r="BI49"/>
  <c r="BI51"/>
  <c r="J44" i="47"/>
  <c r="K44"/>
  <c r="L44"/>
  <c r="M44"/>
  <c r="N44"/>
  <c r="O44"/>
  <c r="P44"/>
  <c r="Q44"/>
  <c r="BL44"/>
  <c r="BM44"/>
  <c r="BP44"/>
  <c r="O23" i="43" l="1"/>
  <c r="Z23"/>
  <c r="M32" i="44"/>
  <c r="BJ13" i="46"/>
  <c r="AV79" i="44"/>
  <c r="AV43"/>
  <c r="BI30" i="41"/>
  <c r="E30" s="1"/>
  <c r="F30"/>
  <c r="G30" s="1"/>
  <c r="BH30" i="43"/>
  <c r="BF30"/>
  <c r="BB30"/>
  <c r="AZ30"/>
  <c r="AX30"/>
  <c r="AV30"/>
  <c r="AT30"/>
  <c r="AR30"/>
  <c r="AN30"/>
  <c r="AL30"/>
  <c r="AJ30"/>
  <c r="AH30"/>
  <c r="AF30"/>
  <c r="AD30"/>
  <c r="AB30"/>
  <c r="BD30"/>
  <c r="AQ10" i="47"/>
  <c r="AW43"/>
  <c r="BD35"/>
  <c r="BD34"/>
  <c r="AR20" i="45"/>
  <c r="K30" i="41" l="1"/>
  <c r="H30"/>
  <c r="BG51" i="45"/>
  <c r="BI20" i="47"/>
  <c r="BG20"/>
  <c r="BA20"/>
  <c r="AW20"/>
  <c r="AG20"/>
  <c r="AB34" i="41"/>
  <c r="AA19"/>
  <c r="AA20" s="1"/>
  <c r="AA46" s="1"/>
  <c r="AD16" i="43"/>
  <c r="AC80" i="44"/>
  <c r="BK80" s="1"/>
  <c r="G80" s="1"/>
  <c r="H80" s="1"/>
  <c r="AC48"/>
  <c r="AC48" i="47"/>
  <c r="AB48"/>
  <c r="AX23"/>
  <c r="BH55" i="46"/>
  <c r="BD55"/>
  <c r="BD56" s="1"/>
  <c r="AX55"/>
  <c r="AX56" s="1"/>
  <c r="AN55"/>
  <c r="BI21" i="47"/>
  <c r="BF21"/>
  <c r="BG21" s="1"/>
  <c r="BD21"/>
  <c r="BE21" s="1"/>
  <c r="BB21"/>
  <c r="BC21" s="1"/>
  <c r="AZ21"/>
  <c r="BA21" s="1"/>
  <c r="AX21"/>
  <c r="AY21" s="1"/>
  <c r="AV21"/>
  <c r="AT21"/>
  <c r="AU21" s="1"/>
  <c r="AR21"/>
  <c r="AS21" s="1"/>
  <c r="AP21"/>
  <c r="AQ21" s="1"/>
  <c r="AN21"/>
  <c r="AO21" s="1"/>
  <c r="AL21"/>
  <c r="AM21" s="1"/>
  <c r="AJ21"/>
  <c r="AK21" s="1"/>
  <c r="AH21"/>
  <c r="AI21" s="1"/>
  <c r="AF21"/>
  <c r="AG21" s="1"/>
  <c r="AD21"/>
  <c r="AE21" s="1"/>
  <c r="AB21"/>
  <c r="Z21"/>
  <c r="AA21"/>
  <c r="BI19"/>
  <c r="BG19"/>
  <c r="BE19"/>
  <c r="BA19"/>
  <c r="AY19"/>
  <c r="AS19"/>
  <c r="AQ19"/>
  <c r="AM19"/>
  <c r="AI19"/>
  <c r="AG19"/>
  <c r="AA19"/>
  <c r="AE18"/>
  <c r="H7" i="50"/>
  <c r="H6"/>
  <c r="H5"/>
  <c r="H4"/>
  <c r="H3"/>
  <c r="I3"/>
  <c r="G3"/>
  <c r="AE17" i="47"/>
  <c r="AR33" i="41"/>
  <c r="AP34"/>
  <c r="Z33"/>
  <c r="AB43" i="42"/>
  <c r="AD43"/>
  <c r="AF43"/>
  <c r="AH43"/>
  <c r="AJ43"/>
  <c r="AL43"/>
  <c r="AN43"/>
  <c r="AP43"/>
  <c r="AR43"/>
  <c r="AT43"/>
  <c r="AV43"/>
  <c r="AX43"/>
  <c r="AZ43"/>
  <c r="BB43"/>
  <c r="BD43"/>
  <c r="BF43"/>
  <c r="BK43"/>
  <c r="G43" s="1"/>
  <c r="Z42" i="41"/>
  <c r="Z41"/>
  <c r="AB42"/>
  <c r="AB41"/>
  <c r="AD42"/>
  <c r="AD41"/>
  <c r="AF42"/>
  <c r="AF41"/>
  <c r="AH42"/>
  <c r="AH41"/>
  <c r="AJ42"/>
  <c r="AJ41"/>
  <c r="AL42"/>
  <c r="AL41"/>
  <c r="AN42"/>
  <c r="AN41"/>
  <c r="AB47" i="43"/>
  <c r="AH47"/>
  <c r="AN47"/>
  <c r="AR47"/>
  <c r="AT47"/>
  <c r="AZ47"/>
  <c r="BB47"/>
  <c r="BF47"/>
  <c r="AA28" i="45"/>
  <c r="AA27"/>
  <c r="AC28"/>
  <c r="AC27"/>
  <c r="AE28"/>
  <c r="AE27"/>
  <c r="AG28"/>
  <c r="AG27"/>
  <c r="AI28"/>
  <c r="AI27"/>
  <c r="AK28"/>
  <c r="AK27"/>
  <c r="AM28"/>
  <c r="AM27"/>
  <c r="AO28"/>
  <c r="AO27"/>
  <c r="AQ28"/>
  <c r="AQ27"/>
  <c r="AS28"/>
  <c r="AS27"/>
  <c r="AU28"/>
  <c r="AU27"/>
  <c r="AW28"/>
  <c r="AW27"/>
  <c r="AY28"/>
  <c r="AY27"/>
  <c r="BA28"/>
  <c r="BA27"/>
  <c r="BC28"/>
  <c r="BC27"/>
  <c r="BE28"/>
  <c r="BE27"/>
  <c r="BG28"/>
  <c r="BG27"/>
  <c r="BJ28"/>
  <c r="F28" s="1"/>
  <c r="BJ27"/>
  <c r="F27" s="1"/>
  <c r="G27" s="1"/>
  <c r="AB44" i="42"/>
  <c r="AB42"/>
  <c r="AD44"/>
  <c r="AD42"/>
  <c r="AF44"/>
  <c r="AF42"/>
  <c r="AH44"/>
  <c r="AH42"/>
  <c r="AJ44"/>
  <c r="AJ42"/>
  <c r="AL44"/>
  <c r="AL42"/>
  <c r="AN44"/>
  <c r="AN42"/>
  <c r="AP44"/>
  <c r="AP42"/>
  <c r="AR44"/>
  <c r="AR42"/>
  <c r="AT44"/>
  <c r="AT42"/>
  <c r="AV44"/>
  <c r="AV42"/>
  <c r="AX44"/>
  <c r="AX42"/>
  <c r="AZ44"/>
  <c r="AZ42"/>
  <c r="BB44"/>
  <c r="BB42"/>
  <c r="BD44"/>
  <c r="BD42"/>
  <c r="BF44"/>
  <c r="BF42"/>
  <c r="BH44"/>
  <c r="BH42"/>
  <c r="BK44"/>
  <c r="G44" s="1"/>
  <c r="BK42"/>
  <c r="G42" s="1"/>
  <c r="H42" s="1"/>
  <c r="J42" s="1"/>
  <c r="BC94" i="45"/>
  <c r="BA94"/>
  <c r="AS94"/>
  <c r="AI94"/>
  <c r="AG94"/>
  <c r="BA20"/>
  <c r="BE20"/>
  <c r="BJ20"/>
  <c r="F20" s="1"/>
  <c r="BT16"/>
  <c r="BS16"/>
  <c r="BQ16"/>
  <c r="BP16"/>
  <c r="BN16"/>
  <c r="BM16"/>
  <c r="BL16"/>
  <c r="BH16"/>
  <c r="BF16"/>
  <c r="BD16"/>
  <c r="BB16"/>
  <c r="AZ16"/>
  <c r="AX16"/>
  <c r="AV16"/>
  <c r="AT16"/>
  <c r="AR16"/>
  <c r="AP16"/>
  <c r="AN16"/>
  <c r="AL16"/>
  <c r="AJ16"/>
  <c r="AH16"/>
  <c r="AF16"/>
  <c r="AD16"/>
  <c r="AB16"/>
  <c r="Z16"/>
  <c r="Q16"/>
  <c r="P16"/>
  <c r="O16"/>
  <c r="N16"/>
  <c r="M16"/>
  <c r="L16"/>
  <c r="K16"/>
  <c r="J16"/>
  <c r="AC14"/>
  <c r="AC15"/>
  <c r="BC15"/>
  <c r="BA15"/>
  <c r="AY15"/>
  <c r="AW15"/>
  <c r="AU15"/>
  <c r="AS15"/>
  <c r="AQ15"/>
  <c r="AO15"/>
  <c r="AM15"/>
  <c r="AK15"/>
  <c r="AI15"/>
  <c r="AG15"/>
  <c r="AE15"/>
  <c r="AA15"/>
  <c r="BE15"/>
  <c r="BG15"/>
  <c r="BJ15"/>
  <c r="F15" s="1"/>
  <c r="BH41" i="47"/>
  <c r="BH44" s="1"/>
  <c r="AA40"/>
  <c r="AA39"/>
  <c r="AC40"/>
  <c r="AC39"/>
  <c r="AE40"/>
  <c r="AE39"/>
  <c r="AG40"/>
  <c r="AG39"/>
  <c r="AI40"/>
  <c r="AI39"/>
  <c r="AK40"/>
  <c r="AK39"/>
  <c r="AM40"/>
  <c r="AM39"/>
  <c r="AO40"/>
  <c r="AO39"/>
  <c r="AQ40"/>
  <c r="AQ39"/>
  <c r="AS40"/>
  <c r="AS39"/>
  <c r="AU40"/>
  <c r="AU39"/>
  <c r="AW40"/>
  <c r="AW39"/>
  <c r="AY40"/>
  <c r="AY39"/>
  <c r="BA40"/>
  <c r="BA39"/>
  <c r="BC40"/>
  <c r="BC39"/>
  <c r="BE40"/>
  <c r="BE39"/>
  <c r="BG40"/>
  <c r="BJ40"/>
  <c r="F40" s="1"/>
  <c r="BJ39"/>
  <c r="F39" s="1"/>
  <c r="BG39"/>
  <c r="BD37"/>
  <c r="BD44" s="1"/>
  <c r="AZ37"/>
  <c r="BA37" s="1"/>
  <c r="BB37"/>
  <c r="BC37" s="1"/>
  <c r="AV37"/>
  <c r="BH32" i="42"/>
  <c r="BF32"/>
  <c r="BD32"/>
  <c r="BB32"/>
  <c r="AZ32"/>
  <c r="AX32"/>
  <c r="AV32"/>
  <c r="AT32"/>
  <c r="AR32"/>
  <c r="AL32"/>
  <c r="AJ32"/>
  <c r="AH32"/>
  <c r="AF32"/>
  <c r="AD32"/>
  <c r="AB32"/>
  <c r="BK32"/>
  <c r="G32" s="1"/>
  <c r="BK28" i="44"/>
  <c r="G28" s="1"/>
  <c r="W28"/>
  <c r="X28"/>
  <c r="Y28"/>
  <c r="BJ28"/>
  <c r="BJ27"/>
  <c r="BJ26"/>
  <c r="BJ25"/>
  <c r="BJ24"/>
  <c r="BJ23"/>
  <c r="BJ22"/>
  <c r="BL22" s="1"/>
  <c r="BJ21"/>
  <c r="BJ65" i="45"/>
  <c r="F65" s="1"/>
  <c r="BG65"/>
  <c r="BE65"/>
  <c r="BC65"/>
  <c r="BA65"/>
  <c r="AY65"/>
  <c r="AW65"/>
  <c r="AU65"/>
  <c r="AS65"/>
  <c r="AO65"/>
  <c r="AM65"/>
  <c r="AK65"/>
  <c r="AI65"/>
  <c r="AE65"/>
  <c r="AC65"/>
  <c r="BI65"/>
  <c r="BL34" i="42"/>
  <c r="BK34"/>
  <c r="G34" s="1"/>
  <c r="H34" s="1"/>
  <c r="L34" s="1"/>
  <c r="BK47" i="43"/>
  <c r="G47" s="1"/>
  <c r="H47" s="1"/>
  <c r="K47" s="1"/>
  <c r="BH47"/>
  <c r="BD47"/>
  <c r="AX47"/>
  <c r="AV47"/>
  <c r="AQ57"/>
  <c r="AI57"/>
  <c r="AG57"/>
  <c r="AF47"/>
  <c r="AA57"/>
  <c r="AP47"/>
  <c r="AL47"/>
  <c r="AJ47"/>
  <c r="AD47"/>
  <c r="AV28"/>
  <c r="BJ97" i="45"/>
  <c r="F97" s="1"/>
  <c r="G97" s="1"/>
  <c r="J97" s="1"/>
  <c r="BG97"/>
  <c r="BE97"/>
  <c r="BC97"/>
  <c r="BA97"/>
  <c r="AY97"/>
  <c r="AW97"/>
  <c r="AU97"/>
  <c r="AS97"/>
  <c r="AQ97"/>
  <c r="AO97"/>
  <c r="AM97"/>
  <c r="AK97"/>
  <c r="AI97"/>
  <c r="AG97"/>
  <c r="AE97"/>
  <c r="AC97"/>
  <c r="AA97"/>
  <c r="BJ94"/>
  <c r="F94" s="1"/>
  <c r="G94" s="1"/>
  <c r="J94" s="1"/>
  <c r="BG96"/>
  <c r="BJ96"/>
  <c r="F96" s="1"/>
  <c r="R96" s="1"/>
  <c r="BE96"/>
  <c r="BC96"/>
  <c r="BA96"/>
  <c r="AY96"/>
  <c r="AW96"/>
  <c r="AU96"/>
  <c r="AS96"/>
  <c r="AQ96"/>
  <c r="AO96"/>
  <c r="AM96"/>
  <c r="AK96"/>
  <c r="AI96"/>
  <c r="AG96"/>
  <c r="AE96"/>
  <c r="AC96"/>
  <c r="AA96"/>
  <c r="BG61"/>
  <c r="BJ61"/>
  <c r="F61" s="1"/>
  <c r="BE61"/>
  <c r="BC61"/>
  <c r="BA61"/>
  <c r="AY61"/>
  <c r="AW61"/>
  <c r="AU61"/>
  <c r="AS61"/>
  <c r="AQ61"/>
  <c r="AO61"/>
  <c r="AM61"/>
  <c r="AK61"/>
  <c r="AI61"/>
  <c r="AG61"/>
  <c r="AE61"/>
  <c r="AC61"/>
  <c r="AA61"/>
  <c r="BI61"/>
  <c r="BH36" i="42"/>
  <c r="BK36"/>
  <c r="G36" s="1"/>
  <c r="H36" s="1"/>
  <c r="L36" s="1"/>
  <c r="BF36"/>
  <c r="BD36"/>
  <c r="BB36"/>
  <c r="AZ36"/>
  <c r="AX36"/>
  <c r="AV36"/>
  <c r="AT36"/>
  <c r="AR36"/>
  <c r="AP36"/>
  <c r="AN36"/>
  <c r="AL36"/>
  <c r="AJ36"/>
  <c r="AH36"/>
  <c r="AF36"/>
  <c r="AD36"/>
  <c r="AB36"/>
  <c r="BH37"/>
  <c r="BH35"/>
  <c r="BF37"/>
  <c r="BF35"/>
  <c r="BD37"/>
  <c r="BD35"/>
  <c r="BB37"/>
  <c r="BB35"/>
  <c r="AZ37"/>
  <c r="AZ35"/>
  <c r="AX37"/>
  <c r="AX35"/>
  <c r="AV35"/>
  <c r="AT37"/>
  <c r="AT35"/>
  <c r="AR37"/>
  <c r="AR35"/>
  <c r="AP37"/>
  <c r="AP35"/>
  <c r="AN35"/>
  <c r="AL37"/>
  <c r="AL35"/>
  <c r="AJ37"/>
  <c r="AJ35"/>
  <c r="AH37"/>
  <c r="AH35"/>
  <c r="AF37"/>
  <c r="AF35"/>
  <c r="AD37"/>
  <c r="AD35"/>
  <c r="AB37"/>
  <c r="AB35"/>
  <c r="BK35"/>
  <c r="G35" s="1"/>
  <c r="BK37"/>
  <c r="G37" s="1"/>
  <c r="AF19" i="43"/>
  <c r="BG55" i="45"/>
  <c r="BE55"/>
  <c r="BC55"/>
  <c r="BA55"/>
  <c r="AY55"/>
  <c r="AW55"/>
  <c r="AU55"/>
  <c r="AS55"/>
  <c r="AQ55"/>
  <c r="AO55"/>
  <c r="AI55"/>
  <c r="AG55"/>
  <c r="AE55"/>
  <c r="AC55"/>
  <c r="AA55"/>
  <c r="BG54"/>
  <c r="BE54"/>
  <c r="BC54"/>
  <c r="BA54"/>
  <c r="AY54"/>
  <c r="AW54"/>
  <c r="AU54"/>
  <c r="AS54"/>
  <c r="AQ54"/>
  <c r="AO54"/>
  <c r="AM54"/>
  <c r="AK54"/>
  <c r="AI54"/>
  <c r="AG54"/>
  <c r="AE54"/>
  <c r="AC54"/>
  <c r="AA54"/>
  <c r="BE51"/>
  <c r="AS51"/>
  <c r="AI51"/>
  <c r="AC51"/>
  <c r="AA51"/>
  <c r="BE50"/>
  <c r="AS50"/>
  <c r="AI50"/>
  <c r="AC50"/>
  <c r="AA50"/>
  <c r="BE49"/>
  <c r="AS49"/>
  <c r="AI49"/>
  <c r="AC49"/>
  <c r="AA49"/>
  <c r="BE48"/>
  <c r="AS48"/>
  <c r="AI48"/>
  <c r="AG48"/>
  <c r="AE48"/>
  <c r="AC48"/>
  <c r="AA48"/>
  <c r="BE47"/>
  <c r="AU47"/>
  <c r="AS47"/>
  <c r="AQ47"/>
  <c r="AI47"/>
  <c r="AG47"/>
  <c r="AE47"/>
  <c r="AC47"/>
  <c r="BG46"/>
  <c r="BE46"/>
  <c r="AU46"/>
  <c r="AS46"/>
  <c r="AQ46"/>
  <c r="AI46"/>
  <c r="AG46"/>
  <c r="AE46"/>
  <c r="AC46"/>
  <c r="AA46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BG41"/>
  <c r="BE41"/>
  <c r="BC41"/>
  <c r="BA41"/>
  <c r="AY41"/>
  <c r="AW41"/>
  <c r="AU41"/>
  <c r="AS41"/>
  <c r="AQ41"/>
  <c r="AO41"/>
  <c r="AM41"/>
  <c r="AK41"/>
  <c r="AG41"/>
  <c r="AE41"/>
  <c r="AC41"/>
  <c r="BE38"/>
  <c r="BG37"/>
  <c r="BE37"/>
  <c r="BE39" s="1"/>
  <c r="BC37"/>
  <c r="AY37"/>
  <c r="AW37"/>
  <c r="AU37"/>
  <c r="AS37"/>
  <c r="AQ37"/>
  <c r="AO37"/>
  <c r="AM37"/>
  <c r="AK37"/>
  <c r="AI37"/>
  <c r="AG37"/>
  <c r="AE37"/>
  <c r="AC37"/>
  <c r="AA37"/>
  <c r="BG36"/>
  <c r="BE36"/>
  <c r="BC36"/>
  <c r="BA36"/>
  <c r="AY36"/>
  <c r="AW36"/>
  <c r="AS36"/>
  <c r="AQ36"/>
  <c r="AO36"/>
  <c r="AM36"/>
  <c r="AK36"/>
  <c r="AI36"/>
  <c r="AG36"/>
  <c r="AE36"/>
  <c r="AC36"/>
  <c r="AA36"/>
  <c r="AA39" s="1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BG32"/>
  <c r="BC32"/>
  <c r="BA32"/>
  <c r="AY32"/>
  <c r="AW32"/>
  <c r="AU32"/>
  <c r="AS32"/>
  <c r="AQ32"/>
  <c r="AO32"/>
  <c r="AM32"/>
  <c r="AK32"/>
  <c r="AI32"/>
  <c r="AG32"/>
  <c r="AE32"/>
  <c r="AC32"/>
  <c r="AA32"/>
  <c r="BG31"/>
  <c r="BE31"/>
  <c r="BC31"/>
  <c r="BA31"/>
  <c r="AY31"/>
  <c r="AW31"/>
  <c r="AU31"/>
  <c r="AS31"/>
  <c r="AQ31"/>
  <c r="AO31"/>
  <c r="AM31"/>
  <c r="AK31"/>
  <c r="AI31"/>
  <c r="AE31"/>
  <c r="AC31"/>
  <c r="AA31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BG25"/>
  <c r="BE25"/>
  <c r="BC25"/>
  <c r="BA25"/>
  <c r="AY25"/>
  <c r="AU25"/>
  <c r="AQ25"/>
  <c r="AO25"/>
  <c r="AM25"/>
  <c r="AK25"/>
  <c r="AI25"/>
  <c r="AG25"/>
  <c r="AE25"/>
  <c r="AC25"/>
  <c r="AA25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BG92"/>
  <c r="BE92"/>
  <c r="BC92"/>
  <c r="BA92"/>
  <c r="AY92"/>
  <c r="AW92"/>
  <c r="AU92"/>
  <c r="AS92"/>
  <c r="AQ92"/>
  <c r="AO92"/>
  <c r="AM92"/>
  <c r="AK92"/>
  <c r="AI92"/>
  <c r="AG92"/>
  <c r="AE92"/>
  <c r="AC92"/>
  <c r="AA92"/>
  <c r="BG91"/>
  <c r="BE91"/>
  <c r="BC91"/>
  <c r="BA91"/>
  <c r="AY91"/>
  <c r="AW91"/>
  <c r="AU91"/>
  <c r="AS91"/>
  <c r="AQ91"/>
  <c r="AO91"/>
  <c r="AM91"/>
  <c r="AK91"/>
  <c r="AI91"/>
  <c r="AG91"/>
  <c r="AE91"/>
  <c r="AC91"/>
  <c r="AA91"/>
  <c r="BG90"/>
  <c r="BE90"/>
  <c r="BC90"/>
  <c r="BA90"/>
  <c r="AY90"/>
  <c r="AW90"/>
  <c r="AU90"/>
  <c r="AS90"/>
  <c r="AQ90"/>
  <c r="AO90"/>
  <c r="AM90"/>
  <c r="AK90"/>
  <c r="AI90"/>
  <c r="AG90"/>
  <c r="AE90"/>
  <c r="AC90"/>
  <c r="AA90"/>
  <c r="AW89"/>
  <c r="BG88"/>
  <c r="BE88"/>
  <c r="BC88"/>
  <c r="BA88"/>
  <c r="AY88"/>
  <c r="AW88"/>
  <c r="AU88"/>
  <c r="AS88"/>
  <c r="AQ88"/>
  <c r="AO88"/>
  <c r="AM88"/>
  <c r="AK88"/>
  <c r="AI88"/>
  <c r="AG88"/>
  <c r="AE88"/>
  <c r="AC88"/>
  <c r="AA88"/>
  <c r="BG87"/>
  <c r="BE87"/>
  <c r="BC87"/>
  <c r="BA87"/>
  <c r="AY87"/>
  <c r="AW87"/>
  <c r="AU87"/>
  <c r="AS87"/>
  <c r="AQ87"/>
  <c r="AO87"/>
  <c r="AK87"/>
  <c r="AI87"/>
  <c r="AG87"/>
  <c r="AE87"/>
  <c r="AC87"/>
  <c r="AA87"/>
  <c r="BG86"/>
  <c r="BE86"/>
  <c r="BC86"/>
  <c r="BA86"/>
  <c r="AY86"/>
  <c r="AW86"/>
  <c r="AU86"/>
  <c r="AS86"/>
  <c r="AQ86"/>
  <c r="AK86"/>
  <c r="AI86"/>
  <c r="AG86"/>
  <c r="AE86"/>
  <c r="AC86"/>
  <c r="AA86"/>
  <c r="AQ85"/>
  <c r="AO85"/>
  <c r="AM85"/>
  <c r="AE85"/>
  <c r="AC85"/>
  <c r="BG84"/>
  <c r="BE84"/>
  <c r="BC84"/>
  <c r="BA84"/>
  <c r="AY84"/>
  <c r="AW84"/>
  <c r="AU84"/>
  <c r="AS84"/>
  <c r="AQ84"/>
  <c r="AO84"/>
  <c r="AM84"/>
  <c r="AK84"/>
  <c r="AI84"/>
  <c r="AG84"/>
  <c r="AE84"/>
  <c r="AC84"/>
  <c r="AA84"/>
  <c r="BG83"/>
  <c r="BE83"/>
  <c r="BC83"/>
  <c r="AY83"/>
  <c r="AW83"/>
  <c r="AU83"/>
  <c r="AS83"/>
  <c r="AK83"/>
  <c r="AI83"/>
  <c r="AC83"/>
  <c r="AA83"/>
  <c r="BE82"/>
  <c r="BC82"/>
  <c r="AY82"/>
  <c r="AW82"/>
  <c r="AM82"/>
  <c r="AI82"/>
  <c r="AE82"/>
  <c r="AC82"/>
  <c r="BG81"/>
  <c r="BE81"/>
  <c r="BC81"/>
  <c r="BA81"/>
  <c r="AY81"/>
  <c r="AW81"/>
  <c r="AU81"/>
  <c r="AQ81"/>
  <c r="AO81"/>
  <c r="AM81"/>
  <c r="AK81"/>
  <c r="AI81"/>
  <c r="AG81"/>
  <c r="AE81"/>
  <c r="AC81"/>
  <c r="AA81"/>
  <c r="BG80"/>
  <c r="BE80"/>
  <c r="BC80"/>
  <c r="BA80"/>
  <c r="AY80"/>
  <c r="AW80"/>
  <c r="AU80"/>
  <c r="AS80"/>
  <c r="AO80"/>
  <c r="AI80"/>
  <c r="AC80"/>
  <c r="AA80"/>
  <c r="BE79"/>
  <c r="BC79"/>
  <c r="BA79"/>
  <c r="AO79"/>
  <c r="AM79"/>
  <c r="AC79"/>
  <c r="BI18" i="47"/>
  <c r="BG36"/>
  <c r="BE36"/>
  <c r="BC36"/>
  <c r="BA36"/>
  <c r="AY36"/>
  <c r="AW36"/>
  <c r="AU36"/>
  <c r="AS36"/>
  <c r="AQ36"/>
  <c r="AO36"/>
  <c r="AM36"/>
  <c r="AK36"/>
  <c r="AI36"/>
  <c r="AE36"/>
  <c r="AC36"/>
  <c r="AA36"/>
  <c r="AB37"/>
  <c r="Z37"/>
  <c r="AG36"/>
  <c r="BF23"/>
  <c r="BG23" s="1"/>
  <c r="BD23"/>
  <c r="BE23" s="1"/>
  <c r="BB23"/>
  <c r="BC23" s="1"/>
  <c r="AZ23"/>
  <c r="BA23" s="1"/>
  <c r="AY23"/>
  <c r="AV23"/>
  <c r="AW23" s="1"/>
  <c r="AT23"/>
  <c r="AU23" s="1"/>
  <c r="AR23"/>
  <c r="AS23" s="1"/>
  <c r="AP23"/>
  <c r="AQ23" s="1"/>
  <c r="AN23"/>
  <c r="AO23" s="1"/>
  <c r="AL23"/>
  <c r="AM23"/>
  <c r="AJ23"/>
  <c r="AK23" s="1"/>
  <c r="AH23"/>
  <c r="AI23" s="1"/>
  <c r="AI25" s="1"/>
  <c r="AF23"/>
  <c r="AG23" s="1"/>
  <c r="AD23"/>
  <c r="AD25" s="1"/>
  <c r="AB23"/>
  <c r="AC23" s="1"/>
  <c r="Z23"/>
  <c r="AC18"/>
  <c r="AG18"/>
  <c r="AI18"/>
  <c r="AK18"/>
  <c r="AM18"/>
  <c r="AO18"/>
  <c r="AQ18"/>
  <c r="AS18"/>
  <c r="AU18"/>
  <c r="AW18"/>
  <c r="AY18"/>
  <c r="BA18"/>
  <c r="BC18"/>
  <c r="BE18"/>
  <c r="BG18"/>
  <c r="AA18"/>
  <c r="BE17"/>
  <c r="BC17"/>
  <c r="AW17"/>
  <c r="AS17"/>
  <c r="AP17"/>
  <c r="AK17"/>
  <c r="AI17"/>
  <c r="AG17"/>
  <c r="BH41" i="41"/>
  <c r="BH42"/>
  <c r="BF41"/>
  <c r="BF42"/>
  <c r="BD41"/>
  <c r="BD42"/>
  <c r="BB41"/>
  <c r="BB42"/>
  <c r="AZ41"/>
  <c r="AZ42"/>
  <c r="AX41"/>
  <c r="AX42"/>
  <c r="AV41"/>
  <c r="AV42"/>
  <c r="AT41"/>
  <c r="AT42"/>
  <c r="AR41"/>
  <c r="AR42"/>
  <c r="AP41"/>
  <c r="AP42"/>
  <c r="BI41"/>
  <c r="E41" s="1"/>
  <c r="BI42"/>
  <c r="E42" s="1"/>
  <c r="F42" s="1"/>
  <c r="K42" s="1"/>
  <c r="BS20"/>
  <c r="BR20"/>
  <c r="BP20"/>
  <c r="BN20"/>
  <c r="BL20"/>
  <c r="BF19"/>
  <c r="BD19"/>
  <c r="BB19"/>
  <c r="AZ19"/>
  <c r="AX19"/>
  <c r="AV19"/>
  <c r="AT19"/>
  <c r="AR19"/>
  <c r="AP19"/>
  <c r="AN19"/>
  <c r="AL19"/>
  <c r="AJ19"/>
  <c r="AH19"/>
  <c r="AF19"/>
  <c r="AD19"/>
  <c r="Z19"/>
  <c r="BF15"/>
  <c r="BF16"/>
  <c r="BD15"/>
  <c r="BD16"/>
  <c r="BB16"/>
  <c r="AZ15"/>
  <c r="AZ16"/>
  <c r="AX15"/>
  <c r="AX16"/>
  <c r="AV15"/>
  <c r="AV16"/>
  <c r="AT15"/>
  <c r="AT16"/>
  <c r="AR15"/>
  <c r="AR16"/>
  <c r="AP15"/>
  <c r="AP16"/>
  <c r="AN15"/>
  <c r="AN16"/>
  <c r="AL15"/>
  <c r="AL16"/>
  <c r="AJ15"/>
  <c r="AJ16"/>
  <c r="AH15"/>
  <c r="AH16"/>
  <c r="AF15"/>
  <c r="AF16"/>
  <c r="AD15"/>
  <c r="AD16"/>
  <c r="AB15"/>
  <c r="AB16"/>
  <c r="Z15"/>
  <c r="Z16"/>
  <c r="BI15"/>
  <c r="E15" s="1"/>
  <c r="BI16"/>
  <c r="E16" s="1"/>
  <c r="F12"/>
  <c r="G12" s="1"/>
  <c r="Q12"/>
  <c r="U12" s="1"/>
  <c r="R12"/>
  <c r="V12" s="1"/>
  <c r="S12"/>
  <c r="W12" s="1"/>
  <c r="T12"/>
  <c r="X12" s="1"/>
  <c r="Z12"/>
  <c r="AB12"/>
  <c r="AD12"/>
  <c r="AF12"/>
  <c r="AH12"/>
  <c r="AJ12"/>
  <c r="AL12"/>
  <c r="AN12"/>
  <c r="AP12"/>
  <c r="AR12"/>
  <c r="AT12"/>
  <c r="AV12"/>
  <c r="AX12"/>
  <c r="AZ12"/>
  <c r="BB12"/>
  <c r="BD12"/>
  <c r="BF12"/>
  <c r="BH12"/>
  <c r="BI12"/>
  <c r="BT12"/>
  <c r="AB48" i="42"/>
  <c r="AD48"/>
  <c r="AF48"/>
  <c r="AH48"/>
  <c r="AJ48"/>
  <c r="AL48"/>
  <c r="AN48"/>
  <c r="AP48"/>
  <c r="AR48"/>
  <c r="AT48"/>
  <c r="AV48"/>
  <c r="BF56" i="43"/>
  <c r="AB53"/>
  <c r="AD53"/>
  <c r="AF53"/>
  <c r="AH53"/>
  <c r="AJ53"/>
  <c r="AL53"/>
  <c r="AN53"/>
  <c r="BB45"/>
  <c r="BB46"/>
  <c r="BF45"/>
  <c r="BF46"/>
  <c r="BH46"/>
  <c r="AZ45"/>
  <c r="AZ46"/>
  <c r="AX46"/>
  <c r="AV45"/>
  <c r="AV46"/>
  <c r="AT45"/>
  <c r="AT46"/>
  <c r="AR45"/>
  <c r="AR46"/>
  <c r="AP46"/>
  <c r="AN46"/>
  <c r="AL45"/>
  <c r="AL46"/>
  <c r="AJ45"/>
  <c r="AJ46"/>
  <c r="AH46"/>
  <c r="AF46"/>
  <c r="AP45"/>
  <c r="AP44"/>
  <c r="AJ44"/>
  <c r="AZ44"/>
  <c r="AV44"/>
  <c r="BF32"/>
  <c r="BF33"/>
  <c r="BD32"/>
  <c r="BD33"/>
  <c r="AZ32"/>
  <c r="AZ33"/>
  <c r="AV32"/>
  <c r="AV33"/>
  <c r="AT32"/>
  <c r="AT33"/>
  <c r="AR32"/>
  <c r="AR33"/>
  <c r="AP32"/>
  <c r="AP33"/>
  <c r="AN32"/>
  <c r="AN33"/>
  <c r="AJ32"/>
  <c r="AJ33"/>
  <c r="AH32"/>
  <c r="AH33"/>
  <c r="AF32"/>
  <c r="AF33"/>
  <c r="AD32"/>
  <c r="AD33"/>
  <c r="AB33"/>
  <c r="AD31"/>
  <c r="AS18"/>
  <c r="BG18"/>
  <c r="BH18" s="1"/>
  <c r="BE18"/>
  <c r="BA18"/>
  <c r="AY18"/>
  <c r="AW18"/>
  <c r="AU18"/>
  <c r="AU20" s="1"/>
  <c r="AQ18"/>
  <c r="AQ20" s="1"/>
  <c r="AO18"/>
  <c r="AM18"/>
  <c r="AN18" s="1"/>
  <c r="AK18"/>
  <c r="AI18"/>
  <c r="AG18"/>
  <c r="AF18"/>
  <c r="AC18"/>
  <c r="AA18"/>
  <c r="BG12"/>
  <c r="BE12"/>
  <c r="BE13" s="1"/>
  <c r="BC12"/>
  <c r="BA12"/>
  <c r="BB12" s="1"/>
  <c r="AY12"/>
  <c r="AY13" s="1"/>
  <c r="AW12"/>
  <c r="AS12"/>
  <c r="AQ12"/>
  <c r="AR12" s="1"/>
  <c r="AO12"/>
  <c r="AP12" s="1"/>
  <c r="AM12"/>
  <c r="AK12"/>
  <c r="AG12"/>
  <c r="AE12"/>
  <c r="AE13" s="1"/>
  <c r="AC12"/>
  <c r="AC13" s="1"/>
  <c r="AA12"/>
  <c r="AA13" s="1"/>
  <c r="AB11"/>
  <c r="AD11"/>
  <c r="AF11"/>
  <c r="AH11"/>
  <c r="AJ11"/>
  <c r="AL11"/>
  <c r="AN11"/>
  <c r="AP11"/>
  <c r="AR11"/>
  <c r="AT11"/>
  <c r="BH87" i="44"/>
  <c r="BF87"/>
  <c r="BD87"/>
  <c r="BB87"/>
  <c r="AZ87"/>
  <c r="AX87"/>
  <c r="AV87"/>
  <c r="AT87"/>
  <c r="AR87"/>
  <c r="AP87"/>
  <c r="AN87"/>
  <c r="AL87"/>
  <c r="AJ87"/>
  <c r="AD87"/>
  <c r="AB87"/>
  <c r="AH87"/>
  <c r="AF87"/>
  <c r="AB55" i="43"/>
  <c r="AD55"/>
  <c r="AF55"/>
  <c r="AH55"/>
  <c r="AJ55"/>
  <c r="AL55"/>
  <c r="AN55"/>
  <c r="AP55"/>
  <c r="AR55"/>
  <c r="AT55"/>
  <c r="AV55"/>
  <c r="AX55"/>
  <c r="AZ55"/>
  <c r="BB55"/>
  <c r="BD55"/>
  <c r="BH55"/>
  <c r="BK55"/>
  <c r="G55" s="1"/>
  <c r="BJ57" i="45"/>
  <c r="F57" s="1"/>
  <c r="BI57"/>
  <c r="BG57"/>
  <c r="BE57"/>
  <c r="BC57"/>
  <c r="BA57"/>
  <c r="AY57"/>
  <c r="AW57"/>
  <c r="AU57"/>
  <c r="AS57"/>
  <c r="AO57"/>
  <c r="AM57"/>
  <c r="AK57"/>
  <c r="AI57"/>
  <c r="AG57"/>
  <c r="AE57"/>
  <c r="AC57"/>
  <c r="AA57"/>
  <c r="Z4" i="46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I28" i="47"/>
  <c r="G62" i="24"/>
  <c r="I62" s="1"/>
  <c r="BI62"/>
  <c r="BJ62"/>
  <c r="BJ61"/>
  <c r="F61" s="1"/>
  <c r="BJ63"/>
  <c r="BI16"/>
  <c r="BK16" s="1"/>
  <c r="BJ16"/>
  <c r="F16" s="1"/>
  <c r="G16" s="1"/>
  <c r="V16"/>
  <c r="X16"/>
  <c r="Y16"/>
  <c r="BK51" i="43"/>
  <c r="G51" s="1"/>
  <c r="H51" s="1"/>
  <c r="L59" i="45"/>
  <c r="AL26" i="41"/>
  <c r="AJ25"/>
  <c r="AL25"/>
  <c r="BJ59" i="43"/>
  <c r="BJ61" s="1"/>
  <c r="BF44"/>
  <c r="AR16"/>
  <c r="BK88" i="44"/>
  <c r="G88" s="1"/>
  <c r="H88" s="1"/>
  <c r="BK87"/>
  <c r="G87" s="1"/>
  <c r="BJ87"/>
  <c r="F47" i="46"/>
  <c r="F13"/>
  <c r="F41" i="47"/>
  <c r="G41" s="1"/>
  <c r="BI40"/>
  <c r="BI39"/>
  <c r="AD54" i="43"/>
  <c r="AZ54"/>
  <c r="AO66" i="45"/>
  <c r="BE66"/>
  <c r="BB23" i="41"/>
  <c r="AD23"/>
  <c r="AB23"/>
  <c r="BI24"/>
  <c r="E24" s="1"/>
  <c r="BI25"/>
  <c r="E25" s="1"/>
  <c r="F25" s="1"/>
  <c r="BI26"/>
  <c r="E26" s="1"/>
  <c r="F26" s="1"/>
  <c r="BK13" i="42"/>
  <c r="G13" s="1"/>
  <c r="V13" s="1"/>
  <c r="AT49" i="43"/>
  <c r="AX32"/>
  <c r="BK32"/>
  <c r="G32" s="1"/>
  <c r="BK33"/>
  <c r="G33" s="1"/>
  <c r="AV11"/>
  <c r="Z38" i="44"/>
  <c r="BK38"/>
  <c r="G38" s="1"/>
  <c r="U38" s="1"/>
  <c r="X89" i="45"/>
  <c r="Y89"/>
  <c r="BJ89"/>
  <c r="F89" s="1"/>
  <c r="S89" s="1"/>
  <c r="W89" s="1"/>
  <c r="X85"/>
  <c r="Y85"/>
  <c r="BJ85"/>
  <c r="F85" s="1"/>
  <c r="R85" s="1"/>
  <c r="V85" s="1"/>
  <c r="H52"/>
  <c r="I52"/>
  <c r="J52"/>
  <c r="K52"/>
  <c r="L52"/>
  <c r="N52"/>
  <c r="O52"/>
  <c r="P52"/>
  <c r="Q52"/>
  <c r="Z52"/>
  <c r="AB52"/>
  <c r="AD52"/>
  <c r="AF52"/>
  <c r="AH52"/>
  <c r="AJ52"/>
  <c r="AL52"/>
  <c r="AN52"/>
  <c r="AP52"/>
  <c r="AR52"/>
  <c r="AT52"/>
  <c r="AV52"/>
  <c r="AX52"/>
  <c r="AZ52"/>
  <c r="BB52"/>
  <c r="BD52"/>
  <c r="BF52"/>
  <c r="BH52"/>
  <c r="BJ46"/>
  <c r="F46" s="1"/>
  <c r="T46" s="1"/>
  <c r="X46" s="1"/>
  <c r="BJ47"/>
  <c r="F47" s="1"/>
  <c r="BJ48"/>
  <c r="F48" s="1"/>
  <c r="BJ49"/>
  <c r="BJ50"/>
  <c r="F50" s="1"/>
  <c r="BJ51"/>
  <c r="F51" s="1"/>
  <c r="AB54" i="43"/>
  <c r="AB49"/>
  <c r="Z56" i="46"/>
  <c r="Y50"/>
  <c r="Y40"/>
  <c r="Y28"/>
  <c r="Y21"/>
  <c r="Z20"/>
  <c r="AA38" i="47"/>
  <c r="AJ35"/>
  <c r="AH35"/>
  <c r="AD35"/>
  <c r="AM12" i="25"/>
  <c r="AN56" i="43"/>
  <c r="AN54"/>
  <c r="AN45"/>
  <c r="AL56" i="46"/>
  <c r="AK52"/>
  <c r="AL52" s="1"/>
  <c r="AK50"/>
  <c r="AK40"/>
  <c r="AK28"/>
  <c r="AK21"/>
  <c r="AK25"/>
  <c r="AR51" i="43"/>
  <c r="AP23" i="41"/>
  <c r="AR60" i="43"/>
  <c r="AR56"/>
  <c r="AP39" i="45"/>
  <c r="AP56" i="46"/>
  <c r="AO50"/>
  <c r="AO40"/>
  <c r="AQ21"/>
  <c r="AQ24"/>
  <c r="AR24" s="1"/>
  <c r="AQ28"/>
  <c r="BD56" i="43"/>
  <c r="BD54"/>
  <c r="BD46"/>
  <c r="BD48"/>
  <c r="BD49"/>
  <c r="BD45"/>
  <c r="BA52" i="46"/>
  <c r="BB52" s="1"/>
  <c r="BA50"/>
  <c r="BC40"/>
  <c r="BD40" s="1"/>
  <c r="BA40"/>
  <c r="BB40" s="1"/>
  <c r="BA21"/>
  <c r="BB20"/>
  <c r="BD54" i="25"/>
  <c r="BD24" i="41"/>
  <c r="BD25"/>
  <c r="BD26"/>
  <c r="BD23"/>
  <c r="BF54" i="43"/>
  <c r="BC52" i="46"/>
  <c r="BC50"/>
  <c r="BC21"/>
  <c r="BE34" i="47"/>
  <c r="AF54" i="43"/>
  <c r="AC52" i="46"/>
  <c r="AC50"/>
  <c r="AD50" s="1"/>
  <c r="AC28"/>
  <c r="AC24"/>
  <c r="AC21"/>
  <c r="AD21" s="1"/>
  <c r="AD20"/>
  <c r="AD37" i="47"/>
  <c r="AE37" s="1"/>
  <c r="BK37" s="1"/>
  <c r="AS20" i="25"/>
  <c r="AR34" i="41"/>
  <c r="AR23"/>
  <c r="AT56" i="43"/>
  <c r="AQ52" i="46"/>
  <c r="AQ50"/>
  <c r="AR50" s="1"/>
  <c r="AQ40"/>
  <c r="AR40" s="1"/>
  <c r="AS28"/>
  <c r="AS38" i="47"/>
  <c r="AR37"/>
  <c r="AN26" i="41"/>
  <c r="AP49" i="43"/>
  <c r="AN25" i="41"/>
  <c r="AN23"/>
  <c r="AN24"/>
  <c r="BJ24" s="1"/>
  <c r="AP54" i="43"/>
  <c r="X84" i="45"/>
  <c r="Y84"/>
  <c r="BI85"/>
  <c r="AO20"/>
  <c r="AN56" i="46"/>
  <c r="AM50"/>
  <c r="AM53" s="1"/>
  <c r="AN50"/>
  <c r="AM40"/>
  <c r="AM21"/>
  <c r="AN37" i="47"/>
  <c r="AN34"/>
  <c r="AJ54" i="43"/>
  <c r="AG52" i="46"/>
  <c r="AH52" s="1"/>
  <c r="AG50"/>
  <c r="AH50" s="1"/>
  <c r="AG40"/>
  <c r="AG28"/>
  <c r="AG21"/>
  <c r="AG25" s="1"/>
  <c r="AI38" i="47"/>
  <c r="AH37"/>
  <c r="AL16" i="43"/>
  <c r="AI52" i="46"/>
  <c r="AI50"/>
  <c r="AS40"/>
  <c r="AS42" s="1"/>
  <c r="AI40"/>
  <c r="AI28"/>
  <c r="AI21"/>
  <c r="AK38" i="47"/>
  <c r="AJ37"/>
  <c r="AZ23" i="41"/>
  <c r="BB52" i="43"/>
  <c r="BB44"/>
  <c r="AY52" i="46"/>
  <c r="AY40"/>
  <c r="AY28"/>
  <c r="AY24"/>
  <c r="AZ24" s="1"/>
  <c r="AY21"/>
  <c r="AZ21" s="1"/>
  <c r="AZ20"/>
  <c r="BA38" i="47"/>
  <c r="AD49" i="43"/>
  <c r="AD46"/>
  <c r="AA52" i="46"/>
  <c r="AA50"/>
  <c r="AB50" s="1"/>
  <c r="AA40"/>
  <c r="AA28"/>
  <c r="AA32" s="1"/>
  <c r="AA21"/>
  <c r="AB21" s="1"/>
  <c r="AV60" i="43"/>
  <c r="AT56" i="46"/>
  <c r="AS52"/>
  <c r="AT52" s="1"/>
  <c r="AS50"/>
  <c r="AS24"/>
  <c r="AS21"/>
  <c r="AT37" i="47"/>
  <c r="BK45" i="43"/>
  <c r="G45" s="1"/>
  <c r="T45" s="1"/>
  <c r="BH56"/>
  <c r="BH54"/>
  <c r="BH49"/>
  <c r="BH45"/>
  <c r="BF56" i="46"/>
  <c r="BE52"/>
  <c r="BE40"/>
  <c r="BE42" s="1"/>
  <c r="BE28"/>
  <c r="BE21"/>
  <c r="BF20"/>
  <c r="BF37" i="47"/>
  <c r="AH51" i="43"/>
  <c r="AH45" i="42"/>
  <c r="AF34" i="41"/>
  <c r="AF23"/>
  <c r="AF54" i="25"/>
  <c r="AH60" i="43"/>
  <c r="AH44"/>
  <c r="AH88" i="44"/>
  <c r="AE52" i="46"/>
  <c r="AF52" s="1"/>
  <c r="AE50"/>
  <c r="AE28"/>
  <c r="AF28" s="1"/>
  <c r="AF32" s="1"/>
  <c r="AE40"/>
  <c r="AE21"/>
  <c r="AF35" i="47"/>
  <c r="E19" i="25"/>
  <c r="AV34" i="41"/>
  <c r="AV33"/>
  <c r="AX13" i="42"/>
  <c r="BL13" s="1"/>
  <c r="AX60" i="43"/>
  <c r="AX49"/>
  <c r="AX88" i="44"/>
  <c r="BJ88"/>
  <c r="AX89"/>
  <c r="AX38"/>
  <c r="BL38" s="1"/>
  <c r="BI89" i="45"/>
  <c r="AU25" i="46"/>
  <c r="AV34" i="47"/>
  <c r="AV44" s="1"/>
  <c r="AZ11" i="43"/>
  <c r="AW40" i="46"/>
  <c r="AX40" s="1"/>
  <c r="V12" i="25"/>
  <c r="W12"/>
  <c r="X12"/>
  <c r="W20"/>
  <c r="X20"/>
  <c r="Y20"/>
  <c r="V22"/>
  <c r="W22"/>
  <c r="X22"/>
  <c r="Y22"/>
  <c r="V52"/>
  <c r="X52"/>
  <c r="Y52"/>
  <c r="V23" i="41"/>
  <c r="W23"/>
  <c r="W30" i="43"/>
  <c r="X30"/>
  <c r="Y30"/>
  <c r="Z30"/>
  <c r="Y31"/>
  <c r="W32"/>
  <c r="X32"/>
  <c r="Y32"/>
  <c r="Z32"/>
  <c r="W56"/>
  <c r="X56"/>
  <c r="Y56"/>
  <c r="W21" i="44"/>
  <c r="X21"/>
  <c r="Y21"/>
  <c r="Z21"/>
  <c r="W22"/>
  <c r="X22"/>
  <c r="Y22"/>
  <c r="Z22"/>
  <c r="W23"/>
  <c r="X23"/>
  <c r="Y23"/>
  <c r="Z23"/>
  <c r="W24"/>
  <c r="X24"/>
  <c r="Y24"/>
  <c r="Z24"/>
  <c r="W25"/>
  <c r="X25"/>
  <c r="Y25"/>
  <c r="Z25"/>
  <c r="W26"/>
  <c r="X26"/>
  <c r="Y26"/>
  <c r="Z26"/>
  <c r="W27"/>
  <c r="X27"/>
  <c r="Y27"/>
  <c r="Z27"/>
  <c r="W29"/>
  <c r="X29"/>
  <c r="Y29"/>
  <c r="Z29"/>
  <c r="W56"/>
  <c r="X56"/>
  <c r="Y56"/>
  <c r="Z56"/>
  <c r="W80"/>
  <c r="X80"/>
  <c r="Y80"/>
  <c r="Z80"/>
  <c r="W81"/>
  <c r="X81"/>
  <c r="Y81"/>
  <c r="Z81"/>
  <c r="Z92"/>
  <c r="Y92"/>
  <c r="X92"/>
  <c r="W92"/>
  <c r="Y82" i="45"/>
  <c r="Y10" i="47"/>
  <c r="AV43" i="43"/>
  <c r="I62" i="46"/>
  <c r="J62"/>
  <c r="K62"/>
  <c r="L62"/>
  <c r="M62"/>
  <c r="N62"/>
  <c r="O62"/>
  <c r="P62"/>
  <c r="I56"/>
  <c r="J56"/>
  <c r="K56"/>
  <c r="L56"/>
  <c r="M56"/>
  <c r="N56"/>
  <c r="O56"/>
  <c r="P56"/>
  <c r="Q56"/>
  <c r="R56"/>
  <c r="S56"/>
  <c r="T56"/>
  <c r="I53"/>
  <c r="J53"/>
  <c r="K53"/>
  <c r="L53"/>
  <c r="M53"/>
  <c r="N53"/>
  <c r="O53"/>
  <c r="P53"/>
  <c r="I42"/>
  <c r="J42"/>
  <c r="K42"/>
  <c r="L42"/>
  <c r="M42"/>
  <c r="N42"/>
  <c r="O42"/>
  <c r="P42"/>
  <c r="I35"/>
  <c r="J35"/>
  <c r="K35"/>
  <c r="L35"/>
  <c r="M35"/>
  <c r="N35"/>
  <c r="O35"/>
  <c r="P35"/>
  <c r="BK60" i="43"/>
  <c r="G60" s="1"/>
  <c r="S60" s="1"/>
  <c r="S61" s="1"/>
  <c r="BK54"/>
  <c r="G54" s="1"/>
  <c r="BK53"/>
  <c r="BK52"/>
  <c r="G52" s="1"/>
  <c r="BK50"/>
  <c r="G50" s="1"/>
  <c r="BK49"/>
  <c r="G49" s="1"/>
  <c r="BK48"/>
  <c r="G48" s="1"/>
  <c r="BK46"/>
  <c r="G46" s="1"/>
  <c r="H46" s="1"/>
  <c r="BK44"/>
  <c r="G44" s="1"/>
  <c r="BK41"/>
  <c r="G41" s="1"/>
  <c r="BK40"/>
  <c r="G40" s="1"/>
  <c r="BK39"/>
  <c r="G39" s="1"/>
  <c r="BK38"/>
  <c r="G38" s="1"/>
  <c r="BK37"/>
  <c r="G37" s="1"/>
  <c r="BK34"/>
  <c r="G34" s="1"/>
  <c r="BK31"/>
  <c r="G31" s="1"/>
  <c r="U31" s="1"/>
  <c r="BK30"/>
  <c r="G30" s="1"/>
  <c r="BK29"/>
  <c r="G29" s="1"/>
  <c r="BK28"/>
  <c r="BK26"/>
  <c r="BK24"/>
  <c r="G24" s="1"/>
  <c r="V24" s="1"/>
  <c r="BK22"/>
  <c r="G22" s="1"/>
  <c r="BK19"/>
  <c r="G19" s="1"/>
  <c r="BK17"/>
  <c r="BK16"/>
  <c r="G16" s="1"/>
  <c r="BK14"/>
  <c r="BK92" i="44"/>
  <c r="G92" s="1"/>
  <c r="BK89"/>
  <c r="G89" s="1"/>
  <c r="BK86"/>
  <c r="G86" s="1"/>
  <c r="V86" s="1"/>
  <c r="Z86" s="1"/>
  <c r="BK85"/>
  <c r="G85" s="1"/>
  <c r="BK82"/>
  <c r="G82" s="1"/>
  <c r="BK81"/>
  <c r="G81" s="1"/>
  <c r="H81" s="1"/>
  <c r="BK79"/>
  <c r="G79" s="1"/>
  <c r="BK78"/>
  <c r="G78" s="1"/>
  <c r="BK77"/>
  <c r="G77" s="1"/>
  <c r="BK76"/>
  <c r="G76" s="1"/>
  <c r="BK75"/>
  <c r="G75" s="1"/>
  <c r="H75" s="1"/>
  <c r="Q75" s="1"/>
  <c r="BK74"/>
  <c r="G74" s="1"/>
  <c r="BK73"/>
  <c r="G73" s="1"/>
  <c r="BK72"/>
  <c r="G72" s="1"/>
  <c r="BK71"/>
  <c r="G71" s="1"/>
  <c r="BK70"/>
  <c r="G70" s="1"/>
  <c r="BK69"/>
  <c r="G69" s="1"/>
  <c r="BK68"/>
  <c r="BK67"/>
  <c r="G67" s="1"/>
  <c r="U67" s="1"/>
  <c r="BK64"/>
  <c r="G64" s="1"/>
  <c r="BK63"/>
  <c r="G63" s="1"/>
  <c r="H63" s="1"/>
  <c r="BK62"/>
  <c r="G62" s="1"/>
  <c r="H62" s="1"/>
  <c r="BK61"/>
  <c r="G61" s="1"/>
  <c r="H61" s="1"/>
  <c r="BK60"/>
  <c r="G60" s="1"/>
  <c r="BK59"/>
  <c r="G59" s="1"/>
  <c r="BK58"/>
  <c r="G58" s="1"/>
  <c r="BK57"/>
  <c r="G57" s="1"/>
  <c r="H57" s="1"/>
  <c r="Q57" s="1"/>
  <c r="BK56"/>
  <c r="G56" s="1"/>
  <c r="BK55"/>
  <c r="BK54"/>
  <c r="G54" s="1"/>
  <c r="BK53"/>
  <c r="G53" s="1"/>
  <c r="BK52"/>
  <c r="G52" s="1"/>
  <c r="BK51"/>
  <c r="G51" s="1"/>
  <c r="BK50"/>
  <c r="BK49"/>
  <c r="G49" s="1"/>
  <c r="BK47"/>
  <c r="G47" s="1"/>
  <c r="BK46"/>
  <c r="G46" s="1"/>
  <c r="BK45"/>
  <c r="G45" s="1"/>
  <c r="BK44"/>
  <c r="G44" s="1"/>
  <c r="BK43"/>
  <c r="G43" s="1"/>
  <c r="BK40"/>
  <c r="G40" s="1"/>
  <c r="BK39"/>
  <c r="G39" s="1"/>
  <c r="BK37"/>
  <c r="G37" s="1"/>
  <c r="BK36"/>
  <c r="G36" s="1"/>
  <c r="BK31"/>
  <c r="G31" s="1"/>
  <c r="S31" s="1"/>
  <c r="W31" s="1"/>
  <c r="BK30"/>
  <c r="G30" s="1"/>
  <c r="BK29"/>
  <c r="BK27"/>
  <c r="G27" s="1"/>
  <c r="BK26"/>
  <c r="G26" s="1"/>
  <c r="BK25"/>
  <c r="BK24"/>
  <c r="G24" s="1"/>
  <c r="BK23"/>
  <c r="G23" s="1"/>
  <c r="BK22"/>
  <c r="G22" s="1"/>
  <c r="BK21"/>
  <c r="G21" s="1"/>
  <c r="BK19"/>
  <c r="BK15"/>
  <c r="BK14"/>
  <c r="BK12"/>
  <c r="BK13" s="1"/>
  <c r="Z46" i="43"/>
  <c r="Y46"/>
  <c r="X46"/>
  <c r="W46"/>
  <c r="AN14" i="46"/>
  <c r="BJ29" i="47"/>
  <c r="F29" s="1"/>
  <c r="BK29"/>
  <c r="G29" s="1"/>
  <c r="BI55" i="46"/>
  <c r="E55" s="1"/>
  <c r="BI34" i="41"/>
  <c r="E34" s="1"/>
  <c r="BH44" i="43"/>
  <c r="BI23" i="41"/>
  <c r="AZ56" i="43"/>
  <c r="AX56"/>
  <c r="AV56"/>
  <c r="AY46" i="47"/>
  <c r="BK20" i="44"/>
  <c r="G20" s="1"/>
  <c r="AP56" i="43"/>
  <c r="AP30"/>
  <c r="BL30" s="1"/>
  <c r="AL34" i="41"/>
  <c r="AN44" i="43"/>
  <c r="AL54"/>
  <c r="AL44"/>
  <c r="AL56"/>
  <c r="AX33"/>
  <c r="AJ56"/>
  <c r="AH56"/>
  <c r="AF56"/>
  <c r="Z34" i="41"/>
  <c r="Z23"/>
  <c r="BJ23" s="1"/>
  <c r="AB56" i="43"/>
  <c r="AB45"/>
  <c r="AB46"/>
  <c r="AB32"/>
  <c r="Z21" i="45"/>
  <c r="BF39"/>
  <c r="AG58"/>
  <c r="AG69"/>
  <c r="AF39"/>
  <c r="BI51"/>
  <c r="BD39"/>
  <c r="BI50"/>
  <c r="BI49"/>
  <c r="BI48"/>
  <c r="BB19" i="43"/>
  <c r="BI47" i="45"/>
  <c r="BI46"/>
  <c r="AG62"/>
  <c r="BJ66"/>
  <c r="F66" s="1"/>
  <c r="AG66"/>
  <c r="AQ66"/>
  <c r="BG66"/>
  <c r="BC66"/>
  <c r="BA66"/>
  <c r="AY66"/>
  <c r="AW66"/>
  <c r="AU66"/>
  <c r="AS66"/>
  <c r="AM66"/>
  <c r="AK66"/>
  <c r="AI66"/>
  <c r="AE66"/>
  <c r="AC66"/>
  <c r="AA66"/>
  <c r="BI66"/>
  <c r="BJ64"/>
  <c r="F64" s="1"/>
  <c r="BA34" i="25"/>
  <c r="BA18"/>
  <c r="BB17" i="43"/>
  <c r="BI64" i="45"/>
  <c r="BG64"/>
  <c r="BE64"/>
  <c r="BC64"/>
  <c r="BA64"/>
  <c r="AY64"/>
  <c r="AW64"/>
  <c r="AU64"/>
  <c r="AS64"/>
  <c r="AQ64"/>
  <c r="AO64"/>
  <c r="AM64"/>
  <c r="AK64"/>
  <c r="AI64"/>
  <c r="AG64"/>
  <c r="AE64"/>
  <c r="AC64"/>
  <c r="AA64"/>
  <c r="BJ62"/>
  <c r="F62" s="1"/>
  <c r="R62" s="1"/>
  <c r="V62" s="1"/>
  <c r="BI62"/>
  <c r="BG62"/>
  <c r="BE62"/>
  <c r="BC62"/>
  <c r="BA62"/>
  <c r="AY62"/>
  <c r="AW62"/>
  <c r="AU62"/>
  <c r="AS62"/>
  <c r="AQ62"/>
  <c r="AO62"/>
  <c r="AM62"/>
  <c r="AK62"/>
  <c r="AI62"/>
  <c r="AE62"/>
  <c r="AC62"/>
  <c r="AA62"/>
  <c r="BJ63"/>
  <c r="F63" s="1"/>
  <c r="S63" s="1"/>
  <c r="W63" s="1"/>
  <c r="BI63"/>
  <c r="BG63"/>
  <c r="BE63"/>
  <c r="BC63"/>
  <c r="BA63"/>
  <c r="AY63"/>
  <c r="AW63"/>
  <c r="AU63"/>
  <c r="AS63"/>
  <c r="AQ63"/>
  <c r="AO63"/>
  <c r="AM63"/>
  <c r="AK63"/>
  <c r="AI63"/>
  <c r="AG63"/>
  <c r="AE63"/>
  <c r="AC63"/>
  <c r="AA63"/>
  <c r="I61" i="43"/>
  <c r="K61"/>
  <c r="L61"/>
  <c r="M61"/>
  <c r="N61"/>
  <c r="O61"/>
  <c r="P61"/>
  <c r="R61"/>
  <c r="AA61"/>
  <c r="AC61"/>
  <c r="AE61"/>
  <c r="AG61"/>
  <c r="AI61"/>
  <c r="AK61"/>
  <c r="AM61"/>
  <c r="AO61"/>
  <c r="AQ61"/>
  <c r="AS61"/>
  <c r="AU61"/>
  <c r="AW61"/>
  <c r="AY61"/>
  <c r="BA61"/>
  <c r="BC61"/>
  <c r="BE61"/>
  <c r="BG61"/>
  <c r="BM61"/>
  <c r="BN61"/>
  <c r="BO61"/>
  <c r="BQ61"/>
  <c r="BM57"/>
  <c r="BP57"/>
  <c r="BP59" s="1"/>
  <c r="BR57"/>
  <c r="BR59" s="1"/>
  <c r="BR61" s="1"/>
  <c r="BT57"/>
  <c r="BT59" s="1"/>
  <c r="BT61" s="1"/>
  <c r="BU57"/>
  <c r="BU59" s="1"/>
  <c r="BU61" s="1"/>
  <c r="BB60"/>
  <c r="AP60"/>
  <c r="AD45"/>
  <c r="AH45"/>
  <c r="AF45"/>
  <c r="AX44"/>
  <c r="AR44"/>
  <c r="AT44"/>
  <c r="AF44"/>
  <c r="AB44"/>
  <c r="BC46" i="47"/>
  <c r="AR54" i="43"/>
  <c r="BJ55" i="45"/>
  <c r="F55" s="1"/>
  <c r="S55" s="1"/>
  <c r="BI55"/>
  <c r="BJ74"/>
  <c r="F74" s="1"/>
  <c r="BE74"/>
  <c r="BA74"/>
  <c r="AY74"/>
  <c r="AQ74"/>
  <c r="AE74"/>
  <c r="AA74"/>
  <c r="AC74"/>
  <c r="AG74"/>
  <c r="AI74"/>
  <c r="AK74"/>
  <c r="AM74"/>
  <c r="AO74"/>
  <c r="AS74"/>
  <c r="AU74"/>
  <c r="AW74"/>
  <c r="BG74"/>
  <c r="BI74"/>
  <c r="AK20" i="25"/>
  <c r="AO20"/>
  <c r="AU20"/>
  <c r="AW20"/>
  <c r="AY20"/>
  <c r="BC20"/>
  <c r="BE20"/>
  <c r="BG20"/>
  <c r="BJ20"/>
  <c r="F20" s="1"/>
  <c r="BA20"/>
  <c r="AQ20"/>
  <c r="AM20"/>
  <c r="AG20"/>
  <c r="AI20"/>
  <c r="AC20"/>
  <c r="AE20"/>
  <c r="AA20"/>
  <c r="AK29"/>
  <c r="AH13" i="26"/>
  <c r="AR13"/>
  <c r="BF13"/>
  <c r="BF14" s="1"/>
  <c r="AN33" i="42"/>
  <c r="BE10" i="47"/>
  <c r="BK65" i="46"/>
  <c r="BL65"/>
  <c r="BO65"/>
  <c r="BP65"/>
  <c r="BR65"/>
  <c r="BS65"/>
  <c r="BT65"/>
  <c r="BK56"/>
  <c r="BL56"/>
  <c r="BM56"/>
  <c r="BO56"/>
  <c r="BP56"/>
  <c r="BR56"/>
  <c r="BS56"/>
  <c r="BT56"/>
  <c r="BK62"/>
  <c r="BL62"/>
  <c r="BM62"/>
  <c r="BN62"/>
  <c r="BP62"/>
  <c r="BR62"/>
  <c r="BS62"/>
  <c r="BK53"/>
  <c r="BL53"/>
  <c r="BO53"/>
  <c r="BP53"/>
  <c r="BR53"/>
  <c r="BS53"/>
  <c r="BT53"/>
  <c r="BK42"/>
  <c r="BL42"/>
  <c r="BM42"/>
  <c r="BO42"/>
  <c r="BP42"/>
  <c r="BR42"/>
  <c r="BS42"/>
  <c r="BT42"/>
  <c r="BK35"/>
  <c r="BL35"/>
  <c r="BM35"/>
  <c r="BO35"/>
  <c r="BP35"/>
  <c r="BR35"/>
  <c r="BS35"/>
  <c r="BT35"/>
  <c r="BK32"/>
  <c r="BL32"/>
  <c r="BK25"/>
  <c r="BL25"/>
  <c r="BM25"/>
  <c r="BO25"/>
  <c r="BP25"/>
  <c r="BR25"/>
  <c r="BS25"/>
  <c r="BK17"/>
  <c r="BL17"/>
  <c r="BM17"/>
  <c r="BN17"/>
  <c r="BP17"/>
  <c r="BR17"/>
  <c r="BS17"/>
  <c r="BT17"/>
  <c r="BK15"/>
  <c r="BL15"/>
  <c r="BM15"/>
  <c r="BO15"/>
  <c r="BP15"/>
  <c r="BR15"/>
  <c r="BS15"/>
  <c r="I65"/>
  <c r="J65"/>
  <c r="K65"/>
  <c r="L65"/>
  <c r="M65"/>
  <c r="N65"/>
  <c r="O65"/>
  <c r="P65"/>
  <c r="Y65"/>
  <c r="AA65"/>
  <c r="AC65"/>
  <c r="AE65"/>
  <c r="AG65"/>
  <c r="AI65"/>
  <c r="AK65"/>
  <c r="AM65"/>
  <c r="AO65"/>
  <c r="AQ65"/>
  <c r="AS65"/>
  <c r="AU65"/>
  <c r="AW65"/>
  <c r="AY65"/>
  <c r="BA65"/>
  <c r="BC65"/>
  <c r="BE65"/>
  <c r="BG65"/>
  <c r="BL49" i="47"/>
  <c r="BM49"/>
  <c r="BM32"/>
  <c r="BN32"/>
  <c r="BQ32"/>
  <c r="BS32"/>
  <c r="BT32"/>
  <c r="BU32"/>
  <c r="BM25"/>
  <c r="BL15"/>
  <c r="BM15"/>
  <c r="BN15"/>
  <c r="BP15"/>
  <c r="BQ15"/>
  <c r="BS15"/>
  <c r="BT15"/>
  <c r="AX29" i="44"/>
  <c r="BL102" i="45"/>
  <c r="BM102"/>
  <c r="BN102"/>
  <c r="BO102"/>
  <c r="BQ102"/>
  <c r="BS102"/>
  <c r="BT102"/>
  <c r="BU102"/>
  <c r="BL77"/>
  <c r="BM77"/>
  <c r="BQ77"/>
  <c r="BS77"/>
  <c r="BT77"/>
  <c r="BU77"/>
  <c r="BL52"/>
  <c r="BM52"/>
  <c r="BO52"/>
  <c r="BP52"/>
  <c r="BQ52"/>
  <c r="BS52"/>
  <c r="BT52"/>
  <c r="BU52"/>
  <c r="BL39"/>
  <c r="BM39"/>
  <c r="BO39"/>
  <c r="BP39"/>
  <c r="BQ39"/>
  <c r="BS39"/>
  <c r="BT39"/>
  <c r="BU39"/>
  <c r="BL34"/>
  <c r="BM34"/>
  <c r="BO34"/>
  <c r="BQ34"/>
  <c r="BS34"/>
  <c r="BT34"/>
  <c r="BU34"/>
  <c r="BO65" i="44"/>
  <c r="BO83"/>
  <c r="BP83"/>
  <c r="BR83"/>
  <c r="BT83"/>
  <c r="BU83"/>
  <c r="BV83"/>
  <c r="BP65"/>
  <c r="BR65"/>
  <c r="BT65"/>
  <c r="BU65"/>
  <c r="BV65"/>
  <c r="BR41"/>
  <c r="BT41"/>
  <c r="BU41"/>
  <c r="BV41"/>
  <c r="BN41"/>
  <c r="BO41"/>
  <c r="BP41"/>
  <c r="BV20"/>
  <c r="BV21"/>
  <c r="BV30"/>
  <c r="BV31"/>
  <c r="BR34"/>
  <c r="BS22"/>
  <c r="BS23"/>
  <c r="BS24"/>
  <c r="BS25"/>
  <c r="BS26"/>
  <c r="BS27"/>
  <c r="BS29"/>
  <c r="BS30"/>
  <c r="BI13" i="43"/>
  <c r="BM42"/>
  <c r="BN42"/>
  <c r="BO42"/>
  <c r="BP42"/>
  <c r="BR42"/>
  <c r="BT42"/>
  <c r="BU42"/>
  <c r="BV12"/>
  <c r="BV31" i="42"/>
  <c r="BV33"/>
  <c r="BV38"/>
  <c r="BM52"/>
  <c r="BN52"/>
  <c r="BM46"/>
  <c r="BN46"/>
  <c r="BP46"/>
  <c r="BR46"/>
  <c r="BT46"/>
  <c r="BU46"/>
  <c r="BM39"/>
  <c r="BN39"/>
  <c r="BR39"/>
  <c r="BT39"/>
  <c r="BU39"/>
  <c r="BM28"/>
  <c r="BN28"/>
  <c r="BP28"/>
  <c r="BQ28"/>
  <c r="BR28"/>
  <c r="BT28"/>
  <c r="BU28"/>
  <c r="BM19"/>
  <c r="BN19"/>
  <c r="BP19"/>
  <c r="BQ19"/>
  <c r="BR19"/>
  <c r="BT19"/>
  <c r="BU19"/>
  <c r="BM15"/>
  <c r="BN15"/>
  <c r="BP15"/>
  <c r="BQ15"/>
  <c r="BR15"/>
  <c r="BT15"/>
  <c r="BU15"/>
  <c r="BM35" i="26"/>
  <c r="K34"/>
  <c r="L34"/>
  <c r="M34"/>
  <c r="N34"/>
  <c r="O34"/>
  <c r="P34"/>
  <c r="Q34"/>
  <c r="R34"/>
  <c r="S34"/>
  <c r="U34"/>
  <c r="V34"/>
  <c r="AA34"/>
  <c r="AC34"/>
  <c r="AE34"/>
  <c r="AG34"/>
  <c r="AI34"/>
  <c r="AK34"/>
  <c r="AL34"/>
  <c r="AM34"/>
  <c r="AO34"/>
  <c r="AP34"/>
  <c r="AQ34"/>
  <c r="AS34"/>
  <c r="AU34"/>
  <c r="AV34"/>
  <c r="AW34"/>
  <c r="AX34"/>
  <c r="AY34"/>
  <c r="AZ34"/>
  <c r="BA34"/>
  <c r="BC34"/>
  <c r="BD34"/>
  <c r="BE34"/>
  <c r="BF34"/>
  <c r="BG34"/>
  <c r="BH34"/>
  <c r="BI34"/>
  <c r="BN34"/>
  <c r="K27"/>
  <c r="L27"/>
  <c r="M27"/>
  <c r="N27"/>
  <c r="O27"/>
  <c r="P27"/>
  <c r="Q27"/>
  <c r="R27"/>
  <c r="S27"/>
  <c r="T27"/>
  <c r="U27"/>
  <c r="AA27"/>
  <c r="AC27"/>
  <c r="AE27"/>
  <c r="AG27"/>
  <c r="AI27"/>
  <c r="AK27"/>
  <c r="AL27"/>
  <c r="AM27"/>
  <c r="AO27"/>
  <c r="AP27"/>
  <c r="AQ27"/>
  <c r="AS27"/>
  <c r="AU27"/>
  <c r="AV27"/>
  <c r="AW27"/>
  <c r="AX27"/>
  <c r="AY27"/>
  <c r="AZ27"/>
  <c r="BA27"/>
  <c r="BC27"/>
  <c r="BD27"/>
  <c r="BE27"/>
  <c r="BF27"/>
  <c r="BG27"/>
  <c r="BH27"/>
  <c r="BI27"/>
  <c r="BN27"/>
  <c r="BO27"/>
  <c r="BQ27"/>
  <c r="BR27"/>
  <c r="BT27"/>
  <c r="BU27"/>
  <c r="K22"/>
  <c r="L22"/>
  <c r="M22"/>
  <c r="N22"/>
  <c r="O22"/>
  <c r="P22"/>
  <c r="Q22"/>
  <c r="R22"/>
  <c r="S22"/>
  <c r="T22"/>
  <c r="V22"/>
  <c r="AA22"/>
  <c r="AC22"/>
  <c r="AE22"/>
  <c r="AG22"/>
  <c r="AI22"/>
  <c r="AK22"/>
  <c r="AL22"/>
  <c r="AM22"/>
  <c r="AO22"/>
  <c r="AP22"/>
  <c r="AQ22"/>
  <c r="AS22"/>
  <c r="AU22"/>
  <c r="AV22"/>
  <c r="AW22"/>
  <c r="AX22"/>
  <c r="AY22"/>
  <c r="AZ22"/>
  <c r="BA22"/>
  <c r="BC22"/>
  <c r="BD22"/>
  <c r="BE22"/>
  <c r="BF22"/>
  <c r="BG22"/>
  <c r="BH22"/>
  <c r="BI22"/>
  <c r="BN22"/>
  <c r="BO22"/>
  <c r="BQ22"/>
  <c r="BR22"/>
  <c r="BT22"/>
  <c r="BU22"/>
  <c r="K18"/>
  <c r="L18"/>
  <c r="M18"/>
  <c r="N18"/>
  <c r="O18"/>
  <c r="P18"/>
  <c r="Q18"/>
  <c r="R18"/>
  <c r="AA18"/>
  <c r="AC18"/>
  <c r="AE18"/>
  <c r="AG18"/>
  <c r="AI18"/>
  <c r="AK18"/>
  <c r="AM18"/>
  <c r="AO18"/>
  <c r="AQ18"/>
  <c r="AS18"/>
  <c r="AU18"/>
  <c r="AW18"/>
  <c r="AY18"/>
  <c r="BA18"/>
  <c r="BC18"/>
  <c r="BE18"/>
  <c r="BG18"/>
  <c r="BI18"/>
  <c r="BN18"/>
  <c r="BO18"/>
  <c r="BQ18"/>
  <c r="BR18"/>
  <c r="BT18"/>
  <c r="BU18"/>
  <c r="BN14"/>
  <c r="BO14"/>
  <c r="BQ14"/>
  <c r="BR14"/>
  <c r="BT14"/>
  <c r="BU14"/>
  <c r="BK13"/>
  <c r="G13" s="1"/>
  <c r="S13" s="1"/>
  <c r="W13" s="1"/>
  <c r="BL88" i="24"/>
  <c r="BM88"/>
  <c r="BN88"/>
  <c r="BO88"/>
  <c r="BP88"/>
  <c r="BQ88"/>
  <c r="BS88"/>
  <c r="BU36"/>
  <c r="BU37"/>
  <c r="BU38"/>
  <c r="BU40"/>
  <c r="BV40" s="1"/>
  <c r="BU41"/>
  <c r="BU42"/>
  <c r="BU43"/>
  <c r="BU47"/>
  <c r="BL48"/>
  <c r="BM48"/>
  <c r="BR44"/>
  <c r="BU13"/>
  <c r="BU14"/>
  <c r="BU15"/>
  <c r="BU17"/>
  <c r="BU18"/>
  <c r="BU19"/>
  <c r="BU20"/>
  <c r="BU21"/>
  <c r="BU22"/>
  <c r="BU23"/>
  <c r="BU24"/>
  <c r="BQ21" i="25"/>
  <c r="BR19"/>
  <c r="BU22"/>
  <c r="BU23"/>
  <c r="BU24"/>
  <c r="BU25"/>
  <c r="BU26"/>
  <c r="BU27"/>
  <c r="BU28"/>
  <c r="BU29"/>
  <c r="BL55"/>
  <c r="BM55"/>
  <c r="BP55"/>
  <c r="BL48"/>
  <c r="BM48"/>
  <c r="BN48"/>
  <c r="BO48"/>
  <c r="BP48"/>
  <c r="BQ48"/>
  <c r="BT48"/>
  <c r="BL30"/>
  <c r="BM30"/>
  <c r="BO30"/>
  <c r="BM16"/>
  <c r="BP45" i="41"/>
  <c r="BR45"/>
  <c r="BS45"/>
  <c r="BT45"/>
  <c r="BM39"/>
  <c r="BM40" s="1"/>
  <c r="BN37"/>
  <c r="BP37"/>
  <c r="BR37"/>
  <c r="BS37"/>
  <c r="BT37"/>
  <c r="BW43" i="43"/>
  <c r="L35"/>
  <c r="N35"/>
  <c r="O35"/>
  <c r="P35"/>
  <c r="R35"/>
  <c r="AA35"/>
  <c r="AC35"/>
  <c r="AE35"/>
  <c r="AG35"/>
  <c r="AI35"/>
  <c r="AK35"/>
  <c r="AM35"/>
  <c r="AO35"/>
  <c r="AQ35"/>
  <c r="AS35"/>
  <c r="AU35"/>
  <c r="AW35"/>
  <c r="AY35"/>
  <c r="BA35"/>
  <c r="BC35"/>
  <c r="BE35"/>
  <c r="BG35"/>
  <c r="BI35"/>
  <c r="BM35"/>
  <c r="BN35"/>
  <c r="BO35"/>
  <c r="BP35"/>
  <c r="BR35"/>
  <c r="BT35"/>
  <c r="BU35"/>
  <c r="K20"/>
  <c r="L20"/>
  <c r="N20"/>
  <c r="O20"/>
  <c r="P20"/>
  <c r="R20"/>
  <c r="AE20"/>
  <c r="AM20"/>
  <c r="BG20"/>
  <c r="BI20"/>
  <c r="BM20"/>
  <c r="BN20"/>
  <c r="BO20"/>
  <c r="BP20"/>
  <c r="BR20"/>
  <c r="BT20"/>
  <c r="BU20"/>
  <c r="K13"/>
  <c r="M13"/>
  <c r="N13"/>
  <c r="P13"/>
  <c r="Q13"/>
  <c r="R13"/>
  <c r="AM13"/>
  <c r="BM13"/>
  <c r="BN13"/>
  <c r="BO13"/>
  <c r="BR13"/>
  <c r="BT13"/>
  <c r="BU13"/>
  <c r="I15" i="42"/>
  <c r="K15"/>
  <c r="L15"/>
  <c r="N15"/>
  <c r="O15"/>
  <c r="P15"/>
  <c r="AA15"/>
  <c r="AC15"/>
  <c r="AE15"/>
  <c r="AG15"/>
  <c r="AI15"/>
  <c r="AK15"/>
  <c r="AM15"/>
  <c r="AO15"/>
  <c r="AQ15"/>
  <c r="AS15"/>
  <c r="AU15"/>
  <c r="AW15"/>
  <c r="AY15"/>
  <c r="BA15"/>
  <c r="BC15"/>
  <c r="BE15"/>
  <c r="BG15"/>
  <c r="BI15"/>
  <c r="I28"/>
  <c r="J28"/>
  <c r="K28"/>
  <c r="N28"/>
  <c r="O28"/>
  <c r="P28"/>
  <c r="Q28"/>
  <c r="R28"/>
  <c r="AA28"/>
  <c r="AC28"/>
  <c r="AE28"/>
  <c r="AG28"/>
  <c r="AI28"/>
  <c r="AK28"/>
  <c r="AM28"/>
  <c r="AO28"/>
  <c r="AQ28"/>
  <c r="AS28"/>
  <c r="AU28"/>
  <c r="AW28"/>
  <c r="AY28"/>
  <c r="BA28"/>
  <c r="BC28"/>
  <c r="BE28"/>
  <c r="BG28"/>
  <c r="BI28"/>
  <c r="BG68" i="45"/>
  <c r="BJ68"/>
  <c r="F68" s="1"/>
  <c r="G68" s="1"/>
  <c r="L68" s="1"/>
  <c r="BE68"/>
  <c r="BC68"/>
  <c r="BA68"/>
  <c r="AY68"/>
  <c r="AU68"/>
  <c r="AS68"/>
  <c r="AQ68"/>
  <c r="AO68"/>
  <c r="AM68"/>
  <c r="AK68"/>
  <c r="AI68"/>
  <c r="AG68"/>
  <c r="AE68"/>
  <c r="AC68"/>
  <c r="AA68"/>
  <c r="BG67"/>
  <c r="BJ67"/>
  <c r="F67" s="1"/>
  <c r="BE67"/>
  <c r="BC67"/>
  <c r="BA67"/>
  <c r="AY67"/>
  <c r="AU67"/>
  <c r="AS67"/>
  <c r="AQ67"/>
  <c r="AM67"/>
  <c r="AO67"/>
  <c r="AK67"/>
  <c r="AI67"/>
  <c r="AG67"/>
  <c r="AE67"/>
  <c r="AC67"/>
  <c r="AA67"/>
  <c r="BE15" i="46"/>
  <c r="BC15"/>
  <c r="BA15"/>
  <c r="AO43" i="47"/>
  <c r="BK43" s="1"/>
  <c r="BJ43"/>
  <c r="F43" s="1"/>
  <c r="Z42"/>
  <c r="AB42"/>
  <c r="AD42"/>
  <c r="AF42"/>
  <c r="AH42"/>
  <c r="AJ42"/>
  <c r="W89" i="44"/>
  <c r="BJ89"/>
  <c r="BD89"/>
  <c r="L46" i="42"/>
  <c r="N46"/>
  <c r="O46"/>
  <c r="P46"/>
  <c r="Q46"/>
  <c r="R46"/>
  <c r="AA46"/>
  <c r="AC46"/>
  <c r="AE46"/>
  <c r="AG46"/>
  <c r="AI46"/>
  <c r="AK46"/>
  <c r="AM46"/>
  <c r="AO46"/>
  <c r="AQ46"/>
  <c r="AS46"/>
  <c r="AU46"/>
  <c r="AW46"/>
  <c r="AY46"/>
  <c r="BA46"/>
  <c r="BC46"/>
  <c r="BE46"/>
  <c r="BG46"/>
  <c r="BI46"/>
  <c r="BF49" i="43"/>
  <c r="AH49"/>
  <c r="BJ53"/>
  <c r="BH53"/>
  <c r="BF53"/>
  <c r="BD53"/>
  <c r="BB53"/>
  <c r="AZ53"/>
  <c r="AX53"/>
  <c r="AV53"/>
  <c r="AT53"/>
  <c r="AR53"/>
  <c r="AP53"/>
  <c r="BH52"/>
  <c r="BF52"/>
  <c r="BD52"/>
  <c r="AZ52"/>
  <c r="AX52"/>
  <c r="AV52"/>
  <c r="AT52"/>
  <c r="AR52"/>
  <c r="AP52"/>
  <c r="AN52"/>
  <c r="AL52"/>
  <c r="AJ52"/>
  <c r="AH52"/>
  <c r="AF52"/>
  <c r="AD52"/>
  <c r="AB52"/>
  <c r="BH50"/>
  <c r="BF50"/>
  <c r="BD50"/>
  <c r="BB50"/>
  <c r="AZ50"/>
  <c r="AX50"/>
  <c r="AV50"/>
  <c r="AT50"/>
  <c r="AR50"/>
  <c r="AP50"/>
  <c r="AN50"/>
  <c r="AL50"/>
  <c r="AJ50"/>
  <c r="AH50"/>
  <c r="AF50"/>
  <c r="AD50"/>
  <c r="AB50"/>
  <c r="BJ48"/>
  <c r="BH48"/>
  <c r="BF48"/>
  <c r="BB48"/>
  <c r="AZ48"/>
  <c r="AX48"/>
  <c r="AV48"/>
  <c r="AT48"/>
  <c r="AR48"/>
  <c r="AP48"/>
  <c r="AN48"/>
  <c r="AL48"/>
  <c r="AJ48"/>
  <c r="AH48"/>
  <c r="AF48"/>
  <c r="AD48"/>
  <c r="AB48"/>
  <c r="K56"/>
  <c r="L56"/>
  <c r="M56"/>
  <c r="N56"/>
  <c r="O56"/>
  <c r="P56"/>
  <c r="R56"/>
  <c r="AD56"/>
  <c r="AC57"/>
  <c r="AK57"/>
  <c r="AM57"/>
  <c r="AO57"/>
  <c r="AS57"/>
  <c r="AU57"/>
  <c r="AW57"/>
  <c r="AY57"/>
  <c r="BB56"/>
  <c r="BC57"/>
  <c r="BE57"/>
  <c r="BG57"/>
  <c r="BI56"/>
  <c r="BJ56"/>
  <c r="BB54"/>
  <c r="AH54"/>
  <c r="AF43"/>
  <c r="Z31" i="41"/>
  <c r="AB31"/>
  <c r="AD31"/>
  <c r="AF31"/>
  <c r="AH31"/>
  <c r="AJ31"/>
  <c r="AL31"/>
  <c r="AN31"/>
  <c r="AP31"/>
  <c r="AR31"/>
  <c r="AT31"/>
  <c r="AV31"/>
  <c r="AX31"/>
  <c r="AZ31"/>
  <c r="BB31"/>
  <c r="BD31"/>
  <c r="BH31"/>
  <c r="BF31"/>
  <c r="BI31"/>
  <c r="E31" s="1"/>
  <c r="BJ38" i="42"/>
  <c r="BJ33"/>
  <c r="BJ31"/>
  <c r="BH31"/>
  <c r="BH33"/>
  <c r="BF31"/>
  <c r="BF33"/>
  <c r="BD31"/>
  <c r="BD33"/>
  <c r="BB31"/>
  <c r="BB33"/>
  <c r="AZ31"/>
  <c r="AZ33"/>
  <c r="AX31"/>
  <c r="AX33"/>
  <c r="AV31"/>
  <c r="AV33"/>
  <c r="AT31"/>
  <c r="AR31"/>
  <c r="AR33"/>
  <c r="AP31"/>
  <c r="AP33"/>
  <c r="AN31"/>
  <c r="AL31"/>
  <c r="AL33"/>
  <c r="AJ31"/>
  <c r="AJ33"/>
  <c r="AH31"/>
  <c r="AH33"/>
  <c r="AF31"/>
  <c r="AF33"/>
  <c r="AD31"/>
  <c r="AD33"/>
  <c r="AB31"/>
  <c r="AB33"/>
  <c r="BK33"/>
  <c r="G33" s="1"/>
  <c r="V33" s="1"/>
  <c r="Z33" s="1"/>
  <c r="AB28" i="41"/>
  <c r="AB29"/>
  <c r="Z28"/>
  <c r="Z29"/>
  <c r="Z27"/>
  <c r="BJ27" s="1"/>
  <c r="AB27"/>
  <c r="BH25" i="42"/>
  <c r="BH26"/>
  <c r="AJ25"/>
  <c r="AJ26"/>
  <c r="AH25"/>
  <c r="AH26"/>
  <c r="AF26"/>
  <c r="AB21"/>
  <c r="AD21"/>
  <c r="AF21"/>
  <c r="AH21"/>
  <c r="AJ21"/>
  <c r="AL21"/>
  <c r="AN21"/>
  <c r="AP21"/>
  <c r="AR21"/>
  <c r="AT21"/>
  <c r="AB22"/>
  <c r="AD22"/>
  <c r="AF22"/>
  <c r="AH22"/>
  <c r="AJ22"/>
  <c r="AL22"/>
  <c r="AN22"/>
  <c r="AP22"/>
  <c r="AR22"/>
  <c r="AT22"/>
  <c r="AX22"/>
  <c r="AZ22"/>
  <c r="BB22"/>
  <c r="BD22"/>
  <c r="BK25"/>
  <c r="G25" s="1"/>
  <c r="BK26"/>
  <c r="G26" s="1"/>
  <c r="V26" s="1"/>
  <c r="AF25"/>
  <c r="AB27" i="44"/>
  <c r="AB29"/>
  <c r="AD27"/>
  <c r="AD29"/>
  <c r="AF27"/>
  <c r="AF29"/>
  <c r="AH26"/>
  <c r="AH27"/>
  <c r="AH29"/>
  <c r="AJ26"/>
  <c r="AJ27"/>
  <c r="AJ29"/>
  <c r="AL26"/>
  <c r="AL27"/>
  <c r="AL29"/>
  <c r="AN26"/>
  <c r="AN27"/>
  <c r="AN29"/>
  <c r="AP26"/>
  <c r="AP27"/>
  <c r="AP29"/>
  <c r="AR26"/>
  <c r="AR27"/>
  <c r="AR29"/>
  <c r="AT26"/>
  <c r="AT27"/>
  <c r="AT29"/>
  <c r="AV26"/>
  <c r="AV27"/>
  <c r="AV29"/>
  <c r="AX26"/>
  <c r="AX27"/>
  <c r="AZ26"/>
  <c r="AZ27"/>
  <c r="AZ29"/>
  <c r="BB26"/>
  <c r="BB27"/>
  <c r="BB29"/>
  <c r="BD26"/>
  <c r="BD27"/>
  <c r="BD29"/>
  <c r="BF26"/>
  <c r="BF27"/>
  <c r="BF29"/>
  <c r="BH26"/>
  <c r="BH27"/>
  <c r="BH29"/>
  <c r="BK31" i="42"/>
  <c r="G31" s="1"/>
  <c r="H31" s="1"/>
  <c r="N77" i="45"/>
  <c r="O77"/>
  <c r="P77"/>
  <c r="Z77"/>
  <c r="AB77"/>
  <c r="AD77"/>
  <c r="AF77"/>
  <c r="AH77"/>
  <c r="AJ77"/>
  <c r="AL77"/>
  <c r="AN77"/>
  <c r="AP77"/>
  <c r="AR77"/>
  <c r="AT77"/>
  <c r="AV77"/>
  <c r="AX77"/>
  <c r="AZ77"/>
  <c r="BB77"/>
  <c r="BD77"/>
  <c r="BF77"/>
  <c r="BH77"/>
  <c r="H77"/>
  <c r="I77"/>
  <c r="K77"/>
  <c r="AF26" i="44"/>
  <c r="AD26"/>
  <c r="AB26"/>
  <c r="BH25"/>
  <c r="BF25"/>
  <c r="BD25"/>
  <c r="BB25"/>
  <c r="AZ25"/>
  <c r="AX25"/>
  <c r="AV25"/>
  <c r="AT25"/>
  <c r="AR25"/>
  <c r="AP25"/>
  <c r="AN25"/>
  <c r="AL25"/>
  <c r="AJ25"/>
  <c r="AH25"/>
  <c r="AF25"/>
  <c r="AD25"/>
  <c r="AB25"/>
  <c r="BF24"/>
  <c r="AP24"/>
  <c r="BH21"/>
  <c r="BF21"/>
  <c r="BD21"/>
  <c r="BB21"/>
  <c r="AZ21"/>
  <c r="AX21"/>
  <c r="AV21"/>
  <c r="AT21"/>
  <c r="AR21"/>
  <c r="AP21"/>
  <c r="AN21"/>
  <c r="AL21"/>
  <c r="AJ21"/>
  <c r="AH21"/>
  <c r="AF21"/>
  <c r="AD21"/>
  <c r="AB21"/>
  <c r="BJ20"/>
  <c r="BH20"/>
  <c r="AJ20"/>
  <c r="AH20"/>
  <c r="BK45" i="42"/>
  <c r="G45" s="1"/>
  <c r="BK41"/>
  <c r="G41" s="1"/>
  <c r="BH45"/>
  <c r="BF45"/>
  <c r="BD45"/>
  <c r="BB45"/>
  <c r="AZ45"/>
  <c r="AX45"/>
  <c r="AV45"/>
  <c r="AT45"/>
  <c r="AR45"/>
  <c r="AP45"/>
  <c r="AN45"/>
  <c r="AL45"/>
  <c r="AJ45"/>
  <c r="AF45"/>
  <c r="AD45"/>
  <c r="AB45"/>
  <c r="BB22" i="43"/>
  <c r="AT22"/>
  <c r="BJ60" i="45"/>
  <c r="F60" s="1"/>
  <c r="U60" s="1"/>
  <c r="BG60"/>
  <c r="BE60"/>
  <c r="BC60"/>
  <c r="BA60"/>
  <c r="AY60"/>
  <c r="AU60"/>
  <c r="AS60"/>
  <c r="AQ60"/>
  <c r="AO60"/>
  <c r="AM60"/>
  <c r="AK60"/>
  <c r="AI60"/>
  <c r="AG60"/>
  <c r="AE60"/>
  <c r="AC60"/>
  <c r="AA60"/>
  <c r="AW60"/>
  <c r="BI60"/>
  <c r="BJ56"/>
  <c r="F56" s="1"/>
  <c r="BI27" i="41"/>
  <c r="E27" s="1"/>
  <c r="R27" s="1"/>
  <c r="V27" s="1"/>
  <c r="BI28"/>
  <c r="E28" s="1"/>
  <c r="BI29"/>
  <c r="E29" s="1"/>
  <c r="BH27"/>
  <c r="BH28"/>
  <c r="BH29"/>
  <c r="BF27"/>
  <c r="BF28"/>
  <c r="BF29"/>
  <c r="BD27"/>
  <c r="BD28"/>
  <c r="BD29"/>
  <c r="BB27"/>
  <c r="BB28"/>
  <c r="BB29"/>
  <c r="AZ27"/>
  <c r="AZ28"/>
  <c r="AZ29"/>
  <c r="AX27"/>
  <c r="AX28"/>
  <c r="AX29"/>
  <c r="AV27"/>
  <c r="AV28"/>
  <c r="AV29"/>
  <c r="AT27"/>
  <c r="AT28"/>
  <c r="AT29"/>
  <c r="AR27"/>
  <c r="AR28"/>
  <c r="AR29"/>
  <c r="AP27"/>
  <c r="AP28"/>
  <c r="AP29"/>
  <c r="AN27"/>
  <c r="AN28"/>
  <c r="AN29"/>
  <c r="AL28"/>
  <c r="AL29"/>
  <c r="AJ27"/>
  <c r="AJ28"/>
  <c r="AJ29"/>
  <c r="AH27"/>
  <c r="AH28"/>
  <c r="AH29"/>
  <c r="AF27"/>
  <c r="AF28"/>
  <c r="AF29"/>
  <c r="AD27"/>
  <c r="AD28"/>
  <c r="AD29"/>
  <c r="BK51" i="42"/>
  <c r="G51" s="1"/>
  <c r="S51" s="1"/>
  <c r="W51" s="1"/>
  <c r="BJ51"/>
  <c r="BF51"/>
  <c r="BD51"/>
  <c r="BB51"/>
  <c r="AZ51"/>
  <c r="AX51"/>
  <c r="AT51"/>
  <c r="AR51"/>
  <c r="AP51"/>
  <c r="AN51"/>
  <c r="AL51"/>
  <c r="AJ51"/>
  <c r="AH51"/>
  <c r="AF51"/>
  <c r="AD51"/>
  <c r="AB51"/>
  <c r="BH51"/>
  <c r="AA52"/>
  <c r="AC52"/>
  <c r="AE52"/>
  <c r="AG52"/>
  <c r="AI52"/>
  <c r="AK52"/>
  <c r="AM52"/>
  <c r="AO52"/>
  <c r="AQ52"/>
  <c r="AS52"/>
  <c r="AU52"/>
  <c r="AW52"/>
  <c r="AY52"/>
  <c r="BA52"/>
  <c r="BC52"/>
  <c r="BE52"/>
  <c r="BG52"/>
  <c r="BI52"/>
  <c r="BI43" i="41"/>
  <c r="T43"/>
  <c r="X43" s="1"/>
  <c r="BI40"/>
  <c r="BI39"/>
  <c r="BH43"/>
  <c r="BH40"/>
  <c r="BH39"/>
  <c r="BF43"/>
  <c r="BF40"/>
  <c r="BF39"/>
  <c r="BD43"/>
  <c r="BD40"/>
  <c r="BD39"/>
  <c r="BB43"/>
  <c r="BB40"/>
  <c r="BB39"/>
  <c r="AZ43"/>
  <c r="AZ40"/>
  <c r="AZ39"/>
  <c r="AX43"/>
  <c r="AX40"/>
  <c r="AX39"/>
  <c r="AV43"/>
  <c r="AV40"/>
  <c r="AV39"/>
  <c r="AT43"/>
  <c r="AT40"/>
  <c r="AT39"/>
  <c r="AR43"/>
  <c r="AR40"/>
  <c r="AR39"/>
  <c r="AP43"/>
  <c r="AP40"/>
  <c r="AP39"/>
  <c r="AN43"/>
  <c r="AN40"/>
  <c r="AN39"/>
  <c r="AL43"/>
  <c r="AL40"/>
  <c r="AL39"/>
  <c r="AJ43"/>
  <c r="AJ40"/>
  <c r="AJ39"/>
  <c r="AH43"/>
  <c r="AH40"/>
  <c r="AH39"/>
  <c r="AF43"/>
  <c r="AF40"/>
  <c r="AF39"/>
  <c r="AD43"/>
  <c r="AD40"/>
  <c r="AD39"/>
  <c r="AB43"/>
  <c r="AB40"/>
  <c r="AB39"/>
  <c r="Z43"/>
  <c r="BJ43" s="1"/>
  <c r="Z40"/>
  <c r="Z39"/>
  <c r="BH59" i="43"/>
  <c r="BH61" s="1"/>
  <c r="BF59"/>
  <c r="BF61" s="1"/>
  <c r="BD59"/>
  <c r="BD61" s="1"/>
  <c r="BB59"/>
  <c r="AZ59"/>
  <c r="AZ61" s="1"/>
  <c r="AX59"/>
  <c r="AV59"/>
  <c r="AT59"/>
  <c r="AR59"/>
  <c r="AP59"/>
  <c r="AN59"/>
  <c r="AN61" s="1"/>
  <c r="AL59"/>
  <c r="AJ59"/>
  <c r="AJ61" s="1"/>
  <c r="AH59"/>
  <c r="AH61" s="1"/>
  <c r="AF59"/>
  <c r="AF61" s="1"/>
  <c r="AD59"/>
  <c r="AD61" s="1"/>
  <c r="AB59"/>
  <c r="AB61" s="1"/>
  <c r="BB41"/>
  <c r="BB40"/>
  <c r="BB39"/>
  <c r="BB38"/>
  <c r="T59"/>
  <c r="T61" s="1"/>
  <c r="U59"/>
  <c r="U61" s="1"/>
  <c r="V59"/>
  <c r="V61" s="1"/>
  <c r="W59"/>
  <c r="X59"/>
  <c r="X61" s="1"/>
  <c r="Y59"/>
  <c r="Y61" s="1"/>
  <c r="Z59"/>
  <c r="Z61" s="1"/>
  <c r="K42"/>
  <c r="L42"/>
  <c r="M42"/>
  <c r="N42"/>
  <c r="O42"/>
  <c r="P42"/>
  <c r="R42"/>
  <c r="AA42"/>
  <c r="AC42"/>
  <c r="AE42"/>
  <c r="AG42"/>
  <c r="AI42"/>
  <c r="AK42"/>
  <c r="AM42"/>
  <c r="AO42"/>
  <c r="AQ42"/>
  <c r="AS42"/>
  <c r="AU42"/>
  <c r="AW42"/>
  <c r="AY42"/>
  <c r="BA42"/>
  <c r="BC42"/>
  <c r="BE42"/>
  <c r="BG42"/>
  <c r="BI42"/>
  <c r="K16" i="44"/>
  <c r="L16"/>
  <c r="M16"/>
  <c r="O16"/>
  <c r="R16"/>
  <c r="Z30"/>
  <c r="Y30"/>
  <c r="W30"/>
  <c r="Z19"/>
  <c r="Y19"/>
  <c r="W19"/>
  <c r="Z15"/>
  <c r="Y15"/>
  <c r="X15"/>
  <c r="W15"/>
  <c r="BJ33" i="26"/>
  <c r="BJ32"/>
  <c r="BJ31"/>
  <c r="BJ30"/>
  <c r="Y99" i="45"/>
  <c r="Y100"/>
  <c r="Y101"/>
  <c r="BJ75"/>
  <c r="F75" s="1"/>
  <c r="R75" s="1"/>
  <c r="V75" s="1"/>
  <c r="BJ76"/>
  <c r="F76" s="1"/>
  <c r="BE76"/>
  <c r="BE75"/>
  <c r="BA76"/>
  <c r="BA75"/>
  <c r="AY76"/>
  <c r="AY75"/>
  <c r="AQ76"/>
  <c r="AQ75"/>
  <c r="AE76"/>
  <c r="AE75"/>
  <c r="AA76"/>
  <c r="AC76"/>
  <c r="AG76"/>
  <c r="AI76"/>
  <c r="AK76"/>
  <c r="AM76"/>
  <c r="AO76"/>
  <c r="AS76"/>
  <c r="AU76"/>
  <c r="AW76"/>
  <c r="BC76"/>
  <c r="BG76"/>
  <c r="BI76"/>
  <c r="AA75"/>
  <c r="AC75"/>
  <c r="AG75"/>
  <c r="AI75"/>
  <c r="AK75"/>
  <c r="AM75"/>
  <c r="AO75"/>
  <c r="AS75"/>
  <c r="AU75"/>
  <c r="AW75"/>
  <c r="BC75"/>
  <c r="BG75"/>
  <c r="BI75"/>
  <c r="BH28" i="43"/>
  <c r="BF28"/>
  <c r="BD28"/>
  <c r="BB28"/>
  <c r="AZ28"/>
  <c r="AX28"/>
  <c r="AT28"/>
  <c r="AR28"/>
  <c r="AP28"/>
  <c r="AN28"/>
  <c r="AL28"/>
  <c r="AJ28"/>
  <c r="AH28"/>
  <c r="AF28"/>
  <c r="AD28"/>
  <c r="AB28"/>
  <c r="AB26"/>
  <c r="AD26"/>
  <c r="AF26"/>
  <c r="AH26"/>
  <c r="AJ26"/>
  <c r="AN26"/>
  <c r="AP26"/>
  <c r="AR26"/>
  <c r="AT26"/>
  <c r="AV26"/>
  <c r="AX26"/>
  <c r="AZ26"/>
  <c r="BB26"/>
  <c r="BD26"/>
  <c r="BF26"/>
  <c r="BH26"/>
  <c r="AL26"/>
  <c r="BK15"/>
  <c r="BJ24"/>
  <c r="BJ29"/>
  <c r="BH24"/>
  <c r="BH29"/>
  <c r="BF24"/>
  <c r="BF29"/>
  <c r="BD24"/>
  <c r="BD29"/>
  <c r="BB34"/>
  <c r="BB31"/>
  <c r="BB29"/>
  <c r="BB24"/>
  <c r="AZ24"/>
  <c r="AZ29"/>
  <c r="AX24"/>
  <c r="AX29"/>
  <c r="AX31"/>
  <c r="AX34"/>
  <c r="AV24"/>
  <c r="AV29"/>
  <c r="AT41"/>
  <c r="AT40"/>
  <c r="AT39"/>
  <c r="AT38"/>
  <c r="AT19"/>
  <c r="AT17"/>
  <c r="AT16"/>
  <c r="AT31"/>
  <c r="AT29"/>
  <c r="AT24"/>
  <c r="AR41"/>
  <c r="AR40"/>
  <c r="AR39"/>
  <c r="AR38"/>
  <c r="AR37"/>
  <c r="AR34"/>
  <c r="AR31"/>
  <c r="AR29"/>
  <c r="AR24"/>
  <c r="AR22"/>
  <c r="AR19"/>
  <c r="AR17"/>
  <c r="AP24"/>
  <c r="AP29"/>
  <c r="AN41"/>
  <c r="AN40"/>
  <c r="AN39"/>
  <c r="AN38"/>
  <c r="AN37"/>
  <c r="AN12"/>
  <c r="AN17"/>
  <c r="AN16"/>
  <c r="AN15"/>
  <c r="AN29"/>
  <c r="AN31"/>
  <c r="AN34"/>
  <c r="AN22"/>
  <c r="AL29"/>
  <c r="AL24"/>
  <c r="AJ24"/>
  <c r="AJ29"/>
  <c r="AH24"/>
  <c r="AH29"/>
  <c r="AF24"/>
  <c r="AF29"/>
  <c r="AD24"/>
  <c r="AD29"/>
  <c r="AB24"/>
  <c r="AB29"/>
  <c r="AW68" i="45"/>
  <c r="BI68"/>
  <c r="AW67"/>
  <c r="BI67"/>
  <c r="BL36" i="43"/>
  <c r="AC29" i="48"/>
  <c r="AA29"/>
  <c r="Y29"/>
  <c r="W29"/>
  <c r="U29"/>
  <c r="S29"/>
  <c r="Q29"/>
  <c r="O29"/>
  <c r="M29"/>
  <c r="K29"/>
  <c r="I29"/>
  <c r="G29"/>
  <c r="E29"/>
  <c r="BE46" i="47"/>
  <c r="AO46"/>
  <c r="AP14" i="46"/>
  <c r="AP12"/>
  <c r="AP21"/>
  <c r="AP20"/>
  <c r="AP31"/>
  <c r="AP29"/>
  <c r="AP27"/>
  <c r="AP41"/>
  <c r="AP39"/>
  <c r="AP38"/>
  <c r="AP52"/>
  <c r="AP51"/>
  <c r="AP49"/>
  <c r="AP48"/>
  <c r="AP46"/>
  <c r="AP44"/>
  <c r="AP61"/>
  <c r="AP60"/>
  <c r="AP59"/>
  <c r="AP64"/>
  <c r="AP65" s="1"/>
  <c r="AC12" i="25"/>
  <c r="BJ84" i="24"/>
  <c r="F84" s="1"/>
  <c r="E44" i="25"/>
  <c r="BJ42" i="24"/>
  <c r="BI43"/>
  <c r="BK43" s="1"/>
  <c r="BJ43"/>
  <c r="F43" s="1"/>
  <c r="AL34" i="47"/>
  <c r="AZ34"/>
  <c r="BA34" s="1"/>
  <c r="AD34"/>
  <c r="BE50" i="46"/>
  <c r="AY50"/>
  <c r="AW50"/>
  <c r="AU50"/>
  <c r="BH50"/>
  <c r="BD50"/>
  <c r="AL45"/>
  <c r="AN45"/>
  <c r="AP45"/>
  <c r="AB45"/>
  <c r="BH39"/>
  <c r="BF39"/>
  <c r="BI39"/>
  <c r="E39" s="1"/>
  <c r="BD39"/>
  <c r="BB39"/>
  <c r="AZ39"/>
  <c r="AX39"/>
  <c r="AV39"/>
  <c r="AT39"/>
  <c r="AR39"/>
  <c r="AN39"/>
  <c r="AL39"/>
  <c r="AJ39"/>
  <c r="AH39"/>
  <c r="AF39"/>
  <c r="AD39"/>
  <c r="AB39"/>
  <c r="Z39"/>
  <c r="BG38"/>
  <c r="BI38" s="1"/>
  <c r="E38" s="1"/>
  <c r="BF38"/>
  <c r="BD38"/>
  <c r="BB38"/>
  <c r="AZ38"/>
  <c r="AX38"/>
  <c r="AV38"/>
  <c r="AT38"/>
  <c r="AR38"/>
  <c r="AN38"/>
  <c r="AL38"/>
  <c r="AJ38"/>
  <c r="AH38"/>
  <c r="AF38"/>
  <c r="AD38"/>
  <c r="AB38"/>
  <c r="Z38"/>
  <c r="BD34"/>
  <c r="BD35" s="1"/>
  <c r="AZ34"/>
  <c r="AZ35" s="1"/>
  <c r="AX34"/>
  <c r="AX35" s="1"/>
  <c r="AV34"/>
  <c r="AT34"/>
  <c r="AT35" s="1"/>
  <c r="AR34"/>
  <c r="AR35" s="1"/>
  <c r="AP34"/>
  <c r="AP35" s="1"/>
  <c r="AN34"/>
  <c r="AN35" s="1"/>
  <c r="AL34"/>
  <c r="AL35" s="1"/>
  <c r="AH34"/>
  <c r="AH35" s="1"/>
  <c r="AF34"/>
  <c r="AD34"/>
  <c r="AD35"/>
  <c r="AB34"/>
  <c r="Z34"/>
  <c r="Z35" s="1"/>
  <c r="BH34"/>
  <c r="BB34"/>
  <c r="BB35" s="1"/>
  <c r="BH30"/>
  <c r="BD30"/>
  <c r="BB30"/>
  <c r="AZ30"/>
  <c r="AX30"/>
  <c r="AV30"/>
  <c r="AT30"/>
  <c r="AR30"/>
  <c r="AP30"/>
  <c r="AN30"/>
  <c r="AL30"/>
  <c r="AJ30"/>
  <c r="AH30"/>
  <c r="AF30"/>
  <c r="AD30"/>
  <c r="AB30"/>
  <c r="Z30"/>
  <c r="BB28"/>
  <c r="AX28"/>
  <c r="AV28"/>
  <c r="AP28"/>
  <c r="AN28"/>
  <c r="BH28"/>
  <c r="BF28"/>
  <c r="BG27"/>
  <c r="BI27" s="1"/>
  <c r="E27" s="1"/>
  <c r="AV31"/>
  <c r="AV29"/>
  <c r="AV27"/>
  <c r="AP24"/>
  <c r="AL24"/>
  <c r="AJ24"/>
  <c r="AB24"/>
  <c r="AP23"/>
  <c r="AL23"/>
  <c r="AB23"/>
  <c r="AP22"/>
  <c r="AN22"/>
  <c r="AB22"/>
  <c r="BG20"/>
  <c r="BG25" s="1"/>
  <c r="AB64"/>
  <c r="AB65" s="1"/>
  <c r="AB61"/>
  <c r="AB60"/>
  <c r="AB59"/>
  <c r="AB51"/>
  <c r="AB49"/>
  <c r="AB48"/>
  <c r="AB46"/>
  <c r="AB44"/>
  <c r="AB41"/>
  <c r="AB31"/>
  <c r="AB29"/>
  <c r="AB27"/>
  <c r="AB14"/>
  <c r="AB12"/>
  <c r="AP16"/>
  <c r="AP17" s="1"/>
  <c r="AB16"/>
  <c r="AX14"/>
  <c r="BJ10" i="47"/>
  <c r="F10" s="1"/>
  <c r="AB46"/>
  <c r="AB49" s="1"/>
  <c r="AD46"/>
  <c r="AF46"/>
  <c r="AH46"/>
  <c r="AH49" s="1"/>
  <c r="AJ46"/>
  <c r="AJ49" s="1"/>
  <c r="AL46"/>
  <c r="AR46"/>
  <c r="AT46"/>
  <c r="AT49" s="1"/>
  <c r="BG42"/>
  <c r="BE42"/>
  <c r="BC42"/>
  <c r="BA42"/>
  <c r="AY42"/>
  <c r="AW42"/>
  <c r="AU42"/>
  <c r="AS42"/>
  <c r="AQ42"/>
  <c r="AO42"/>
  <c r="AM42"/>
  <c r="AK42"/>
  <c r="BG38"/>
  <c r="BE38"/>
  <c r="BC38"/>
  <c r="AY38"/>
  <c r="AW38"/>
  <c r="AU38"/>
  <c r="AQ38"/>
  <c r="AG38"/>
  <c r="AE38"/>
  <c r="BG35"/>
  <c r="BE35"/>
  <c r="BC35"/>
  <c r="BA35"/>
  <c r="AY35"/>
  <c r="AW35"/>
  <c r="AU35"/>
  <c r="AQ35"/>
  <c r="AO35"/>
  <c r="AM35"/>
  <c r="AK35"/>
  <c r="AI35"/>
  <c r="AG35"/>
  <c r="AC35"/>
  <c r="AA35"/>
  <c r="BF34"/>
  <c r="BB34"/>
  <c r="BB44" s="1"/>
  <c r="AX34"/>
  <c r="AX44" s="1"/>
  <c r="AT34"/>
  <c r="AU34" s="1"/>
  <c r="AR34"/>
  <c r="AP34"/>
  <c r="AP44" s="1"/>
  <c r="AJ34"/>
  <c r="AH34"/>
  <c r="AH44" s="1"/>
  <c r="AF34"/>
  <c r="AG34"/>
  <c r="AB34"/>
  <c r="Z34"/>
  <c r="U17" i="41"/>
  <c r="W17"/>
  <c r="X17"/>
  <c r="Y33" i="26"/>
  <c r="W25"/>
  <c r="X25"/>
  <c r="Y25"/>
  <c r="W26"/>
  <c r="X26"/>
  <c r="Y26"/>
  <c r="V13" i="24"/>
  <c r="X13"/>
  <c r="Y13"/>
  <c r="V14"/>
  <c r="X14"/>
  <c r="Y14"/>
  <c r="V15"/>
  <c r="X15"/>
  <c r="Y15"/>
  <c r="V17"/>
  <c r="X17"/>
  <c r="Y17"/>
  <c r="V18"/>
  <c r="X18"/>
  <c r="Y18"/>
  <c r="V19"/>
  <c r="X19"/>
  <c r="Y19"/>
  <c r="V20"/>
  <c r="X20"/>
  <c r="Y20"/>
  <c r="V21"/>
  <c r="X21"/>
  <c r="Y21"/>
  <c r="V22"/>
  <c r="X22"/>
  <c r="Y22"/>
  <c r="V23"/>
  <c r="X23"/>
  <c r="Y23"/>
  <c r="V24"/>
  <c r="X24"/>
  <c r="Y24"/>
  <c r="BJ101" i="45"/>
  <c r="BJ100"/>
  <c r="F100" s="1"/>
  <c r="BJ99"/>
  <c r="F99" s="1"/>
  <c r="BJ98"/>
  <c r="F98" s="1"/>
  <c r="BJ95"/>
  <c r="F95" s="1"/>
  <c r="BJ93"/>
  <c r="F93" s="1"/>
  <c r="G93" s="1"/>
  <c r="H93" s="1"/>
  <c r="BJ92"/>
  <c r="F92" s="1"/>
  <c r="BJ91"/>
  <c r="F91" s="1"/>
  <c r="BJ90"/>
  <c r="F90" s="1"/>
  <c r="BJ88"/>
  <c r="F88" s="1"/>
  <c r="S88" s="1"/>
  <c r="W88" s="1"/>
  <c r="BJ87"/>
  <c r="F87" s="1"/>
  <c r="BJ86"/>
  <c r="F86" s="1"/>
  <c r="S86" s="1"/>
  <c r="BJ83"/>
  <c r="F83" s="1"/>
  <c r="BJ82"/>
  <c r="F82" s="1"/>
  <c r="BJ81"/>
  <c r="F81" s="1"/>
  <c r="BJ80"/>
  <c r="F80" s="1"/>
  <c r="BJ79"/>
  <c r="F79" s="1"/>
  <c r="BJ73"/>
  <c r="F73" s="1"/>
  <c r="BJ72"/>
  <c r="F72" s="1"/>
  <c r="BJ71"/>
  <c r="F71" s="1"/>
  <c r="S71" s="1"/>
  <c r="W71" s="1"/>
  <c r="BJ70"/>
  <c r="F70" s="1"/>
  <c r="BJ69"/>
  <c r="F69" s="1"/>
  <c r="R69" s="1"/>
  <c r="BJ59"/>
  <c r="F59" s="1"/>
  <c r="U59" s="1"/>
  <c r="Y59" s="1"/>
  <c r="BJ58"/>
  <c r="F58" s="1"/>
  <c r="BJ54"/>
  <c r="F54" s="1"/>
  <c r="BJ53"/>
  <c r="BJ37"/>
  <c r="F37" s="1"/>
  <c r="BJ36"/>
  <c r="F36" s="1"/>
  <c r="R36" s="1"/>
  <c r="BJ19"/>
  <c r="F19" s="1"/>
  <c r="BJ18"/>
  <c r="F18" s="1"/>
  <c r="BJ14"/>
  <c r="F14" s="1"/>
  <c r="BJ13"/>
  <c r="F13" s="1"/>
  <c r="AN64" i="46"/>
  <c r="AN65" s="1"/>
  <c r="AN61"/>
  <c r="AN60"/>
  <c r="AN59"/>
  <c r="AN52"/>
  <c r="AN51"/>
  <c r="AN49"/>
  <c r="AN48"/>
  <c r="AN46"/>
  <c r="AN44"/>
  <c r="AN41"/>
  <c r="AN31"/>
  <c r="AN29"/>
  <c r="AN27"/>
  <c r="AN24"/>
  <c r="AN23"/>
  <c r="AN21"/>
  <c r="AN20"/>
  <c r="AN16"/>
  <c r="AN17" s="1"/>
  <c r="AN12"/>
  <c r="AN15" s="1"/>
  <c r="AL64"/>
  <c r="AL65" s="1"/>
  <c r="AL61"/>
  <c r="AL60"/>
  <c r="AL59"/>
  <c r="AL51"/>
  <c r="AL49"/>
  <c r="AL48"/>
  <c r="AL46"/>
  <c r="AL44"/>
  <c r="AL41"/>
  <c r="AL31"/>
  <c r="AL29"/>
  <c r="AL27"/>
  <c r="AL22"/>
  <c r="AL21"/>
  <c r="AL20"/>
  <c r="AL16"/>
  <c r="AL17" s="1"/>
  <c r="AL14"/>
  <c r="AL12"/>
  <c r="AJ64"/>
  <c r="AJ65" s="1"/>
  <c r="AJ61"/>
  <c r="AJ60"/>
  <c r="AJ59"/>
  <c r="AJ52"/>
  <c r="AJ51"/>
  <c r="AJ49"/>
  <c r="AJ48"/>
  <c r="AJ46"/>
  <c r="AJ45"/>
  <c r="AJ44"/>
  <c r="AJ41"/>
  <c r="AJ31"/>
  <c r="AJ29"/>
  <c r="AJ27"/>
  <c r="AJ23"/>
  <c r="AJ22"/>
  <c r="AJ20"/>
  <c r="AJ16"/>
  <c r="AJ14"/>
  <c r="AJ12"/>
  <c r="BB64"/>
  <c r="BB65" s="1"/>
  <c r="BB61"/>
  <c r="BB60"/>
  <c r="BB59"/>
  <c r="BB51"/>
  <c r="BB49"/>
  <c r="BB48"/>
  <c r="BB46"/>
  <c r="BB45"/>
  <c r="BB44"/>
  <c r="BB41"/>
  <c r="BB31"/>
  <c r="BB29"/>
  <c r="BB27"/>
  <c r="BB24"/>
  <c r="BB23"/>
  <c r="BB22"/>
  <c r="BB16"/>
  <c r="BB14"/>
  <c r="BB12"/>
  <c r="AZ12"/>
  <c r="BI64"/>
  <c r="E64" s="1"/>
  <c r="BI61"/>
  <c r="BI60"/>
  <c r="E60" s="1"/>
  <c r="BI59"/>
  <c r="E59" s="1"/>
  <c r="E51"/>
  <c r="E49"/>
  <c r="E48"/>
  <c r="BI46"/>
  <c r="E46" s="1"/>
  <c r="BI44"/>
  <c r="E44" s="1"/>
  <c r="BI41"/>
  <c r="E41" s="1"/>
  <c r="BI31"/>
  <c r="E31" s="1"/>
  <c r="BI29"/>
  <c r="E29" s="1"/>
  <c r="BI16"/>
  <c r="BI14"/>
  <c r="BI12"/>
  <c r="E12" s="1"/>
  <c r="I32"/>
  <c r="J32"/>
  <c r="K32"/>
  <c r="L32"/>
  <c r="M32"/>
  <c r="N32"/>
  <c r="O32"/>
  <c r="P32"/>
  <c r="I25"/>
  <c r="J25"/>
  <c r="K25"/>
  <c r="L25"/>
  <c r="M25"/>
  <c r="N25"/>
  <c r="O25"/>
  <c r="P25"/>
  <c r="AM25"/>
  <c r="AO25"/>
  <c r="I17"/>
  <c r="J17"/>
  <c r="K17"/>
  <c r="L17"/>
  <c r="M17"/>
  <c r="N17"/>
  <c r="O17"/>
  <c r="P17"/>
  <c r="I15"/>
  <c r="J15"/>
  <c r="K15"/>
  <c r="L15"/>
  <c r="M15"/>
  <c r="N15"/>
  <c r="O15"/>
  <c r="P15"/>
  <c r="J15" i="47"/>
  <c r="K15"/>
  <c r="L15"/>
  <c r="M15"/>
  <c r="N15"/>
  <c r="O15"/>
  <c r="P15"/>
  <c r="Q15"/>
  <c r="J25"/>
  <c r="K25"/>
  <c r="L25"/>
  <c r="M25"/>
  <c r="N25"/>
  <c r="O25"/>
  <c r="P25"/>
  <c r="Q25"/>
  <c r="J32"/>
  <c r="K32"/>
  <c r="L32"/>
  <c r="M32"/>
  <c r="N32"/>
  <c r="O32"/>
  <c r="P32"/>
  <c r="Q32"/>
  <c r="J49"/>
  <c r="K49"/>
  <c r="L49"/>
  <c r="M49"/>
  <c r="N49"/>
  <c r="O49"/>
  <c r="P49"/>
  <c r="Q49"/>
  <c r="AB32"/>
  <c r="AD32"/>
  <c r="AF32"/>
  <c r="AH32"/>
  <c r="AJ32"/>
  <c r="AL32"/>
  <c r="AN32"/>
  <c r="AP32"/>
  <c r="AR32"/>
  <c r="AT32"/>
  <c r="AV32"/>
  <c r="AX32"/>
  <c r="AZ32"/>
  <c r="BB32"/>
  <c r="BD32"/>
  <c r="BF32"/>
  <c r="BH32"/>
  <c r="AB15"/>
  <c r="AD15"/>
  <c r="AF15"/>
  <c r="AH15"/>
  <c r="AJ15"/>
  <c r="AL15"/>
  <c r="AN15"/>
  <c r="AP15"/>
  <c r="AR15"/>
  <c r="AT15"/>
  <c r="AV15"/>
  <c r="AX15"/>
  <c r="AZ15"/>
  <c r="BB15"/>
  <c r="BD15"/>
  <c r="BF15"/>
  <c r="BH15"/>
  <c r="BJ48"/>
  <c r="BJ47"/>
  <c r="BJ24"/>
  <c r="F24" s="1"/>
  <c r="BJ22"/>
  <c r="BK33" i="26"/>
  <c r="BK32"/>
  <c r="G32" s="1"/>
  <c r="H32" s="1"/>
  <c r="BK31"/>
  <c r="G31" s="1"/>
  <c r="H31" s="1"/>
  <c r="BQ31" s="1"/>
  <c r="BK30"/>
  <c r="G30" s="1"/>
  <c r="G34" s="1"/>
  <c r="BK29"/>
  <c r="G29" s="1"/>
  <c r="H29" s="1"/>
  <c r="BK28"/>
  <c r="BK26"/>
  <c r="BK25"/>
  <c r="G25" s="1"/>
  <c r="H25" s="1"/>
  <c r="BK24"/>
  <c r="G24" s="1"/>
  <c r="BK23"/>
  <c r="BK21"/>
  <c r="G21" s="1"/>
  <c r="BK20"/>
  <c r="G20" s="1"/>
  <c r="H20" s="1"/>
  <c r="BP20" s="1"/>
  <c r="BS20" s="1"/>
  <c r="BK19"/>
  <c r="BK17"/>
  <c r="G17" s="1"/>
  <c r="BK16"/>
  <c r="G16" s="1"/>
  <c r="BK12"/>
  <c r="BJ25"/>
  <c r="BJ26"/>
  <c r="BJ24"/>
  <c r="BJ21"/>
  <c r="BJ20"/>
  <c r="BJ17"/>
  <c r="BJ18" s="1"/>
  <c r="AL16"/>
  <c r="AL18" s="1"/>
  <c r="AP16"/>
  <c r="AP18" s="1"/>
  <c r="AV16"/>
  <c r="AV18" s="1"/>
  <c r="AX16"/>
  <c r="AX18" s="1"/>
  <c r="AZ16"/>
  <c r="AZ18" s="1"/>
  <c r="BB16"/>
  <c r="BD16"/>
  <c r="BD18" s="1"/>
  <c r="BF16"/>
  <c r="BF18" s="1"/>
  <c r="BH16"/>
  <c r="BH18" s="1"/>
  <c r="BJ12"/>
  <c r="BJ13"/>
  <c r="BJ14" s="1"/>
  <c r="BH13"/>
  <c r="BH14" s="1"/>
  <c r="BD13"/>
  <c r="AZ13"/>
  <c r="AZ14" s="1"/>
  <c r="AX13"/>
  <c r="AX14" s="1"/>
  <c r="AV13"/>
  <c r="AP13"/>
  <c r="AP14" s="1"/>
  <c r="AL13"/>
  <c r="AL14" s="1"/>
  <c r="J88" i="24"/>
  <c r="K88"/>
  <c r="L88"/>
  <c r="M88"/>
  <c r="N88"/>
  <c r="O88"/>
  <c r="P88"/>
  <c r="Q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J79"/>
  <c r="K79"/>
  <c r="L79"/>
  <c r="M79"/>
  <c r="N79"/>
  <c r="O79"/>
  <c r="P79"/>
  <c r="Q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D48"/>
  <c r="BE48"/>
  <c r="BF48"/>
  <c r="BG48"/>
  <c r="BH48"/>
  <c r="J33"/>
  <c r="K33"/>
  <c r="L33"/>
  <c r="M33"/>
  <c r="N33"/>
  <c r="O33"/>
  <c r="P33"/>
  <c r="Q33"/>
  <c r="R33"/>
  <c r="T33"/>
  <c r="U33"/>
  <c r="V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J25"/>
  <c r="K25"/>
  <c r="L25"/>
  <c r="M25"/>
  <c r="N25"/>
  <c r="O25"/>
  <c r="P25"/>
  <c r="Q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AU47" i="25"/>
  <c r="AK14"/>
  <c r="AK16" s="1"/>
  <c r="AK51"/>
  <c r="AK52"/>
  <c r="AK53"/>
  <c r="AK54"/>
  <c r="AK50"/>
  <c r="AO51"/>
  <c r="AO52"/>
  <c r="AO53"/>
  <c r="AO54"/>
  <c r="AO50"/>
  <c r="AN55"/>
  <c r="AU51"/>
  <c r="AU52"/>
  <c r="AU53"/>
  <c r="AU54"/>
  <c r="AU50"/>
  <c r="AW51"/>
  <c r="AW52"/>
  <c r="AW53"/>
  <c r="AW54"/>
  <c r="AW50"/>
  <c r="AY51"/>
  <c r="AY52"/>
  <c r="AY53"/>
  <c r="AY54"/>
  <c r="AY50"/>
  <c r="AV55"/>
  <c r="BJ51"/>
  <c r="F51" s="1"/>
  <c r="BJ52"/>
  <c r="F52" s="1"/>
  <c r="BJ53"/>
  <c r="BJ50"/>
  <c r="F50" s="1"/>
  <c r="BJ35"/>
  <c r="F35" s="1"/>
  <c r="BJ36"/>
  <c r="F36" s="1"/>
  <c r="BJ37"/>
  <c r="F37" s="1"/>
  <c r="BJ38"/>
  <c r="F38" s="1"/>
  <c r="BJ39"/>
  <c r="BJ40"/>
  <c r="F40" s="1"/>
  <c r="BJ41"/>
  <c r="F41" s="1"/>
  <c r="BJ42"/>
  <c r="F42" s="1"/>
  <c r="BJ43"/>
  <c r="F43" s="1"/>
  <c r="BJ44"/>
  <c r="F44" s="1"/>
  <c r="BJ45"/>
  <c r="F45" s="1"/>
  <c r="BJ46"/>
  <c r="F46" s="1"/>
  <c r="R46" s="1"/>
  <c r="V46" s="1"/>
  <c r="BJ47"/>
  <c r="F47" s="1"/>
  <c r="BJ34"/>
  <c r="F34" s="1"/>
  <c r="S34" s="1"/>
  <c r="W34" s="1"/>
  <c r="BJ19"/>
  <c r="BJ21"/>
  <c r="F21" s="1"/>
  <c r="BJ22"/>
  <c r="F22" s="1"/>
  <c r="BJ23"/>
  <c r="F23" s="1"/>
  <c r="G23" s="1"/>
  <c r="BJ24"/>
  <c r="F24" s="1"/>
  <c r="BJ25"/>
  <c r="F25" s="1"/>
  <c r="BJ26"/>
  <c r="F26" s="1"/>
  <c r="BJ27"/>
  <c r="F27" s="1"/>
  <c r="BJ28"/>
  <c r="F28" s="1"/>
  <c r="BJ29"/>
  <c r="F29" s="1"/>
  <c r="BJ18"/>
  <c r="F18" s="1"/>
  <c r="BJ13"/>
  <c r="F13" s="1"/>
  <c r="BJ14"/>
  <c r="F14" s="1"/>
  <c r="S14" s="1"/>
  <c r="S16" s="1"/>
  <c r="BJ12"/>
  <c r="AY21"/>
  <c r="AY22"/>
  <c r="AY23"/>
  <c r="AY24"/>
  <c r="AY25"/>
  <c r="AY26"/>
  <c r="AY27"/>
  <c r="AY28"/>
  <c r="AY29"/>
  <c r="AY18"/>
  <c r="AW21"/>
  <c r="AW22"/>
  <c r="AW23"/>
  <c r="AW24"/>
  <c r="AW25"/>
  <c r="AW26"/>
  <c r="AW27"/>
  <c r="AW28"/>
  <c r="AW29"/>
  <c r="AW18"/>
  <c r="AU21"/>
  <c r="AU22"/>
  <c r="AU23"/>
  <c r="AU24"/>
  <c r="AU25"/>
  <c r="AU26"/>
  <c r="AU27"/>
  <c r="AU28"/>
  <c r="AU29"/>
  <c r="AU18"/>
  <c r="AO21"/>
  <c r="AO22"/>
  <c r="AO23"/>
  <c r="AO24"/>
  <c r="AO25"/>
  <c r="AO26"/>
  <c r="AO27"/>
  <c r="AO28"/>
  <c r="AO29"/>
  <c r="AO18"/>
  <c r="AK21"/>
  <c r="AK22"/>
  <c r="AK23"/>
  <c r="AK24"/>
  <c r="AK25"/>
  <c r="AK26"/>
  <c r="AK27"/>
  <c r="AK28"/>
  <c r="AK18"/>
  <c r="AK35"/>
  <c r="AK36"/>
  <c r="AK37"/>
  <c r="AK38"/>
  <c r="AK39"/>
  <c r="AK40"/>
  <c r="AK41"/>
  <c r="AK42"/>
  <c r="AK43"/>
  <c r="AK45"/>
  <c r="AK46"/>
  <c r="AK47"/>
  <c r="AK34"/>
  <c r="AO35"/>
  <c r="AO36"/>
  <c r="AO37"/>
  <c r="AO38"/>
  <c r="AO39"/>
  <c r="AO40"/>
  <c r="AO41"/>
  <c r="AO42"/>
  <c r="AO43"/>
  <c r="AO45"/>
  <c r="AO46"/>
  <c r="AO47"/>
  <c r="AO34"/>
  <c r="AU35"/>
  <c r="AU36"/>
  <c r="AU37"/>
  <c r="AU38"/>
  <c r="AU39"/>
  <c r="AU40"/>
  <c r="AU41"/>
  <c r="AU42"/>
  <c r="AU43"/>
  <c r="AU45"/>
  <c r="AU46"/>
  <c r="AU34"/>
  <c r="AW35"/>
  <c r="AW36"/>
  <c r="AW37"/>
  <c r="AW38"/>
  <c r="AW39"/>
  <c r="AW40"/>
  <c r="AW41"/>
  <c r="AW42"/>
  <c r="AW43"/>
  <c r="AW44"/>
  <c r="AW45"/>
  <c r="AW46"/>
  <c r="AW47"/>
  <c r="AW34"/>
  <c r="AY35"/>
  <c r="AY36"/>
  <c r="AY37"/>
  <c r="AY38"/>
  <c r="AY39"/>
  <c r="AY40"/>
  <c r="AY41"/>
  <c r="AY42"/>
  <c r="AY43"/>
  <c r="AY45"/>
  <c r="AY46"/>
  <c r="AY47"/>
  <c r="AY34"/>
  <c r="Z55"/>
  <c r="AB55"/>
  <c r="AD55"/>
  <c r="AF55"/>
  <c r="AH55"/>
  <c r="AJ55"/>
  <c r="AL55"/>
  <c r="AP55"/>
  <c r="AR55"/>
  <c r="AT55"/>
  <c r="AX55"/>
  <c r="AZ55"/>
  <c r="BB55"/>
  <c r="BF55"/>
  <c r="BH55"/>
  <c r="Z48"/>
  <c r="AB48"/>
  <c r="AD48"/>
  <c r="AF48"/>
  <c r="AH48"/>
  <c r="AJ48"/>
  <c r="AL48"/>
  <c r="AN48"/>
  <c r="AP48"/>
  <c r="AR48"/>
  <c r="AT48"/>
  <c r="AV48"/>
  <c r="AX48"/>
  <c r="AZ48"/>
  <c r="BB48"/>
  <c r="BD48"/>
  <c r="BF48"/>
  <c r="BH48"/>
  <c r="Z30"/>
  <c r="AB30"/>
  <c r="AD30"/>
  <c r="AF30"/>
  <c r="AH30"/>
  <c r="AJ30"/>
  <c r="AL30"/>
  <c r="AN30"/>
  <c r="AP30"/>
  <c r="AR30"/>
  <c r="AT30"/>
  <c r="AV30"/>
  <c r="AX30"/>
  <c r="AZ30"/>
  <c r="BB30"/>
  <c r="BD30"/>
  <c r="BF30"/>
  <c r="BH30"/>
  <c r="AV56"/>
  <c r="AA27" i="39" s="1"/>
  <c r="BH56" i="25"/>
  <c r="AM27" i="39" s="1"/>
  <c r="W32" i="26"/>
  <c r="X32"/>
  <c r="Y32"/>
  <c r="Z32"/>
  <c r="AB32"/>
  <c r="AD32"/>
  <c r="AF32"/>
  <c r="AH32"/>
  <c r="AJ32"/>
  <c r="AN32"/>
  <c r="AR32"/>
  <c r="BS31"/>
  <c r="W20"/>
  <c r="X20"/>
  <c r="Z20"/>
  <c r="AB20"/>
  <c r="AD20"/>
  <c r="AF20"/>
  <c r="K39" i="42"/>
  <c r="N39"/>
  <c r="O39"/>
  <c r="P39"/>
  <c r="Q39"/>
  <c r="R39"/>
  <c r="AA39"/>
  <c r="AC39"/>
  <c r="AE39"/>
  <c r="AG39"/>
  <c r="AI39"/>
  <c r="AK39"/>
  <c r="AM39"/>
  <c r="AO39"/>
  <c r="AQ39"/>
  <c r="AS39"/>
  <c r="AU39"/>
  <c r="AW39"/>
  <c r="AY39"/>
  <c r="BA39"/>
  <c r="BC39"/>
  <c r="BE39"/>
  <c r="BG39"/>
  <c r="BI39"/>
  <c r="I19"/>
  <c r="J19"/>
  <c r="K19"/>
  <c r="L19"/>
  <c r="N19"/>
  <c r="P19"/>
  <c r="Q19"/>
  <c r="AA19"/>
  <c r="AC19"/>
  <c r="AE19"/>
  <c r="AG19"/>
  <c r="AI19"/>
  <c r="AK19"/>
  <c r="AM19"/>
  <c r="AO19"/>
  <c r="AQ19"/>
  <c r="AS19"/>
  <c r="AU19"/>
  <c r="AW19"/>
  <c r="AY19"/>
  <c r="BA19"/>
  <c r="BC19"/>
  <c r="BE19"/>
  <c r="BG19"/>
  <c r="BI19"/>
  <c r="AT12" i="43"/>
  <c r="AP102" i="45"/>
  <c r="AR102"/>
  <c r="AT102"/>
  <c r="AV102"/>
  <c r="AX102"/>
  <c r="AZ102"/>
  <c r="BB102"/>
  <c r="BD102"/>
  <c r="BF102"/>
  <c r="BH102"/>
  <c r="H39"/>
  <c r="I39"/>
  <c r="J39"/>
  <c r="K39"/>
  <c r="L39"/>
  <c r="N39"/>
  <c r="O39"/>
  <c r="P39"/>
  <c r="Q39"/>
  <c r="Z39"/>
  <c r="AB39"/>
  <c r="AD39"/>
  <c r="AH39"/>
  <c r="AJ39"/>
  <c r="AL39"/>
  <c r="AN39"/>
  <c r="AR39"/>
  <c r="AT39"/>
  <c r="AV39"/>
  <c r="AX39"/>
  <c r="AZ39"/>
  <c r="BB39"/>
  <c r="BH39"/>
  <c r="J34"/>
  <c r="K34"/>
  <c r="L34"/>
  <c r="N34"/>
  <c r="O34"/>
  <c r="Q34"/>
  <c r="AB34"/>
  <c r="AD34"/>
  <c r="AF34"/>
  <c r="AH34"/>
  <c r="AJ34"/>
  <c r="AL34"/>
  <c r="AN34"/>
  <c r="AP34"/>
  <c r="AR34"/>
  <c r="AT34"/>
  <c r="AV34"/>
  <c r="AX34"/>
  <c r="AZ34"/>
  <c r="BB34"/>
  <c r="BD34"/>
  <c r="BF34"/>
  <c r="BH34"/>
  <c r="J21"/>
  <c r="K21"/>
  <c r="L21"/>
  <c r="M21"/>
  <c r="N21"/>
  <c r="O21"/>
  <c r="P21"/>
  <c r="Q21"/>
  <c r="AB21"/>
  <c r="AD21"/>
  <c r="AF21"/>
  <c r="AH21"/>
  <c r="AJ21"/>
  <c r="AL21"/>
  <c r="AN21"/>
  <c r="AP21"/>
  <c r="AR21"/>
  <c r="AT21"/>
  <c r="AV21"/>
  <c r="AX21"/>
  <c r="AZ21"/>
  <c r="BB21"/>
  <c r="BD21"/>
  <c r="BF21"/>
  <c r="BH21"/>
  <c r="AY90" i="44"/>
  <c r="BA90"/>
  <c r="BC90"/>
  <c r="BE90"/>
  <c r="BG90"/>
  <c r="BI90"/>
  <c r="K83"/>
  <c r="L83"/>
  <c r="M83"/>
  <c r="N83"/>
  <c r="O83"/>
  <c r="P83"/>
  <c r="R83"/>
  <c r="AA83"/>
  <c r="AE83"/>
  <c r="AG83"/>
  <c r="AI83"/>
  <c r="AK83"/>
  <c r="AM83"/>
  <c r="AO83"/>
  <c r="AQ83"/>
  <c r="AS83"/>
  <c r="AU83"/>
  <c r="AW83"/>
  <c r="AY83"/>
  <c r="BA83"/>
  <c r="BC83"/>
  <c r="BE83"/>
  <c r="BG83"/>
  <c r="BI83"/>
  <c r="K65"/>
  <c r="L65"/>
  <c r="M65"/>
  <c r="N65"/>
  <c r="O65"/>
  <c r="P65"/>
  <c r="R65"/>
  <c r="V65"/>
  <c r="AA65"/>
  <c r="AE65"/>
  <c r="AG65"/>
  <c r="AI65"/>
  <c r="AK65"/>
  <c r="AM65"/>
  <c r="AO65"/>
  <c r="AQ65"/>
  <c r="AS65"/>
  <c r="AU65"/>
  <c r="AW65"/>
  <c r="AY65"/>
  <c r="BA65"/>
  <c r="BC65"/>
  <c r="BE65"/>
  <c r="BG65"/>
  <c r="BI65"/>
  <c r="K41"/>
  <c r="L41"/>
  <c r="M41"/>
  <c r="N41"/>
  <c r="O41"/>
  <c r="P41"/>
  <c r="R41"/>
  <c r="V41"/>
  <c r="AA41"/>
  <c r="AC41"/>
  <c r="AE41"/>
  <c r="AG41"/>
  <c r="AI41"/>
  <c r="AK41"/>
  <c r="AM41"/>
  <c r="AO41"/>
  <c r="AQ41"/>
  <c r="AS41"/>
  <c r="AU41"/>
  <c r="AW41"/>
  <c r="AY41"/>
  <c r="BA41"/>
  <c r="BC41"/>
  <c r="BE41"/>
  <c r="BG41"/>
  <c r="BI41"/>
  <c r="P16"/>
  <c r="AA16"/>
  <c r="AC16"/>
  <c r="AE16"/>
  <c r="AG16"/>
  <c r="AI16"/>
  <c r="AK16"/>
  <c r="AM16"/>
  <c r="AO16"/>
  <c r="AQ16"/>
  <c r="AS16"/>
  <c r="AU16"/>
  <c r="AW16"/>
  <c r="AY16"/>
  <c r="BA16"/>
  <c r="BC16"/>
  <c r="BE16"/>
  <c r="BG16"/>
  <c r="BI16"/>
  <c r="BJ86"/>
  <c r="BH86"/>
  <c r="BF86"/>
  <c r="BD86"/>
  <c r="BB86"/>
  <c r="AZ86"/>
  <c r="AX86"/>
  <c r="AV86"/>
  <c r="AR86"/>
  <c r="AP86"/>
  <c r="AN86"/>
  <c r="AL86"/>
  <c r="AJ86"/>
  <c r="AH86"/>
  <c r="AF86"/>
  <c r="AD86"/>
  <c r="AB86"/>
  <c r="W86"/>
  <c r="BJ85"/>
  <c r="BJ90" s="1"/>
  <c r="BH85"/>
  <c r="BF85"/>
  <c r="BD85"/>
  <c r="BB85"/>
  <c r="AZ85"/>
  <c r="AX85"/>
  <c r="AV85"/>
  <c r="AT85"/>
  <c r="AR85"/>
  <c r="AR90" s="1"/>
  <c r="AP85"/>
  <c r="AN85"/>
  <c r="AN90" s="1"/>
  <c r="AL85"/>
  <c r="AJ85"/>
  <c r="AH85"/>
  <c r="AF85"/>
  <c r="AD85"/>
  <c r="AB85"/>
  <c r="Z85"/>
  <c r="X85"/>
  <c r="W85"/>
  <c r="BK84"/>
  <c r="BJ84"/>
  <c r="BH84"/>
  <c r="BF84"/>
  <c r="BD84"/>
  <c r="BB84"/>
  <c r="AZ84"/>
  <c r="AX84"/>
  <c r="AV84"/>
  <c r="AT84"/>
  <c r="AR84"/>
  <c r="AP84"/>
  <c r="AN84"/>
  <c r="AL84"/>
  <c r="AJ84"/>
  <c r="AH84"/>
  <c r="AF84"/>
  <c r="AD84"/>
  <c r="AB84"/>
  <c r="BJ82"/>
  <c r="BH82"/>
  <c r="BF82"/>
  <c r="BD82"/>
  <c r="BB82"/>
  <c r="AZ82"/>
  <c r="AX82"/>
  <c r="AV82"/>
  <c r="AR82"/>
  <c r="AP82"/>
  <c r="AN82"/>
  <c r="AL82"/>
  <c r="AJ82"/>
  <c r="AH82"/>
  <c r="AF82"/>
  <c r="AB82"/>
  <c r="Z82"/>
  <c r="W82"/>
  <c r="BJ81"/>
  <c r="BH81"/>
  <c r="BF81"/>
  <c r="BD81"/>
  <c r="BB81"/>
  <c r="AZ81"/>
  <c r="AX81"/>
  <c r="AV81"/>
  <c r="AT81"/>
  <c r="AR81"/>
  <c r="AP81"/>
  <c r="AN81"/>
  <c r="AL81"/>
  <c r="AJ81"/>
  <c r="AH81"/>
  <c r="AF81"/>
  <c r="AD81"/>
  <c r="AB81"/>
  <c r="BJ80"/>
  <c r="BH80"/>
  <c r="BF80"/>
  <c r="BD80"/>
  <c r="BB80"/>
  <c r="AZ80"/>
  <c r="AX80"/>
  <c r="AV80"/>
  <c r="AT80"/>
  <c r="AR80"/>
  <c r="AP80"/>
  <c r="AN80"/>
  <c r="AL80"/>
  <c r="AJ80"/>
  <c r="AH80"/>
  <c r="AF80"/>
  <c r="AB80"/>
  <c r="BJ79"/>
  <c r="BH79"/>
  <c r="BF79"/>
  <c r="BD79"/>
  <c r="BB79"/>
  <c r="AZ79"/>
  <c r="AX79"/>
  <c r="AT79"/>
  <c r="AR79"/>
  <c r="AP79"/>
  <c r="AN79"/>
  <c r="AL79"/>
  <c r="AJ79"/>
  <c r="AH79"/>
  <c r="AF79"/>
  <c r="AD79"/>
  <c r="AB79"/>
  <c r="Z79"/>
  <c r="W79"/>
  <c r="BJ78"/>
  <c r="BH78"/>
  <c r="BF78"/>
  <c r="BD78"/>
  <c r="BB78"/>
  <c r="AZ78"/>
  <c r="AX78"/>
  <c r="AV78"/>
  <c r="AT78"/>
  <c r="AR78"/>
  <c r="AP78"/>
  <c r="AN78"/>
  <c r="AL78"/>
  <c r="AJ78"/>
  <c r="AH78"/>
  <c r="AF78"/>
  <c r="AD78"/>
  <c r="AB78"/>
  <c r="Z78"/>
  <c r="X78"/>
  <c r="W78"/>
  <c r="BJ77"/>
  <c r="BH77"/>
  <c r="BF77"/>
  <c r="BD77"/>
  <c r="BB77"/>
  <c r="AZ77"/>
  <c r="AX77"/>
  <c r="AV77"/>
  <c r="AT77"/>
  <c r="AR77"/>
  <c r="AP77"/>
  <c r="AN77"/>
  <c r="AL77"/>
  <c r="AJ77"/>
  <c r="AH77"/>
  <c r="AF77"/>
  <c r="AD77"/>
  <c r="AB77"/>
  <c r="Z77"/>
  <c r="X77"/>
  <c r="W77"/>
  <c r="BJ76"/>
  <c r="BH76"/>
  <c r="BF76"/>
  <c r="BD76"/>
  <c r="BB76"/>
  <c r="AZ76"/>
  <c r="AX76"/>
  <c r="AV76"/>
  <c r="AT76"/>
  <c r="AR76"/>
  <c r="AP76"/>
  <c r="AN76"/>
  <c r="AL76"/>
  <c r="AJ76"/>
  <c r="AH76"/>
  <c r="AF76"/>
  <c r="AD76"/>
  <c r="AB76"/>
  <c r="Y76"/>
  <c r="W76"/>
  <c r="BJ75"/>
  <c r="BH75"/>
  <c r="BF75"/>
  <c r="BD75"/>
  <c r="BB75"/>
  <c r="AZ75"/>
  <c r="AX75"/>
  <c r="AV75"/>
  <c r="AT75"/>
  <c r="AR75"/>
  <c r="AP75"/>
  <c r="AN75"/>
  <c r="AL75"/>
  <c r="AJ75"/>
  <c r="AH75"/>
  <c r="AF75"/>
  <c r="AD75"/>
  <c r="AB75"/>
  <c r="Z75"/>
  <c r="X75"/>
  <c r="W75"/>
  <c r="BJ74"/>
  <c r="BH74"/>
  <c r="BF74"/>
  <c r="BD74"/>
  <c r="BB74"/>
  <c r="AZ74"/>
  <c r="AX74"/>
  <c r="AV74"/>
  <c r="AT74"/>
  <c r="AR74"/>
  <c r="AP74"/>
  <c r="AN74"/>
  <c r="AL74"/>
  <c r="AJ74"/>
  <c r="AH74"/>
  <c r="AF74"/>
  <c r="AD74"/>
  <c r="AB74"/>
  <c r="Z74"/>
  <c r="X74"/>
  <c r="W74"/>
  <c r="BJ73"/>
  <c r="BH73"/>
  <c r="BF73"/>
  <c r="BD73"/>
  <c r="BB73"/>
  <c r="AZ73"/>
  <c r="AX73"/>
  <c r="AV73"/>
  <c r="AT73"/>
  <c r="AR73"/>
  <c r="AP73"/>
  <c r="AN73"/>
  <c r="AL73"/>
  <c r="AJ73"/>
  <c r="AH73"/>
  <c r="AF73"/>
  <c r="AD73"/>
  <c r="AB73"/>
  <c r="Z73"/>
  <c r="X73"/>
  <c r="W73"/>
  <c r="BJ72"/>
  <c r="BH72"/>
  <c r="BF72"/>
  <c r="BD72"/>
  <c r="BB72"/>
  <c r="AZ72"/>
  <c r="AX72"/>
  <c r="AV72"/>
  <c r="AT72"/>
  <c r="AR72"/>
  <c r="AP72"/>
  <c r="AN72"/>
  <c r="AL72"/>
  <c r="AJ72"/>
  <c r="AH72"/>
  <c r="AF72"/>
  <c r="AD72"/>
  <c r="AB72"/>
  <c r="Z72"/>
  <c r="Y72"/>
  <c r="BJ71"/>
  <c r="BH71"/>
  <c r="BF71"/>
  <c r="BD71"/>
  <c r="BB71"/>
  <c r="AZ71"/>
  <c r="AX71"/>
  <c r="AV71"/>
  <c r="AT71"/>
  <c r="AR71"/>
  <c r="AP71"/>
  <c r="AN71"/>
  <c r="AL71"/>
  <c r="AJ71"/>
  <c r="AH71"/>
  <c r="AF71"/>
  <c r="AD71"/>
  <c r="AB71"/>
  <c r="Y71"/>
  <c r="W71"/>
  <c r="BJ70"/>
  <c r="BH70"/>
  <c r="BF70"/>
  <c r="BD70"/>
  <c r="BB70"/>
  <c r="AZ70"/>
  <c r="AX70"/>
  <c r="AV70"/>
  <c r="AP70"/>
  <c r="AN70"/>
  <c r="AL70"/>
  <c r="AJ70"/>
  <c r="AH70"/>
  <c r="AF70"/>
  <c r="AD70"/>
  <c r="AB70"/>
  <c r="Z70"/>
  <c r="X70"/>
  <c r="W70"/>
  <c r="BJ69"/>
  <c r="BH69"/>
  <c r="BF69"/>
  <c r="BD69"/>
  <c r="BB69"/>
  <c r="AZ69"/>
  <c r="AX69"/>
  <c r="AV69"/>
  <c r="AT69"/>
  <c r="AR69"/>
  <c r="AP69"/>
  <c r="AN69"/>
  <c r="AL69"/>
  <c r="AJ69"/>
  <c r="AH69"/>
  <c r="AF69"/>
  <c r="AD69"/>
  <c r="AB69"/>
  <c r="Z69"/>
  <c r="X69"/>
  <c r="W69"/>
  <c r="BJ68"/>
  <c r="BH68"/>
  <c r="BF68"/>
  <c r="BD68"/>
  <c r="BB68"/>
  <c r="AZ68"/>
  <c r="AX68"/>
  <c r="AV68"/>
  <c r="AT68"/>
  <c r="AR68"/>
  <c r="AP68"/>
  <c r="AN68"/>
  <c r="AL68"/>
  <c r="AJ68"/>
  <c r="AH68"/>
  <c r="AF68"/>
  <c r="AD68"/>
  <c r="AB68"/>
  <c r="Z68"/>
  <c r="BJ67"/>
  <c r="BH67"/>
  <c r="BF67"/>
  <c r="BD67"/>
  <c r="BB67"/>
  <c r="AZ67"/>
  <c r="AX67"/>
  <c r="AV67"/>
  <c r="AT67"/>
  <c r="AR67"/>
  <c r="AP67"/>
  <c r="AN67"/>
  <c r="AL67"/>
  <c r="AJ67"/>
  <c r="AH67"/>
  <c r="AF67"/>
  <c r="AD67"/>
  <c r="AB67"/>
  <c r="Z67"/>
  <c r="W67"/>
  <c r="BJ66"/>
  <c r="BH66"/>
  <c r="BF66"/>
  <c r="BD66"/>
  <c r="BB66"/>
  <c r="AZ66"/>
  <c r="AX66"/>
  <c r="AV66"/>
  <c r="AT66"/>
  <c r="AR66"/>
  <c r="AP66"/>
  <c r="AN66"/>
  <c r="AL66"/>
  <c r="AJ66"/>
  <c r="AH66"/>
  <c r="AF66"/>
  <c r="AD66"/>
  <c r="AB66"/>
  <c r="BJ64"/>
  <c r="BH64"/>
  <c r="BD64"/>
  <c r="BB64"/>
  <c r="AZ64"/>
  <c r="AX64"/>
  <c r="AV64"/>
  <c r="AT64"/>
  <c r="AR64"/>
  <c r="AP64"/>
  <c r="AN64"/>
  <c r="AL64"/>
  <c r="AJ64"/>
  <c r="AH64"/>
  <c r="AF64"/>
  <c r="AD64"/>
  <c r="AB64"/>
  <c r="Z64"/>
  <c r="Y64"/>
  <c r="X64"/>
  <c r="W64"/>
  <c r="BJ63"/>
  <c r="BH63"/>
  <c r="BF63"/>
  <c r="BD63"/>
  <c r="BB63"/>
  <c r="AZ63"/>
  <c r="AX63"/>
  <c r="AV63"/>
  <c r="AT63"/>
  <c r="AR63"/>
  <c r="AP63"/>
  <c r="AN63"/>
  <c r="AL63"/>
  <c r="AJ63"/>
  <c r="AH63"/>
  <c r="AF63"/>
  <c r="AD63"/>
  <c r="AB63"/>
  <c r="Z63"/>
  <c r="Y63"/>
  <c r="X63"/>
  <c r="W63"/>
  <c r="BJ62"/>
  <c r="BH62"/>
  <c r="BF62"/>
  <c r="BD62"/>
  <c r="BB62"/>
  <c r="AZ62"/>
  <c r="AX62"/>
  <c r="AV62"/>
  <c r="AT62"/>
  <c r="AR62"/>
  <c r="AP62"/>
  <c r="AN62"/>
  <c r="AL62"/>
  <c r="AJ62"/>
  <c r="AH62"/>
  <c r="AF62"/>
  <c r="AD62"/>
  <c r="AB62"/>
  <c r="Z62"/>
  <c r="Y62"/>
  <c r="X62"/>
  <c r="W62"/>
  <c r="BJ61"/>
  <c r="BH61"/>
  <c r="BF61"/>
  <c r="BD61"/>
  <c r="BB61"/>
  <c r="AZ61"/>
  <c r="AX61"/>
  <c r="AV61"/>
  <c r="AT61"/>
  <c r="AR61"/>
  <c r="AP61"/>
  <c r="AN61"/>
  <c r="AL61"/>
  <c r="AJ61"/>
  <c r="AH61"/>
  <c r="AF61"/>
  <c r="AD61"/>
  <c r="AB61"/>
  <c r="Z61"/>
  <c r="Y61"/>
  <c r="X61"/>
  <c r="W61"/>
  <c r="BJ60"/>
  <c r="BH60"/>
  <c r="BF60"/>
  <c r="BD60"/>
  <c r="BB60"/>
  <c r="AZ60"/>
  <c r="AX60"/>
  <c r="AV60"/>
  <c r="AR60"/>
  <c r="AP60"/>
  <c r="AN60"/>
  <c r="AL60"/>
  <c r="AJ60"/>
  <c r="AH60"/>
  <c r="AF60"/>
  <c r="AB60"/>
  <c r="Z60"/>
  <c r="Y60"/>
  <c r="BJ59"/>
  <c r="BH59"/>
  <c r="BF59"/>
  <c r="BD59"/>
  <c r="BB59"/>
  <c r="AZ59"/>
  <c r="AX59"/>
  <c r="AV59"/>
  <c r="AT59"/>
  <c r="AR59"/>
  <c r="AP59"/>
  <c r="AN59"/>
  <c r="AL59"/>
  <c r="AJ59"/>
  <c r="AH59"/>
  <c r="AF59"/>
  <c r="AD59"/>
  <c r="AB59"/>
  <c r="Z59"/>
  <c r="Y59"/>
  <c r="BJ58"/>
  <c r="BH58"/>
  <c r="BF58"/>
  <c r="BD58"/>
  <c r="BB58"/>
  <c r="AZ58"/>
  <c r="AV58"/>
  <c r="AT58"/>
  <c r="AP58"/>
  <c r="AN58"/>
  <c r="AL58"/>
  <c r="AJ58"/>
  <c r="AH58"/>
  <c r="AF58"/>
  <c r="AD58"/>
  <c r="AB58"/>
  <c r="Z58"/>
  <c r="X58"/>
  <c r="W58"/>
  <c r="BJ57"/>
  <c r="BH57"/>
  <c r="BF57"/>
  <c r="BD57"/>
  <c r="BB57"/>
  <c r="AZ57"/>
  <c r="AX57"/>
  <c r="AV57"/>
  <c r="AT57"/>
  <c r="AR57"/>
  <c r="AP57"/>
  <c r="AN57"/>
  <c r="AL57"/>
  <c r="AJ57"/>
  <c r="AH57"/>
  <c r="AF57"/>
  <c r="AD57"/>
  <c r="AB57"/>
  <c r="Z57"/>
  <c r="X57"/>
  <c r="W57"/>
  <c r="BJ56"/>
  <c r="BH56"/>
  <c r="BF56"/>
  <c r="BD56"/>
  <c r="BB56"/>
  <c r="AZ56"/>
  <c r="AX56"/>
  <c r="AV56"/>
  <c r="AR56"/>
  <c r="AP56"/>
  <c r="AN56"/>
  <c r="AL56"/>
  <c r="AJ56"/>
  <c r="AH56"/>
  <c r="AF56"/>
  <c r="AD56"/>
  <c r="AB56"/>
  <c r="BJ55"/>
  <c r="BH55"/>
  <c r="BF55"/>
  <c r="BD55"/>
  <c r="BB55"/>
  <c r="AZ55"/>
  <c r="AX55"/>
  <c r="AV55"/>
  <c r="AR55"/>
  <c r="AP55"/>
  <c r="AN55"/>
  <c r="AL55"/>
  <c r="AJ55"/>
  <c r="AH55"/>
  <c r="AF55"/>
  <c r="AD55"/>
  <c r="AB55"/>
  <c r="Z55"/>
  <c r="BJ54"/>
  <c r="BH54"/>
  <c r="BF54"/>
  <c r="BD54"/>
  <c r="BB54"/>
  <c r="AZ54"/>
  <c r="AX54"/>
  <c r="AV54"/>
  <c r="AT54"/>
  <c r="AR54"/>
  <c r="AP54"/>
  <c r="AN54"/>
  <c r="AL54"/>
  <c r="AJ54"/>
  <c r="AH54"/>
  <c r="AF54"/>
  <c r="AD54"/>
  <c r="AB54"/>
  <c r="Z54"/>
  <c r="X54"/>
  <c r="W54"/>
  <c r="BJ53"/>
  <c r="BH53"/>
  <c r="BF53"/>
  <c r="BD53"/>
  <c r="BB53"/>
  <c r="AZ53"/>
  <c r="AX53"/>
  <c r="AV53"/>
  <c r="AT53"/>
  <c r="AR53"/>
  <c r="AP53"/>
  <c r="AN53"/>
  <c r="AL53"/>
  <c r="AJ53"/>
  <c r="AH53"/>
  <c r="AF53"/>
  <c r="AD53"/>
  <c r="AB53"/>
  <c r="Z53"/>
  <c r="X53"/>
  <c r="W53"/>
  <c r="BJ52"/>
  <c r="BH52"/>
  <c r="BF52"/>
  <c r="BD52"/>
  <c r="BB52"/>
  <c r="AZ52"/>
  <c r="AX52"/>
  <c r="AV52"/>
  <c r="AT52"/>
  <c r="AR52"/>
  <c r="AP52"/>
  <c r="AL52"/>
  <c r="AJ52"/>
  <c r="AH52"/>
  <c r="AF52"/>
  <c r="AB52"/>
  <c r="Z52"/>
  <c r="X52"/>
  <c r="W52"/>
  <c r="BJ51"/>
  <c r="BH51"/>
  <c r="BF51"/>
  <c r="BD51"/>
  <c r="BB51"/>
  <c r="AZ51"/>
  <c r="AX51"/>
  <c r="AV51"/>
  <c r="AT51"/>
  <c r="AR51"/>
  <c r="AP51"/>
  <c r="AL51"/>
  <c r="AJ51"/>
  <c r="AH51"/>
  <c r="AF51"/>
  <c r="AD51"/>
  <c r="AB51"/>
  <c r="Z51"/>
  <c r="X51"/>
  <c r="W51"/>
  <c r="BJ50"/>
  <c r="BH50"/>
  <c r="BF50"/>
  <c r="BD50"/>
  <c r="BB50"/>
  <c r="AZ50"/>
  <c r="AX50"/>
  <c r="AV50"/>
  <c r="AT50"/>
  <c r="AR50"/>
  <c r="AP50"/>
  <c r="AN50"/>
  <c r="AL50"/>
  <c r="AJ50"/>
  <c r="AH50"/>
  <c r="AF50"/>
  <c r="AD50"/>
  <c r="AB50"/>
  <c r="Z50"/>
  <c r="X50"/>
  <c r="W50"/>
  <c r="BJ49"/>
  <c r="BH49"/>
  <c r="BF49"/>
  <c r="BD49"/>
  <c r="BB49"/>
  <c r="AZ49"/>
  <c r="AX49"/>
  <c r="AV49"/>
  <c r="AT49"/>
  <c r="AR49"/>
  <c r="AP49"/>
  <c r="AN49"/>
  <c r="AL49"/>
  <c r="AJ49"/>
  <c r="AH49"/>
  <c r="AF49"/>
  <c r="AD49"/>
  <c r="AB49"/>
  <c r="Z49"/>
  <c r="W49"/>
  <c r="BJ48"/>
  <c r="BH48"/>
  <c r="BF48"/>
  <c r="BD48"/>
  <c r="BB48"/>
  <c r="AZ48"/>
  <c r="AX48"/>
  <c r="AV48"/>
  <c r="AT48"/>
  <c r="AR48"/>
  <c r="AP48"/>
  <c r="AN48"/>
  <c r="AL48"/>
  <c r="AJ48"/>
  <c r="AH48"/>
  <c r="AF48"/>
  <c r="AB48"/>
  <c r="Z48"/>
  <c r="W48"/>
  <c r="BJ47"/>
  <c r="BH47"/>
  <c r="BF47"/>
  <c r="BD47"/>
  <c r="BB47"/>
  <c r="AZ47"/>
  <c r="AX47"/>
  <c r="AV47"/>
  <c r="AT47"/>
  <c r="AR47"/>
  <c r="AP47"/>
  <c r="AN47"/>
  <c r="AL47"/>
  <c r="AJ47"/>
  <c r="AH47"/>
  <c r="AF47"/>
  <c r="AD47"/>
  <c r="AB47"/>
  <c r="Z47"/>
  <c r="Y47"/>
  <c r="BJ46"/>
  <c r="BH46"/>
  <c r="BF46"/>
  <c r="BD46"/>
  <c r="BB46"/>
  <c r="AX46"/>
  <c r="AV46"/>
  <c r="AT46"/>
  <c r="AR46"/>
  <c r="AP46"/>
  <c r="AN46"/>
  <c r="AL46"/>
  <c r="AJ46"/>
  <c r="AH46"/>
  <c r="AF46"/>
  <c r="AD46"/>
  <c r="AB46"/>
  <c r="Z46"/>
  <c r="W46"/>
  <c r="BJ45"/>
  <c r="BH45"/>
  <c r="BF45"/>
  <c r="BD45"/>
  <c r="BB45"/>
  <c r="AZ45"/>
  <c r="AX45"/>
  <c r="AV45"/>
  <c r="AT45"/>
  <c r="AR45"/>
  <c r="AP45"/>
  <c r="AN45"/>
  <c r="AL45"/>
  <c r="AJ45"/>
  <c r="AH45"/>
  <c r="AF45"/>
  <c r="AD45"/>
  <c r="AB45"/>
  <c r="Z45"/>
  <c r="BJ44"/>
  <c r="BH44"/>
  <c r="BF44"/>
  <c r="BD44"/>
  <c r="BB44"/>
  <c r="AZ44"/>
  <c r="AX44"/>
  <c r="AV44"/>
  <c r="AT44"/>
  <c r="AR44"/>
  <c r="AP44"/>
  <c r="AN44"/>
  <c r="AL44"/>
  <c r="AJ44"/>
  <c r="AH44"/>
  <c r="AF44"/>
  <c r="AD44"/>
  <c r="AB44"/>
  <c r="Z44"/>
  <c r="W44"/>
  <c r="BJ43"/>
  <c r="BH43"/>
  <c r="BF43"/>
  <c r="BD43"/>
  <c r="BB43"/>
  <c r="AZ43"/>
  <c r="AX43"/>
  <c r="AT43"/>
  <c r="AR43"/>
  <c r="AP43"/>
  <c r="AN43"/>
  <c r="AL43"/>
  <c r="AJ43"/>
  <c r="AH43"/>
  <c r="AF43"/>
  <c r="AD43"/>
  <c r="AB43"/>
  <c r="Z43"/>
  <c r="BV42"/>
  <c r="BO42"/>
  <c r="BS42" s="1"/>
  <c r="BM41"/>
  <c r="BJ40"/>
  <c r="BH40"/>
  <c r="BF40"/>
  <c r="BD40"/>
  <c r="BB40"/>
  <c r="AZ40"/>
  <c r="AX40"/>
  <c r="AV40"/>
  <c r="AR40"/>
  <c r="AP40"/>
  <c r="AN40"/>
  <c r="AL40"/>
  <c r="AJ40"/>
  <c r="AH40"/>
  <c r="AF40"/>
  <c r="AD40"/>
  <c r="AB40"/>
  <c r="Z40"/>
  <c r="BJ39"/>
  <c r="BH39"/>
  <c r="BF39"/>
  <c r="BD39"/>
  <c r="BB39"/>
  <c r="AZ39"/>
  <c r="AX39"/>
  <c r="AV39"/>
  <c r="AR39"/>
  <c r="AP39"/>
  <c r="AN39"/>
  <c r="AL39"/>
  <c r="AJ39"/>
  <c r="AH39"/>
  <c r="AF39"/>
  <c r="AD39"/>
  <c r="AB39"/>
  <c r="Z39"/>
  <c r="BJ37"/>
  <c r="BH37"/>
  <c r="BF37"/>
  <c r="BD37"/>
  <c r="BB37"/>
  <c r="AZ37"/>
  <c r="AX37"/>
  <c r="AV37"/>
  <c r="AT37"/>
  <c r="AR37"/>
  <c r="AP37"/>
  <c r="AN37"/>
  <c r="AL37"/>
  <c r="AJ37"/>
  <c r="AH37"/>
  <c r="AF37"/>
  <c r="AD37"/>
  <c r="AB37"/>
  <c r="Z37"/>
  <c r="BJ36"/>
  <c r="BH36"/>
  <c r="BF36"/>
  <c r="BD36"/>
  <c r="BB36"/>
  <c r="AZ36"/>
  <c r="AX36"/>
  <c r="AV36"/>
  <c r="AT36"/>
  <c r="AR36"/>
  <c r="AP36"/>
  <c r="AN36"/>
  <c r="AL36"/>
  <c r="AJ36"/>
  <c r="AH36"/>
  <c r="AF36"/>
  <c r="AD36"/>
  <c r="AB36"/>
  <c r="Z36"/>
  <c r="BV35"/>
  <c r="BO35"/>
  <c r="BS35" s="1"/>
  <c r="AB19"/>
  <c r="AD19"/>
  <c r="AF19"/>
  <c r="AH19"/>
  <c r="AJ19"/>
  <c r="AL19"/>
  <c r="AN19"/>
  <c r="AP19"/>
  <c r="AR19"/>
  <c r="AT19"/>
  <c r="AV19"/>
  <c r="AX19"/>
  <c r="AZ19"/>
  <c r="BB19"/>
  <c r="BD19"/>
  <c r="BF19"/>
  <c r="X80" i="45"/>
  <c r="Y80"/>
  <c r="X81"/>
  <c r="Y81"/>
  <c r="X83"/>
  <c r="Y83"/>
  <c r="AA12"/>
  <c r="AC12"/>
  <c r="AE12"/>
  <c r="AG12"/>
  <c r="AI12"/>
  <c r="AK12"/>
  <c r="AM12"/>
  <c r="BJ40"/>
  <c r="BK40" s="1"/>
  <c r="BJ41"/>
  <c r="F41" s="1"/>
  <c r="BJ42"/>
  <c r="F42" s="1"/>
  <c r="G42" s="1"/>
  <c r="BJ43"/>
  <c r="F43" s="1"/>
  <c r="BJ44"/>
  <c r="F44" s="1"/>
  <c r="BJ45"/>
  <c r="F45" s="1"/>
  <c r="R45" s="1"/>
  <c r="V45" s="1"/>
  <c r="BJ12"/>
  <c r="I22" i="47"/>
  <c r="H22"/>
  <c r="BH43" i="43"/>
  <c r="BF43"/>
  <c r="BD43"/>
  <c r="AZ43"/>
  <c r="AX43"/>
  <c r="AP43"/>
  <c r="AL43"/>
  <c r="AJ43"/>
  <c r="AH43"/>
  <c r="AD43"/>
  <c r="AB43"/>
  <c r="BJ41"/>
  <c r="BH41"/>
  <c r="BF41"/>
  <c r="BD41"/>
  <c r="AZ41"/>
  <c r="AX41"/>
  <c r="AV41"/>
  <c r="AP41"/>
  <c r="AL41"/>
  <c r="AJ41"/>
  <c r="AH41"/>
  <c r="AF41"/>
  <c r="AD41"/>
  <c r="AB41"/>
  <c r="BJ40"/>
  <c r="BH40"/>
  <c r="BF40"/>
  <c r="BD40"/>
  <c r="AZ40"/>
  <c r="AX40"/>
  <c r="AV40"/>
  <c r="AP40"/>
  <c r="AL40"/>
  <c r="AJ40"/>
  <c r="AH40"/>
  <c r="AF40"/>
  <c r="AD40"/>
  <c r="AB40"/>
  <c r="BJ39"/>
  <c r="BH39"/>
  <c r="BF39"/>
  <c r="BD39"/>
  <c r="AZ39"/>
  <c r="AX39"/>
  <c r="AV39"/>
  <c r="AP39"/>
  <c r="AL39"/>
  <c r="AJ39"/>
  <c r="AH39"/>
  <c r="AF39"/>
  <c r="AD39"/>
  <c r="AB39"/>
  <c r="BJ38"/>
  <c r="BH38"/>
  <c r="BF38"/>
  <c r="BD38"/>
  <c r="AZ38"/>
  <c r="AX38"/>
  <c r="AV38"/>
  <c r="AP38"/>
  <c r="AL38"/>
  <c r="AJ38"/>
  <c r="AH38"/>
  <c r="AF38"/>
  <c r="AD38"/>
  <c r="AB38"/>
  <c r="BJ37"/>
  <c r="BH37"/>
  <c r="BF37"/>
  <c r="BD37"/>
  <c r="AZ37"/>
  <c r="AX37"/>
  <c r="AV37"/>
  <c r="AP37"/>
  <c r="AL37"/>
  <c r="AJ37"/>
  <c r="AH37"/>
  <c r="AF37"/>
  <c r="AD37"/>
  <c r="AB37"/>
  <c r="BK36"/>
  <c r="BJ36"/>
  <c r="BH36"/>
  <c r="BF36"/>
  <c r="BD36"/>
  <c r="AZ36"/>
  <c r="AX36"/>
  <c r="AV36"/>
  <c r="AP36"/>
  <c r="AL36"/>
  <c r="AJ36"/>
  <c r="AH36"/>
  <c r="AF36"/>
  <c r="AD36"/>
  <c r="AB36"/>
  <c r="BJ34"/>
  <c r="BH34"/>
  <c r="BF34"/>
  <c r="BD34"/>
  <c r="AZ34"/>
  <c r="AV34"/>
  <c r="AP34"/>
  <c r="AL34"/>
  <c r="AJ34"/>
  <c r="AH34"/>
  <c r="AF34"/>
  <c r="AB34"/>
  <c r="BJ31"/>
  <c r="BH31"/>
  <c r="BF31"/>
  <c r="BD31"/>
  <c r="AZ31"/>
  <c r="AV31"/>
  <c r="AP31"/>
  <c r="AL31"/>
  <c r="AJ31"/>
  <c r="AH31"/>
  <c r="AF31"/>
  <c r="AB31"/>
  <c r="BJ22"/>
  <c r="BH22"/>
  <c r="BF22"/>
  <c r="BD22"/>
  <c r="AZ22"/>
  <c r="AX22"/>
  <c r="AV22"/>
  <c r="AP22"/>
  <c r="AL22"/>
  <c r="AJ22"/>
  <c r="AH22"/>
  <c r="AF22"/>
  <c r="AD22"/>
  <c r="BJ21"/>
  <c r="BH21"/>
  <c r="BF21"/>
  <c r="BD21"/>
  <c r="AZ21"/>
  <c r="AX21"/>
  <c r="AV21"/>
  <c r="AP21"/>
  <c r="AL21"/>
  <c r="AJ21"/>
  <c r="AH21"/>
  <c r="AF21"/>
  <c r="AD21"/>
  <c r="AB21"/>
  <c r="BJ19"/>
  <c r="BH19"/>
  <c r="BF19"/>
  <c r="BD19"/>
  <c r="AZ19"/>
  <c r="AX19"/>
  <c r="AP19"/>
  <c r="AL19"/>
  <c r="AJ19"/>
  <c r="AH19"/>
  <c r="AD19"/>
  <c r="AB19"/>
  <c r="BJ17"/>
  <c r="BH17"/>
  <c r="BF17"/>
  <c r="BD17"/>
  <c r="AZ17"/>
  <c r="AV17"/>
  <c r="AP17"/>
  <c r="AL17"/>
  <c r="AJ17"/>
  <c r="AH17"/>
  <c r="AF17"/>
  <c r="AF20" s="1"/>
  <c r="AB17"/>
  <c r="BJ16"/>
  <c r="BH16"/>
  <c r="BF16"/>
  <c r="BD16"/>
  <c r="AZ16"/>
  <c r="AV16"/>
  <c r="AP16"/>
  <c r="AJ16"/>
  <c r="AH16"/>
  <c r="AF16"/>
  <c r="AB16"/>
  <c r="BJ15"/>
  <c r="BH15"/>
  <c r="BF15"/>
  <c r="BD15"/>
  <c r="AZ15"/>
  <c r="AX15"/>
  <c r="AV15"/>
  <c r="AP15"/>
  <c r="AL15"/>
  <c r="AJ15"/>
  <c r="AH15"/>
  <c r="AF15"/>
  <c r="AD15"/>
  <c r="AB15"/>
  <c r="BJ14"/>
  <c r="BH14"/>
  <c r="BF14"/>
  <c r="BD14"/>
  <c r="AZ14"/>
  <c r="AX14"/>
  <c r="AV14"/>
  <c r="AP14"/>
  <c r="AL14"/>
  <c r="AJ14"/>
  <c r="AH14"/>
  <c r="AF14"/>
  <c r="AD14"/>
  <c r="AB14"/>
  <c r="BF12"/>
  <c r="AZ12"/>
  <c r="AZ13" s="1"/>
  <c r="AV12"/>
  <c r="AJ12"/>
  <c r="AH12"/>
  <c r="AH13" s="1"/>
  <c r="AF12"/>
  <c r="AD12"/>
  <c r="BJ11"/>
  <c r="BH11"/>
  <c r="BF11"/>
  <c r="AX64" i="46"/>
  <c r="AX65" s="1"/>
  <c r="AX60"/>
  <c r="AX61"/>
  <c r="AX59"/>
  <c r="AX52"/>
  <c r="AX45"/>
  <c r="AX46"/>
  <c r="AX48"/>
  <c r="AX49"/>
  <c r="AX51"/>
  <c r="AX44"/>
  <c r="AX16"/>
  <c r="AX17" s="1"/>
  <c r="AV64"/>
  <c r="AV60"/>
  <c r="AV61"/>
  <c r="AV59"/>
  <c r="AV45"/>
  <c r="AV46"/>
  <c r="AV48"/>
  <c r="AV49"/>
  <c r="AV51"/>
  <c r="AV52"/>
  <c r="AV44"/>
  <c r="AX41"/>
  <c r="AV40"/>
  <c r="AV41"/>
  <c r="AX29"/>
  <c r="AX31"/>
  <c r="AX27"/>
  <c r="AX21"/>
  <c r="AX22"/>
  <c r="AX23"/>
  <c r="AX24"/>
  <c r="AX20"/>
  <c r="AV21"/>
  <c r="AV22"/>
  <c r="AV23"/>
  <c r="AV24"/>
  <c r="AV16"/>
  <c r="AV17" s="1"/>
  <c r="AV14"/>
  <c r="AX12"/>
  <c r="AX15"/>
  <c r="AV12"/>
  <c r="AA62"/>
  <c r="AC62"/>
  <c r="AE62"/>
  <c r="AG62"/>
  <c r="AI62"/>
  <c r="AK62"/>
  <c r="AM62"/>
  <c r="AO62"/>
  <c r="AQ62"/>
  <c r="AS62"/>
  <c r="AU62"/>
  <c r="AW62"/>
  <c r="AY62"/>
  <c r="BA62"/>
  <c r="BC62"/>
  <c r="BE62"/>
  <c r="BG62"/>
  <c r="Y62"/>
  <c r="AA56"/>
  <c r="AC56"/>
  <c r="AE56"/>
  <c r="AG56"/>
  <c r="AI56"/>
  <c r="AK56"/>
  <c r="AM56"/>
  <c r="AO56"/>
  <c r="AQ56"/>
  <c r="AS56"/>
  <c r="AU56"/>
  <c r="AW56"/>
  <c r="AY56"/>
  <c r="BA56"/>
  <c r="BC56"/>
  <c r="BE56"/>
  <c r="BG56"/>
  <c r="Y56"/>
  <c r="BG53"/>
  <c r="AC42"/>
  <c r="AQ42"/>
  <c r="AU42"/>
  <c r="BA42"/>
  <c r="Y42"/>
  <c r="AA35"/>
  <c r="AC35"/>
  <c r="AE35"/>
  <c r="AG35"/>
  <c r="AK35"/>
  <c r="AM35"/>
  <c r="AO35"/>
  <c r="AQ35"/>
  <c r="AS35"/>
  <c r="AU35"/>
  <c r="AW35"/>
  <c r="AY35"/>
  <c r="BA35"/>
  <c r="BC35"/>
  <c r="BE35"/>
  <c r="BG35"/>
  <c r="Y35"/>
  <c r="AE32"/>
  <c r="AM32"/>
  <c r="AO32"/>
  <c r="AU32"/>
  <c r="AW32"/>
  <c r="BA32"/>
  <c r="BE32"/>
  <c r="BG32"/>
  <c r="AA17"/>
  <c r="AC17"/>
  <c r="AE17"/>
  <c r="AG17"/>
  <c r="AI17"/>
  <c r="AJ17"/>
  <c r="AK17"/>
  <c r="AM17"/>
  <c r="AO17"/>
  <c r="AQ17"/>
  <c r="AS17"/>
  <c r="AU17"/>
  <c r="AW17"/>
  <c r="AY17"/>
  <c r="BA17"/>
  <c r="BC17"/>
  <c r="BE17"/>
  <c r="BG17"/>
  <c r="Y17"/>
  <c r="AA15"/>
  <c r="AC15"/>
  <c r="AE15"/>
  <c r="AG15"/>
  <c r="AI15"/>
  <c r="AK15"/>
  <c r="AM15"/>
  <c r="AO15"/>
  <c r="AQ15"/>
  <c r="AS15"/>
  <c r="AU15"/>
  <c r="AW15"/>
  <c r="AY15"/>
  <c r="BG15"/>
  <c r="Y15"/>
  <c r="BH64"/>
  <c r="BH65" s="1"/>
  <c r="BF64"/>
  <c r="BF65" s="1"/>
  <c r="BD64"/>
  <c r="BD65" s="1"/>
  <c r="AZ64"/>
  <c r="AZ65" s="1"/>
  <c r="AT64"/>
  <c r="AT65" s="1"/>
  <c r="AR65"/>
  <c r="AH64"/>
  <c r="AH65" s="1"/>
  <c r="AF64"/>
  <c r="AF65" s="1"/>
  <c r="AD64"/>
  <c r="AD65" s="1"/>
  <c r="Z64"/>
  <c r="Z65" s="1"/>
  <c r="BH61"/>
  <c r="BF61"/>
  <c r="BD61"/>
  <c r="AZ61"/>
  <c r="AT61"/>
  <c r="AH61"/>
  <c r="AF61"/>
  <c r="AD61"/>
  <c r="Z61"/>
  <c r="BH60"/>
  <c r="BF60"/>
  <c r="BD60"/>
  <c r="AZ60"/>
  <c r="AT60"/>
  <c r="AH60"/>
  <c r="AF60"/>
  <c r="AD60"/>
  <c r="Z60"/>
  <c r="BH59"/>
  <c r="BF59"/>
  <c r="BD59"/>
  <c r="AZ59"/>
  <c r="AT59"/>
  <c r="AR62"/>
  <c r="AH59"/>
  <c r="AF59"/>
  <c r="AD59"/>
  <c r="Z59"/>
  <c r="BH56"/>
  <c r="BH52"/>
  <c r="BD52"/>
  <c r="AZ52"/>
  <c r="AR52"/>
  <c r="Z52"/>
  <c r="BH51"/>
  <c r="BF51"/>
  <c r="BD51"/>
  <c r="AZ51"/>
  <c r="AT51"/>
  <c r="AR51"/>
  <c r="AH51"/>
  <c r="AF51"/>
  <c r="AD51"/>
  <c r="Z51"/>
  <c r="BH49"/>
  <c r="BF49"/>
  <c r="BD49"/>
  <c r="AZ49"/>
  <c r="AT49"/>
  <c r="AR49"/>
  <c r="AH49"/>
  <c r="AF49"/>
  <c r="AD49"/>
  <c r="Z49"/>
  <c r="BH48"/>
  <c r="BF48"/>
  <c r="BD48"/>
  <c r="AZ48"/>
  <c r="AT48"/>
  <c r="AR48"/>
  <c r="AH48"/>
  <c r="AF48"/>
  <c r="AD48"/>
  <c r="Z48"/>
  <c r="BH46"/>
  <c r="BF46"/>
  <c r="BD46"/>
  <c r="AZ46"/>
  <c r="AT46"/>
  <c r="AR46"/>
  <c r="AH46"/>
  <c r="AF46"/>
  <c r="AD46"/>
  <c r="Z46"/>
  <c r="BH45"/>
  <c r="BF45"/>
  <c r="BD45"/>
  <c r="AZ45"/>
  <c r="AT45"/>
  <c r="AR45"/>
  <c r="AH45"/>
  <c r="AF45"/>
  <c r="AD45"/>
  <c r="Z45"/>
  <c r="BH44"/>
  <c r="BF44"/>
  <c r="BD44"/>
  <c r="AZ44"/>
  <c r="AT44"/>
  <c r="AR44"/>
  <c r="AH44"/>
  <c r="AF44"/>
  <c r="AD44"/>
  <c r="Z44"/>
  <c r="BH41"/>
  <c r="BF41"/>
  <c r="BD41"/>
  <c r="AZ41"/>
  <c r="AT41"/>
  <c r="AR41"/>
  <c r="AR42" s="1"/>
  <c r="AH41"/>
  <c r="AF41"/>
  <c r="AD41"/>
  <c r="Z41"/>
  <c r="BH40"/>
  <c r="BF40"/>
  <c r="AD40"/>
  <c r="Z40"/>
  <c r="BH35"/>
  <c r="BH31"/>
  <c r="BF31"/>
  <c r="BD31"/>
  <c r="AZ31"/>
  <c r="AT31"/>
  <c r="AR31"/>
  <c r="AH31"/>
  <c r="AF31"/>
  <c r="AD31"/>
  <c r="Z31"/>
  <c r="BH29"/>
  <c r="BF29"/>
  <c r="BD29"/>
  <c r="AZ29"/>
  <c r="AT29"/>
  <c r="AR29"/>
  <c r="AH29"/>
  <c r="AF29"/>
  <c r="AD29"/>
  <c r="Z29"/>
  <c r="BH27"/>
  <c r="BF27"/>
  <c r="BD27"/>
  <c r="AZ27"/>
  <c r="AT27"/>
  <c r="AR27"/>
  <c r="AH27"/>
  <c r="AF27"/>
  <c r="AD27"/>
  <c r="Z27"/>
  <c r="BH24"/>
  <c r="BF24"/>
  <c r="BD24"/>
  <c r="AT24"/>
  <c r="AH24"/>
  <c r="AF24"/>
  <c r="AD24"/>
  <c r="Z24"/>
  <c r="BH23"/>
  <c r="BF23"/>
  <c r="BD23"/>
  <c r="AZ23"/>
  <c r="AT23"/>
  <c r="AR23"/>
  <c r="AH23"/>
  <c r="AF23"/>
  <c r="AD23"/>
  <c r="Z23"/>
  <c r="BH22"/>
  <c r="BF22"/>
  <c r="BD22"/>
  <c r="AZ22"/>
  <c r="AT22"/>
  <c r="AT25" s="1"/>
  <c r="AR22"/>
  <c r="AH22"/>
  <c r="AF22"/>
  <c r="AD22"/>
  <c r="Z22"/>
  <c r="BH21"/>
  <c r="AT21"/>
  <c r="AR21"/>
  <c r="AT20"/>
  <c r="AR20"/>
  <c r="AH20"/>
  <c r="AF20"/>
  <c r="BH16"/>
  <c r="BF16"/>
  <c r="BD16"/>
  <c r="BD17" s="1"/>
  <c r="AZ16"/>
  <c r="AT16"/>
  <c r="AT17" s="1"/>
  <c r="AR16"/>
  <c r="AR17" s="1"/>
  <c r="AH16"/>
  <c r="AH17" s="1"/>
  <c r="AF16"/>
  <c r="AF17" s="1"/>
  <c r="AD16"/>
  <c r="AD17" s="1"/>
  <c r="AB17"/>
  <c r="Z16"/>
  <c r="Z17" s="1"/>
  <c r="BH14"/>
  <c r="BF14"/>
  <c r="BD14"/>
  <c r="AZ14"/>
  <c r="AZ15" s="1"/>
  <c r="AT14"/>
  <c r="AR14"/>
  <c r="AH14"/>
  <c r="AF14"/>
  <c r="AD14"/>
  <c r="Z14"/>
  <c r="BH12"/>
  <c r="BF12"/>
  <c r="BD12"/>
  <c r="BD15" s="1"/>
  <c r="AT12"/>
  <c r="AR12"/>
  <c r="AH12"/>
  <c r="AF12"/>
  <c r="AD12"/>
  <c r="Z12"/>
  <c r="BH49" i="47"/>
  <c r="BD49"/>
  <c r="BB49"/>
  <c r="AZ49"/>
  <c r="AX49"/>
  <c r="AV49"/>
  <c r="AR49"/>
  <c r="AP49"/>
  <c r="AN49"/>
  <c r="AL49"/>
  <c r="AD49"/>
  <c r="Z30"/>
  <c r="Z31"/>
  <c r="AA24"/>
  <c r="Z12"/>
  <c r="BJ12" s="1"/>
  <c r="BI48"/>
  <c r="BG48"/>
  <c r="BE48"/>
  <c r="BC48"/>
  <c r="BA48"/>
  <c r="AY48"/>
  <c r="AW48"/>
  <c r="AU48"/>
  <c r="AS48"/>
  <c r="AS49" s="1"/>
  <c r="AQ48"/>
  <c r="AO48"/>
  <c r="AM48"/>
  <c r="AK48"/>
  <c r="AI48"/>
  <c r="AG48"/>
  <c r="AE48"/>
  <c r="AA48"/>
  <c r="BI47"/>
  <c r="BG47"/>
  <c r="BE47"/>
  <c r="BC47"/>
  <c r="BA47"/>
  <c r="AY47"/>
  <c r="AW47"/>
  <c r="AU47"/>
  <c r="AQ47"/>
  <c r="AO47"/>
  <c r="AM47"/>
  <c r="AK47"/>
  <c r="AI47"/>
  <c r="AI49" s="1"/>
  <c r="AG47"/>
  <c r="AE47"/>
  <c r="AC47"/>
  <c r="AA47"/>
  <c r="BI42"/>
  <c r="BI38"/>
  <c r="BI37"/>
  <c r="BG37"/>
  <c r="AY37"/>
  <c r="AU37"/>
  <c r="AQ37"/>
  <c r="AO37"/>
  <c r="AM37"/>
  <c r="AI37"/>
  <c r="AG37"/>
  <c r="BI35"/>
  <c r="BI34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BG28"/>
  <c r="BE28"/>
  <c r="BC28"/>
  <c r="BA28"/>
  <c r="AY28"/>
  <c r="AW28"/>
  <c r="AU28"/>
  <c r="AS28"/>
  <c r="AQ28"/>
  <c r="AO28"/>
  <c r="AM28"/>
  <c r="AK28"/>
  <c r="AI28"/>
  <c r="AG28"/>
  <c r="AE28"/>
  <c r="AC28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BI23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BI17"/>
  <c r="BA17"/>
  <c r="AU17"/>
  <c r="AQ17"/>
  <c r="AA17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BI10"/>
  <c r="BG10"/>
  <c r="BC10"/>
  <c r="BA10"/>
  <c r="AY10"/>
  <c r="AW10"/>
  <c r="AU10"/>
  <c r="AS10"/>
  <c r="AO10"/>
  <c r="AM10"/>
  <c r="AK10"/>
  <c r="AI10"/>
  <c r="AE10"/>
  <c r="AC10"/>
  <c r="AA10"/>
  <c r="BI13" i="45"/>
  <c r="BI14"/>
  <c r="BI20"/>
  <c r="BI24"/>
  <c r="BI25"/>
  <c r="BI29"/>
  <c r="BI30"/>
  <c r="BI31"/>
  <c r="BI32"/>
  <c r="BI33"/>
  <c r="BI36"/>
  <c r="BI37"/>
  <c r="BI40"/>
  <c r="BI41"/>
  <c r="BI42"/>
  <c r="BI43"/>
  <c r="BI44"/>
  <c r="BI45"/>
  <c r="BI53"/>
  <c r="BI54"/>
  <c r="BI56"/>
  <c r="BI58"/>
  <c r="BI59"/>
  <c r="BI69"/>
  <c r="BI70"/>
  <c r="BI71"/>
  <c r="BI72"/>
  <c r="BI73"/>
  <c r="BI79"/>
  <c r="BI80"/>
  <c r="BI81"/>
  <c r="BI82"/>
  <c r="BI83"/>
  <c r="BI84"/>
  <c r="BI86"/>
  <c r="BI87"/>
  <c r="BI88"/>
  <c r="BI90"/>
  <c r="BI91"/>
  <c r="BI92"/>
  <c r="BI93"/>
  <c r="BI95"/>
  <c r="BI98"/>
  <c r="BI99"/>
  <c r="BI100"/>
  <c r="BI101"/>
  <c r="BI12"/>
  <c r="BI16" s="1"/>
  <c r="BG13"/>
  <c r="BG14"/>
  <c r="BG18"/>
  <c r="BG19"/>
  <c r="BG20"/>
  <c r="BG39"/>
  <c r="BG40"/>
  <c r="BG53"/>
  <c r="BG56"/>
  <c r="BG58"/>
  <c r="BG59"/>
  <c r="BG69"/>
  <c r="BG70"/>
  <c r="BG71"/>
  <c r="BG72"/>
  <c r="BG73"/>
  <c r="BG93"/>
  <c r="BG95"/>
  <c r="BG98"/>
  <c r="BG99"/>
  <c r="BG100"/>
  <c r="BG101"/>
  <c r="BG12"/>
  <c r="BE13"/>
  <c r="BE14"/>
  <c r="BE18"/>
  <c r="BE19"/>
  <c r="BE40"/>
  <c r="BE53"/>
  <c r="BE56"/>
  <c r="BE58"/>
  <c r="BE59"/>
  <c r="BE69"/>
  <c r="BE70"/>
  <c r="BE71"/>
  <c r="BE72"/>
  <c r="BE73"/>
  <c r="BE93"/>
  <c r="BE95"/>
  <c r="BE98"/>
  <c r="BE99"/>
  <c r="BE100"/>
  <c r="BE101"/>
  <c r="BE12"/>
  <c r="BC13"/>
  <c r="BC14"/>
  <c r="BC17"/>
  <c r="BC18"/>
  <c r="BC19"/>
  <c r="BC20"/>
  <c r="BC22"/>
  <c r="BC23"/>
  <c r="BC40"/>
  <c r="BC53"/>
  <c r="BC56"/>
  <c r="BC58"/>
  <c r="BC59"/>
  <c r="BC69"/>
  <c r="BC70"/>
  <c r="BC71"/>
  <c r="BC72"/>
  <c r="BC73"/>
  <c r="BC93"/>
  <c r="BC95"/>
  <c r="BC98"/>
  <c r="BC99"/>
  <c r="BC100"/>
  <c r="BC101"/>
  <c r="BC12"/>
  <c r="BA13"/>
  <c r="BA14"/>
  <c r="BA17"/>
  <c r="BA18"/>
  <c r="BA19"/>
  <c r="BA22"/>
  <c r="BA23"/>
  <c r="BA40"/>
  <c r="BA53"/>
  <c r="BA56"/>
  <c r="BA58"/>
  <c r="BA59"/>
  <c r="BA69"/>
  <c r="BA70"/>
  <c r="BA71"/>
  <c r="BA72"/>
  <c r="BA73"/>
  <c r="BA93"/>
  <c r="BA95"/>
  <c r="BA98"/>
  <c r="BA99"/>
  <c r="BA100"/>
  <c r="BA101"/>
  <c r="BA12"/>
  <c r="AY13"/>
  <c r="AY14"/>
  <c r="AY17"/>
  <c r="AY18"/>
  <c r="AY19"/>
  <c r="AY20"/>
  <c r="AY22"/>
  <c r="AY23"/>
  <c r="AY40"/>
  <c r="AY53"/>
  <c r="AY56"/>
  <c r="AY58"/>
  <c r="AY59"/>
  <c r="AY69"/>
  <c r="AY70"/>
  <c r="AY71"/>
  <c r="AY72"/>
  <c r="AY73"/>
  <c r="AY93"/>
  <c r="AY95"/>
  <c r="AY98"/>
  <c r="AY99"/>
  <c r="AY100"/>
  <c r="AY101"/>
  <c r="AY12"/>
  <c r="AW13"/>
  <c r="AW14"/>
  <c r="AW17"/>
  <c r="AW18"/>
  <c r="AW19"/>
  <c r="AW20"/>
  <c r="AW22"/>
  <c r="AW23"/>
  <c r="AW39"/>
  <c r="AW40"/>
  <c r="AW53"/>
  <c r="AW58"/>
  <c r="AW59"/>
  <c r="AW69"/>
  <c r="AW70"/>
  <c r="AW71"/>
  <c r="AW72"/>
  <c r="AW73"/>
  <c r="AW93"/>
  <c r="AW95"/>
  <c r="AW98"/>
  <c r="AW99"/>
  <c r="AW100"/>
  <c r="AW101"/>
  <c r="AW12"/>
  <c r="AU13"/>
  <c r="AU14"/>
  <c r="AU17"/>
  <c r="AU18"/>
  <c r="AU19"/>
  <c r="AU20"/>
  <c r="AU22"/>
  <c r="AU23"/>
  <c r="AU39"/>
  <c r="AU40"/>
  <c r="AU53"/>
  <c r="AU56"/>
  <c r="AU58"/>
  <c r="AU59"/>
  <c r="AU69"/>
  <c r="AU70"/>
  <c r="AU71"/>
  <c r="AU72"/>
  <c r="AU73"/>
  <c r="AU93"/>
  <c r="AU95"/>
  <c r="AU98"/>
  <c r="AU99"/>
  <c r="AU100"/>
  <c r="AU101"/>
  <c r="AU12"/>
  <c r="AS13"/>
  <c r="AS14"/>
  <c r="AS17"/>
  <c r="AS18"/>
  <c r="AS19"/>
  <c r="AS20"/>
  <c r="AS22"/>
  <c r="AS23"/>
  <c r="AS39"/>
  <c r="AS40"/>
  <c r="AS53"/>
  <c r="AS56"/>
  <c r="AS58"/>
  <c r="AS59"/>
  <c r="AS69"/>
  <c r="AS70"/>
  <c r="AS71"/>
  <c r="AS72"/>
  <c r="AS73"/>
  <c r="AS93"/>
  <c r="AS95"/>
  <c r="AS98"/>
  <c r="AS99"/>
  <c r="AS100"/>
  <c r="AS101"/>
  <c r="AS12"/>
  <c r="AQ13"/>
  <c r="AQ14"/>
  <c r="AQ17"/>
  <c r="AQ18"/>
  <c r="AQ19"/>
  <c r="AQ20"/>
  <c r="AQ22"/>
  <c r="AQ23"/>
  <c r="AQ40"/>
  <c r="AQ53"/>
  <c r="AQ56"/>
  <c r="AQ58"/>
  <c r="AQ59"/>
  <c r="AQ69"/>
  <c r="AQ70"/>
  <c r="AQ71"/>
  <c r="AQ72"/>
  <c r="AQ73"/>
  <c r="AQ93"/>
  <c r="AQ95"/>
  <c r="AQ98"/>
  <c r="AQ99"/>
  <c r="AQ100"/>
  <c r="AQ101"/>
  <c r="AQ12"/>
  <c r="AO13"/>
  <c r="AO14"/>
  <c r="AO17"/>
  <c r="AO18"/>
  <c r="AO19"/>
  <c r="AO22"/>
  <c r="AO23"/>
  <c r="AO40"/>
  <c r="AO53"/>
  <c r="AO56"/>
  <c r="AO58"/>
  <c r="AO59"/>
  <c r="AO69"/>
  <c r="AO70"/>
  <c r="AO71"/>
  <c r="AO72"/>
  <c r="AO73"/>
  <c r="AO93"/>
  <c r="AO95"/>
  <c r="AO98"/>
  <c r="AO99"/>
  <c r="AO100"/>
  <c r="AO101"/>
  <c r="AO12"/>
  <c r="AM13"/>
  <c r="AM14"/>
  <c r="AM17"/>
  <c r="AM18"/>
  <c r="AM19"/>
  <c r="AM20"/>
  <c r="AM22"/>
  <c r="AM23"/>
  <c r="AM40"/>
  <c r="AM53"/>
  <c r="AM56"/>
  <c r="AM58"/>
  <c r="AM59"/>
  <c r="AM69"/>
  <c r="AM70"/>
  <c r="AM71"/>
  <c r="AM72"/>
  <c r="AM73"/>
  <c r="AM93"/>
  <c r="AM95"/>
  <c r="AM98"/>
  <c r="AM99"/>
  <c r="AM100"/>
  <c r="AM101"/>
  <c r="AK13"/>
  <c r="AK14"/>
  <c r="AK17"/>
  <c r="AK18"/>
  <c r="AK19"/>
  <c r="AK20"/>
  <c r="AK22"/>
  <c r="AK23"/>
  <c r="AK40"/>
  <c r="AK53"/>
  <c r="AK56"/>
  <c r="AK58"/>
  <c r="AK59"/>
  <c r="AK69"/>
  <c r="AK70"/>
  <c r="AK71"/>
  <c r="AK72"/>
  <c r="AK73"/>
  <c r="AK93"/>
  <c r="AK95"/>
  <c r="AK98"/>
  <c r="AK99"/>
  <c r="AK100"/>
  <c r="AK101"/>
  <c r="AI13"/>
  <c r="AI14"/>
  <c r="AI17"/>
  <c r="AI18"/>
  <c r="AI19"/>
  <c r="AI20"/>
  <c r="AI22"/>
  <c r="AI23"/>
  <c r="AI40"/>
  <c r="AI53"/>
  <c r="AI56"/>
  <c r="AI59"/>
  <c r="AI70"/>
  <c r="AI71"/>
  <c r="AI72"/>
  <c r="AI73"/>
  <c r="AI78"/>
  <c r="AI93"/>
  <c r="AI95"/>
  <c r="AI98"/>
  <c r="AI99"/>
  <c r="AI100"/>
  <c r="AI101"/>
  <c r="AG13"/>
  <c r="AG14"/>
  <c r="AG17"/>
  <c r="AG18"/>
  <c r="AG19"/>
  <c r="AG20"/>
  <c r="AG22"/>
  <c r="AG23"/>
  <c r="AG40"/>
  <c r="AG53"/>
  <c r="AG56"/>
  <c r="AG59"/>
  <c r="AG70"/>
  <c r="AG71"/>
  <c r="AG72"/>
  <c r="AG73"/>
  <c r="AG78"/>
  <c r="AG93"/>
  <c r="AG95"/>
  <c r="AG98"/>
  <c r="AG99"/>
  <c r="AG100"/>
  <c r="AG101"/>
  <c r="AE13"/>
  <c r="AE14"/>
  <c r="AE17"/>
  <c r="AE18"/>
  <c r="AE19"/>
  <c r="AE20"/>
  <c r="AE22"/>
  <c r="AE23"/>
  <c r="AE40"/>
  <c r="AE53"/>
  <c r="AE56"/>
  <c r="AE59"/>
  <c r="AE69"/>
  <c r="AE70"/>
  <c r="AE71"/>
  <c r="AE72"/>
  <c r="AE73"/>
  <c r="AE78"/>
  <c r="AE93"/>
  <c r="AE95"/>
  <c r="AE98"/>
  <c r="AE99"/>
  <c r="AE100"/>
  <c r="AE101"/>
  <c r="AC13"/>
  <c r="AC17"/>
  <c r="AC18"/>
  <c r="AC19"/>
  <c r="AC20"/>
  <c r="AC22"/>
  <c r="AC23"/>
  <c r="AC40"/>
  <c r="AC53"/>
  <c r="AC56"/>
  <c r="AC59"/>
  <c r="AC69"/>
  <c r="AC70"/>
  <c r="AC71"/>
  <c r="AC72"/>
  <c r="AC73"/>
  <c r="AC78"/>
  <c r="AC93"/>
  <c r="AC95"/>
  <c r="AC98"/>
  <c r="AC99"/>
  <c r="AC100"/>
  <c r="AC101"/>
  <c r="AA13"/>
  <c r="AA14"/>
  <c r="AA17"/>
  <c r="AA22"/>
  <c r="AA23"/>
  <c r="AA40"/>
  <c r="AA53"/>
  <c r="AA56"/>
  <c r="AA58"/>
  <c r="AA59"/>
  <c r="AA69"/>
  <c r="AA70"/>
  <c r="AA71"/>
  <c r="AA72"/>
  <c r="AA73"/>
  <c r="AA78"/>
  <c r="AA93"/>
  <c r="AA95"/>
  <c r="AA98"/>
  <c r="AA99"/>
  <c r="AA100"/>
  <c r="AA101"/>
  <c r="BJ92" i="44"/>
  <c r="BH92"/>
  <c r="BF92"/>
  <c r="BB92"/>
  <c r="AZ92"/>
  <c r="AX92"/>
  <c r="AV92"/>
  <c r="AT92"/>
  <c r="AR92"/>
  <c r="AP92"/>
  <c r="AN92"/>
  <c r="AL92"/>
  <c r="AJ92"/>
  <c r="AH92"/>
  <c r="AF92"/>
  <c r="AD92"/>
  <c r="AB92"/>
  <c r="BJ31"/>
  <c r="BH31"/>
  <c r="BF31"/>
  <c r="BD31"/>
  <c r="BB31"/>
  <c r="AZ31"/>
  <c r="AX31"/>
  <c r="AV31"/>
  <c r="AR31"/>
  <c r="AP31"/>
  <c r="AN31"/>
  <c r="AL31"/>
  <c r="AJ31"/>
  <c r="AH31"/>
  <c r="AF31"/>
  <c r="AD31"/>
  <c r="AB31"/>
  <c r="BJ30"/>
  <c r="BH30"/>
  <c r="BF30"/>
  <c r="BD30"/>
  <c r="BB30"/>
  <c r="AZ30"/>
  <c r="AX30"/>
  <c r="AV30"/>
  <c r="AT30"/>
  <c r="AR30"/>
  <c r="AP30"/>
  <c r="AN30"/>
  <c r="AL30"/>
  <c r="AJ30"/>
  <c r="AH30"/>
  <c r="AF30"/>
  <c r="AD30"/>
  <c r="AB30"/>
  <c r="BJ19"/>
  <c r="BJ34" s="1"/>
  <c r="BH19"/>
  <c r="BJ18"/>
  <c r="BH18"/>
  <c r="BF18"/>
  <c r="BD18"/>
  <c r="BB18"/>
  <c r="AZ18"/>
  <c r="AX18"/>
  <c r="AV18"/>
  <c r="AT18"/>
  <c r="AR18"/>
  <c r="AP18"/>
  <c r="AN18"/>
  <c r="AL18"/>
  <c r="AJ18"/>
  <c r="AH18"/>
  <c r="AF18"/>
  <c r="AD18"/>
  <c r="AB18"/>
  <c r="BJ17"/>
  <c r="BH17"/>
  <c r="BF17"/>
  <c r="BD17"/>
  <c r="BB17"/>
  <c r="AZ17"/>
  <c r="AX17"/>
  <c r="AV17"/>
  <c r="AT17"/>
  <c r="AR17"/>
  <c r="AP17"/>
  <c r="AN17"/>
  <c r="AL17"/>
  <c r="AJ17"/>
  <c r="AH17"/>
  <c r="AF17"/>
  <c r="AD17"/>
  <c r="AB17"/>
  <c r="BJ15"/>
  <c r="BH15"/>
  <c r="BF15"/>
  <c r="BD15"/>
  <c r="BB15"/>
  <c r="AZ15"/>
  <c r="AX15"/>
  <c r="AV15"/>
  <c r="AT15"/>
  <c r="AR15"/>
  <c r="AP15"/>
  <c r="AN15"/>
  <c r="AL15"/>
  <c r="AJ15"/>
  <c r="AH15"/>
  <c r="AF15"/>
  <c r="AD15"/>
  <c r="AB15"/>
  <c r="BJ14"/>
  <c r="BH14"/>
  <c r="BF14"/>
  <c r="BD14"/>
  <c r="BB14"/>
  <c r="AZ14"/>
  <c r="AX14"/>
  <c r="AV14"/>
  <c r="AT14"/>
  <c r="AR14"/>
  <c r="AP14"/>
  <c r="AN14"/>
  <c r="AL14"/>
  <c r="AJ14"/>
  <c r="AH14"/>
  <c r="AF14"/>
  <c r="AD14"/>
  <c r="AB14"/>
  <c r="BJ12"/>
  <c r="BH12"/>
  <c r="BH13" s="1"/>
  <c r="BF12"/>
  <c r="BF13" s="1"/>
  <c r="BD12"/>
  <c r="BB12"/>
  <c r="AZ12"/>
  <c r="AX12"/>
  <c r="AX13" s="1"/>
  <c r="AV12"/>
  <c r="AV13" s="1"/>
  <c r="AT12"/>
  <c r="AT13" s="1"/>
  <c r="AR12"/>
  <c r="AP12"/>
  <c r="AN12"/>
  <c r="AL12"/>
  <c r="AL13" s="1"/>
  <c r="AJ12"/>
  <c r="AJ13" s="1"/>
  <c r="AH12"/>
  <c r="AH13" s="1"/>
  <c r="AF12"/>
  <c r="AF13" s="1"/>
  <c r="AD12"/>
  <c r="AB12"/>
  <c r="AB13" s="1"/>
  <c r="BK50" i="42"/>
  <c r="G50" s="1"/>
  <c r="BJ50"/>
  <c r="BH50"/>
  <c r="BF50"/>
  <c r="BD50"/>
  <c r="BB50"/>
  <c r="AZ50"/>
  <c r="AX50"/>
  <c r="AV50"/>
  <c r="AR50"/>
  <c r="AP50"/>
  <c r="AN50"/>
  <c r="AL50"/>
  <c r="AJ50"/>
  <c r="AH50"/>
  <c r="AF50"/>
  <c r="BK49"/>
  <c r="G49" s="1"/>
  <c r="V49" s="1"/>
  <c r="BJ49"/>
  <c r="BH49"/>
  <c r="BF49"/>
  <c r="BD49"/>
  <c r="BB49"/>
  <c r="AZ49"/>
  <c r="AX49"/>
  <c r="AV49"/>
  <c r="AT49"/>
  <c r="AR49"/>
  <c r="AP49"/>
  <c r="AN49"/>
  <c r="AL49"/>
  <c r="AJ49"/>
  <c r="AH49"/>
  <c r="AF49"/>
  <c r="AD49"/>
  <c r="AB49"/>
  <c r="BK48"/>
  <c r="G48" s="1"/>
  <c r="BJ48"/>
  <c r="BH48"/>
  <c r="BF48"/>
  <c r="BD48"/>
  <c r="BB48"/>
  <c r="AZ48"/>
  <c r="AX48"/>
  <c r="BJ47"/>
  <c r="BH47"/>
  <c r="BF47"/>
  <c r="BD47"/>
  <c r="BB47"/>
  <c r="AZ47"/>
  <c r="AX47"/>
  <c r="AV47"/>
  <c r="AT47"/>
  <c r="AR47"/>
  <c r="AP47"/>
  <c r="AN47"/>
  <c r="AL47"/>
  <c r="AJ47"/>
  <c r="AH47"/>
  <c r="AF47"/>
  <c r="AD47"/>
  <c r="AB47"/>
  <c r="BJ41"/>
  <c r="BJ46" s="1"/>
  <c r="BH41"/>
  <c r="BF41"/>
  <c r="BD41"/>
  <c r="BB41"/>
  <c r="BB46" s="1"/>
  <c r="AZ41"/>
  <c r="AX41"/>
  <c r="AV41"/>
  <c r="AT41"/>
  <c r="AR41"/>
  <c r="AR46" s="1"/>
  <c r="AP41"/>
  <c r="AN41"/>
  <c r="AL41"/>
  <c r="AJ41"/>
  <c r="AH41"/>
  <c r="AF41"/>
  <c r="AD41"/>
  <c r="AB41"/>
  <c r="BK38"/>
  <c r="G38" s="1"/>
  <c r="U38" s="1"/>
  <c r="BH38"/>
  <c r="BF38"/>
  <c r="BD38"/>
  <c r="BB38"/>
  <c r="AZ38"/>
  <c r="AX38"/>
  <c r="AV38"/>
  <c r="AT38"/>
  <c r="AR38"/>
  <c r="AP38"/>
  <c r="AN38"/>
  <c r="AL38"/>
  <c r="AJ38"/>
  <c r="AH38"/>
  <c r="AF38"/>
  <c r="AD38"/>
  <c r="AB38"/>
  <c r="BK30"/>
  <c r="G30" s="1"/>
  <c r="BJ30"/>
  <c r="BH30"/>
  <c r="BF30"/>
  <c r="BD30"/>
  <c r="BB30"/>
  <c r="AZ30"/>
  <c r="AV30"/>
  <c r="AV39" s="1"/>
  <c r="AT30"/>
  <c r="AR30"/>
  <c r="AP30"/>
  <c r="AN30"/>
  <c r="AL30"/>
  <c r="AJ30"/>
  <c r="AJ39" s="1"/>
  <c r="AH30"/>
  <c r="AF30"/>
  <c r="AD30"/>
  <c r="AB30"/>
  <c r="BK27"/>
  <c r="G27" s="1"/>
  <c r="BJ27"/>
  <c r="BH27"/>
  <c r="BF27"/>
  <c r="BD27"/>
  <c r="BB27"/>
  <c r="AZ27"/>
  <c r="AX27"/>
  <c r="AV27"/>
  <c r="AT27"/>
  <c r="AR27"/>
  <c r="AP27"/>
  <c r="AN27"/>
  <c r="AL27"/>
  <c r="AJ27"/>
  <c r="AH27"/>
  <c r="AF27"/>
  <c r="AD27"/>
  <c r="AB27"/>
  <c r="BJ22"/>
  <c r="BH22"/>
  <c r="BF22"/>
  <c r="BJ21"/>
  <c r="BH21"/>
  <c r="BF21"/>
  <c r="BD21"/>
  <c r="BB21"/>
  <c r="AZ21"/>
  <c r="AX21"/>
  <c r="BK18"/>
  <c r="G18" s="1"/>
  <c r="BJ18"/>
  <c r="BH18"/>
  <c r="BF18"/>
  <c r="BD18"/>
  <c r="BB18"/>
  <c r="AZ18"/>
  <c r="AX18"/>
  <c r="AV18"/>
  <c r="AT18"/>
  <c r="AR18"/>
  <c r="AP18"/>
  <c r="AN18"/>
  <c r="AL18"/>
  <c r="AJ18"/>
  <c r="AH18"/>
  <c r="AF18"/>
  <c r="AD18"/>
  <c r="AB18"/>
  <c r="BK17"/>
  <c r="BJ17"/>
  <c r="BH17"/>
  <c r="BF17"/>
  <c r="BD17"/>
  <c r="BB17"/>
  <c r="BB19" s="1"/>
  <c r="AZ17"/>
  <c r="AX17"/>
  <c r="AV17"/>
  <c r="AT17"/>
  <c r="AR17"/>
  <c r="AP17"/>
  <c r="AN17"/>
  <c r="AL17"/>
  <c r="AJ17"/>
  <c r="AH17"/>
  <c r="AF17"/>
  <c r="AD17"/>
  <c r="AB17"/>
  <c r="BK14"/>
  <c r="G14" s="1"/>
  <c r="S14" s="1"/>
  <c r="W14" s="1"/>
  <c r="BJ14"/>
  <c r="BH14"/>
  <c r="BF14"/>
  <c r="BD14"/>
  <c r="BB14"/>
  <c r="AZ14"/>
  <c r="AX14"/>
  <c r="AV14"/>
  <c r="AT14"/>
  <c r="AR14"/>
  <c r="AP14"/>
  <c r="AN14"/>
  <c r="AL14"/>
  <c r="AJ14"/>
  <c r="AH14"/>
  <c r="AF14"/>
  <c r="AD14"/>
  <c r="AB14"/>
  <c r="BK12"/>
  <c r="G12" s="1"/>
  <c r="V12" s="1"/>
  <c r="BJ12"/>
  <c r="BH12"/>
  <c r="BF12"/>
  <c r="BD12"/>
  <c r="BB12"/>
  <c r="AZ12"/>
  <c r="AX12"/>
  <c r="AV12"/>
  <c r="AT12"/>
  <c r="AR12"/>
  <c r="AP12"/>
  <c r="AN12"/>
  <c r="AL12"/>
  <c r="AJ12"/>
  <c r="AH12"/>
  <c r="AF12"/>
  <c r="AD12"/>
  <c r="AB12"/>
  <c r="BK11"/>
  <c r="G11" s="1"/>
  <c r="BJ11"/>
  <c r="BB11"/>
  <c r="AT11"/>
  <c r="AR11"/>
  <c r="AN11"/>
  <c r="Y98" i="45"/>
  <c r="X98"/>
  <c r="Y95"/>
  <c r="Y93"/>
  <c r="Y92"/>
  <c r="X92"/>
  <c r="Y91"/>
  <c r="Y90"/>
  <c r="Y88"/>
  <c r="X88"/>
  <c r="Y87"/>
  <c r="X87"/>
  <c r="Y86"/>
  <c r="X86"/>
  <c r="Y79"/>
  <c r="BU53"/>
  <c r="BN53"/>
  <c r="BR53" s="1"/>
  <c r="BV53" s="1"/>
  <c r="BU23"/>
  <c r="BN23"/>
  <c r="BR23" s="1"/>
  <c r="BH11" i="42"/>
  <c r="BH15" s="1"/>
  <c r="BF11"/>
  <c r="BD11"/>
  <c r="AZ11"/>
  <c r="AX11"/>
  <c r="AV11"/>
  <c r="AP11"/>
  <c r="AL11"/>
  <c r="AJ11"/>
  <c r="AH11"/>
  <c r="AF11"/>
  <c r="AD11"/>
  <c r="AB11"/>
  <c r="BI44" i="41"/>
  <c r="E44" s="1"/>
  <c r="BI38"/>
  <c r="BI35"/>
  <c r="E35" s="1"/>
  <c r="BI33"/>
  <c r="E33" s="1"/>
  <c r="BI22"/>
  <c r="BI21"/>
  <c r="BI18"/>
  <c r="E18" s="1"/>
  <c r="BI17"/>
  <c r="E17" s="1"/>
  <c r="BI13"/>
  <c r="BH13"/>
  <c r="BH17"/>
  <c r="BH18"/>
  <c r="BH21"/>
  <c r="BH22"/>
  <c r="BH33"/>
  <c r="BH35"/>
  <c r="BH38"/>
  <c r="BH44"/>
  <c r="BF13"/>
  <c r="BF17"/>
  <c r="BF18"/>
  <c r="BF21"/>
  <c r="BF22"/>
  <c r="BF33"/>
  <c r="BF35"/>
  <c r="BF38"/>
  <c r="BF44"/>
  <c r="BD13"/>
  <c r="BD17"/>
  <c r="BD18"/>
  <c r="BD21"/>
  <c r="BD22"/>
  <c r="BD33"/>
  <c r="BD35"/>
  <c r="BD38"/>
  <c r="BD44"/>
  <c r="BB13"/>
  <c r="BB17"/>
  <c r="BB18"/>
  <c r="BB21"/>
  <c r="BB22"/>
  <c r="BB33"/>
  <c r="BB35"/>
  <c r="BB38"/>
  <c r="BB44"/>
  <c r="AZ13"/>
  <c r="AZ17"/>
  <c r="AZ18"/>
  <c r="AZ21"/>
  <c r="AZ22"/>
  <c r="AZ33"/>
  <c r="AZ35"/>
  <c r="AZ38"/>
  <c r="AZ44"/>
  <c r="AX13"/>
  <c r="AX17"/>
  <c r="AX18"/>
  <c r="AX21"/>
  <c r="AX22"/>
  <c r="AX33"/>
  <c r="AX35"/>
  <c r="AX38"/>
  <c r="AX44"/>
  <c r="AV13"/>
  <c r="AV17"/>
  <c r="AV18"/>
  <c r="AV21"/>
  <c r="AV22"/>
  <c r="AV35"/>
  <c r="AV38"/>
  <c r="AV44"/>
  <c r="AT13"/>
  <c r="AT17"/>
  <c r="AT18"/>
  <c r="AT21"/>
  <c r="AT22"/>
  <c r="AT35"/>
  <c r="AT38"/>
  <c r="AT44"/>
  <c r="AR13"/>
  <c r="AR17"/>
  <c r="AR18"/>
  <c r="AR21"/>
  <c r="AR22"/>
  <c r="AR35"/>
  <c r="AR38"/>
  <c r="AR44"/>
  <c r="AP13"/>
  <c r="AP17"/>
  <c r="AP18"/>
  <c r="AP21"/>
  <c r="AP22"/>
  <c r="AP33"/>
  <c r="AP35"/>
  <c r="AP38"/>
  <c r="AP44"/>
  <c r="AN13"/>
  <c r="AN17"/>
  <c r="AN18"/>
  <c r="AN21"/>
  <c r="AN22"/>
  <c r="AN33"/>
  <c r="AN35"/>
  <c r="AN38"/>
  <c r="AN44"/>
  <c r="AL13"/>
  <c r="AL17"/>
  <c r="AL20" s="1"/>
  <c r="AL21"/>
  <c r="AL22"/>
  <c r="AL37" s="1"/>
  <c r="AL33"/>
  <c r="AL35"/>
  <c r="AL38"/>
  <c r="AL44"/>
  <c r="AJ13"/>
  <c r="AJ17"/>
  <c r="AJ18"/>
  <c r="AJ21"/>
  <c r="AJ22"/>
  <c r="AJ33"/>
  <c r="AJ35"/>
  <c r="AJ38"/>
  <c r="AJ44"/>
  <c r="AH13"/>
  <c r="AH17"/>
  <c r="AH18"/>
  <c r="AH21"/>
  <c r="AH22"/>
  <c r="AH37" s="1"/>
  <c r="AH33"/>
  <c r="AH35"/>
  <c r="AH38"/>
  <c r="AH44"/>
  <c r="AF13"/>
  <c r="AF17"/>
  <c r="AF18"/>
  <c r="AF21"/>
  <c r="AF22"/>
  <c r="AF33"/>
  <c r="AF35"/>
  <c r="AF38"/>
  <c r="AF44"/>
  <c r="AD13"/>
  <c r="AD17"/>
  <c r="AD18"/>
  <c r="AD21"/>
  <c r="AD22"/>
  <c r="AD37" s="1"/>
  <c r="AD33"/>
  <c r="AD35"/>
  <c r="AD38"/>
  <c r="AD44"/>
  <c r="AB13"/>
  <c r="AB17"/>
  <c r="AB18"/>
  <c r="AB21"/>
  <c r="AB22"/>
  <c r="AB33"/>
  <c r="AB35"/>
  <c r="AB38"/>
  <c r="AB44"/>
  <c r="Z13"/>
  <c r="Z17"/>
  <c r="Z18"/>
  <c r="Z21"/>
  <c r="Z22"/>
  <c r="Z35"/>
  <c r="Z38"/>
  <c r="Z44"/>
  <c r="BJ87" i="24"/>
  <c r="F87" s="1"/>
  <c r="BJ86"/>
  <c r="F86" s="1"/>
  <c r="BJ85"/>
  <c r="F85" s="1"/>
  <c r="BJ83"/>
  <c r="F83" s="1"/>
  <c r="T83" s="1"/>
  <c r="X83" s="1"/>
  <c r="BJ82"/>
  <c r="F82" s="1"/>
  <c r="BJ81"/>
  <c r="F81" s="1"/>
  <c r="BJ78"/>
  <c r="F78" s="1"/>
  <c r="BJ77"/>
  <c r="F77" s="1"/>
  <c r="BJ76"/>
  <c r="F76" s="1"/>
  <c r="G76" s="1"/>
  <c r="BJ75"/>
  <c r="F75" s="1"/>
  <c r="BJ74"/>
  <c r="F74"/>
  <c r="BJ73"/>
  <c r="F73" s="1"/>
  <c r="U73" s="1"/>
  <c r="Y73" s="1"/>
  <c r="BJ72"/>
  <c r="F72" s="1"/>
  <c r="BJ71"/>
  <c r="F71" s="1"/>
  <c r="R71" s="1"/>
  <c r="V71" s="1"/>
  <c r="BJ70"/>
  <c r="F70" s="1"/>
  <c r="BJ69"/>
  <c r="F69" s="1"/>
  <c r="BJ68"/>
  <c r="F68" s="1"/>
  <c r="BJ67"/>
  <c r="F67" s="1"/>
  <c r="S67" s="1"/>
  <c r="BJ66"/>
  <c r="F66" s="1"/>
  <c r="BJ65"/>
  <c r="F65" s="1"/>
  <c r="BJ64"/>
  <c r="F64" s="1"/>
  <c r="F63"/>
  <c r="T63" s="1"/>
  <c r="X63" s="1"/>
  <c r="BJ60"/>
  <c r="F60" s="1"/>
  <c r="BJ59"/>
  <c r="BJ58"/>
  <c r="F58" s="1"/>
  <c r="BJ57"/>
  <c r="F57" s="1"/>
  <c r="BJ56"/>
  <c r="F56" s="1"/>
  <c r="BJ55"/>
  <c r="F55" s="1"/>
  <c r="BJ54"/>
  <c r="F54" s="1"/>
  <c r="S54" s="1"/>
  <c r="W54" s="1"/>
  <c r="BJ53"/>
  <c r="F53" s="1"/>
  <c r="G53" s="1"/>
  <c r="H53" s="1"/>
  <c r="BJ52"/>
  <c r="BJ51"/>
  <c r="BJ50"/>
  <c r="BJ49"/>
  <c r="BJ47"/>
  <c r="F47" s="1"/>
  <c r="T47" s="1"/>
  <c r="X47" s="1"/>
  <c r="BJ46"/>
  <c r="BJ45"/>
  <c r="F45" s="1"/>
  <c r="T45" s="1"/>
  <c r="X45" s="1"/>
  <c r="BJ44"/>
  <c r="F44" s="1"/>
  <c r="F42"/>
  <c r="G42" s="1"/>
  <c r="BJ41"/>
  <c r="F41" s="1"/>
  <c r="BJ40"/>
  <c r="F40" s="1"/>
  <c r="G40" s="1"/>
  <c r="BJ39"/>
  <c r="F39" s="1"/>
  <c r="BJ38"/>
  <c r="F38" s="1"/>
  <c r="BJ37"/>
  <c r="F37" s="1"/>
  <c r="T37" s="1"/>
  <c r="X37" s="1"/>
  <c r="BJ36"/>
  <c r="F36" s="1"/>
  <c r="T36" s="1"/>
  <c r="X36" s="1"/>
  <c r="BJ35"/>
  <c r="F35" s="1"/>
  <c r="BJ34"/>
  <c r="BJ32"/>
  <c r="F32" s="1"/>
  <c r="BJ31"/>
  <c r="F31" s="1"/>
  <c r="BJ30"/>
  <c r="F30" s="1"/>
  <c r="S30" s="1"/>
  <c r="W30" s="1"/>
  <c r="BJ29"/>
  <c r="BJ28"/>
  <c r="F28" s="1"/>
  <c r="BJ27"/>
  <c r="BJ26"/>
  <c r="BJ12"/>
  <c r="F12" s="1"/>
  <c r="R12" s="1"/>
  <c r="V12" s="1"/>
  <c r="V25" s="1"/>
  <c r="BJ13"/>
  <c r="F13" s="1"/>
  <c r="G13" s="1"/>
  <c r="BJ14"/>
  <c r="F14"/>
  <c r="S14" s="1"/>
  <c r="W14" s="1"/>
  <c r="BJ15"/>
  <c r="F15" s="1"/>
  <c r="G15" s="1"/>
  <c r="H15" s="1"/>
  <c r="BJ17"/>
  <c r="F17" s="1"/>
  <c r="G17" s="1"/>
  <c r="I17" s="1"/>
  <c r="BJ18"/>
  <c r="F18" s="1"/>
  <c r="BJ19"/>
  <c r="BJ20"/>
  <c r="F20" s="1"/>
  <c r="G20" s="1"/>
  <c r="I20" s="1"/>
  <c r="BJ21"/>
  <c r="F21" s="1"/>
  <c r="S21" s="1"/>
  <c r="W21" s="1"/>
  <c r="BJ22"/>
  <c r="F22" s="1"/>
  <c r="BJ23"/>
  <c r="F23" s="1"/>
  <c r="S23" s="1"/>
  <c r="W23" s="1"/>
  <c r="BJ24"/>
  <c r="F24" s="1"/>
  <c r="BI13"/>
  <c r="BK13" s="1"/>
  <c r="BP13" s="1"/>
  <c r="BR13" s="1"/>
  <c r="BI14"/>
  <c r="BK14" s="1"/>
  <c r="BP14" s="1"/>
  <c r="BR14" s="1"/>
  <c r="BV14" s="1"/>
  <c r="BI15"/>
  <c r="BI17"/>
  <c r="BK17"/>
  <c r="BP17" s="1"/>
  <c r="BR17" s="1"/>
  <c r="BV17" s="1"/>
  <c r="BI18"/>
  <c r="BI19"/>
  <c r="BK19" s="1"/>
  <c r="BP19" s="1"/>
  <c r="BR19" s="1"/>
  <c r="BI20"/>
  <c r="BK20" s="1"/>
  <c r="BP20" s="1"/>
  <c r="BR20" s="1"/>
  <c r="BV20" s="1"/>
  <c r="BI21"/>
  <c r="BK21" s="1"/>
  <c r="BP21" s="1"/>
  <c r="BR21" s="1"/>
  <c r="BI22"/>
  <c r="BK22" s="1"/>
  <c r="BP22" s="1"/>
  <c r="BR22" s="1"/>
  <c r="BI23"/>
  <c r="BK23" s="1"/>
  <c r="BP23" s="1"/>
  <c r="BR23" s="1"/>
  <c r="BV23" s="1"/>
  <c r="BI24"/>
  <c r="BI26"/>
  <c r="BK26" s="1"/>
  <c r="BI27"/>
  <c r="BK27" s="1"/>
  <c r="BI28"/>
  <c r="BI29"/>
  <c r="BK29" s="1"/>
  <c r="BI30"/>
  <c r="BK30" s="1"/>
  <c r="BI31"/>
  <c r="BK31" s="1"/>
  <c r="BI32"/>
  <c r="BK32" s="1"/>
  <c r="BI34"/>
  <c r="BI35"/>
  <c r="BK35" s="1"/>
  <c r="BI36"/>
  <c r="BI37"/>
  <c r="BI38"/>
  <c r="BK38" s="1"/>
  <c r="BO38" s="1"/>
  <c r="BR38" s="1"/>
  <c r="BI39"/>
  <c r="BK39" s="1"/>
  <c r="BT39" s="1"/>
  <c r="BI40"/>
  <c r="BK40" s="1"/>
  <c r="BI41"/>
  <c r="BK41" s="1"/>
  <c r="BI42"/>
  <c r="BK42" s="1"/>
  <c r="BI44"/>
  <c r="BK44" s="1"/>
  <c r="BT44" s="1"/>
  <c r="BU44" s="1"/>
  <c r="BI45"/>
  <c r="BK45" s="1"/>
  <c r="BT45" s="1"/>
  <c r="BI46"/>
  <c r="BK46" s="1"/>
  <c r="BI47"/>
  <c r="BK47" s="1"/>
  <c r="BO47" s="1"/>
  <c r="BI49"/>
  <c r="BK49" s="1"/>
  <c r="BI50"/>
  <c r="BK50" s="1"/>
  <c r="BI51"/>
  <c r="BK51" s="1"/>
  <c r="BI52"/>
  <c r="BK52" s="1"/>
  <c r="BI53"/>
  <c r="BI54"/>
  <c r="BK54" s="1"/>
  <c r="BI55"/>
  <c r="BK55" s="1"/>
  <c r="BS55" s="1"/>
  <c r="BU55" s="1"/>
  <c r="BV55" s="1"/>
  <c r="BI56"/>
  <c r="BK56" s="1"/>
  <c r="BS56" s="1"/>
  <c r="BU56" s="1"/>
  <c r="BI57"/>
  <c r="BK57" s="1"/>
  <c r="BS57" s="1"/>
  <c r="BU57" s="1"/>
  <c r="BI58"/>
  <c r="BK58" s="1"/>
  <c r="BS58" s="1"/>
  <c r="BU58" s="1"/>
  <c r="BV58" s="1"/>
  <c r="BI59"/>
  <c r="BK59" s="1"/>
  <c r="BS59" s="1"/>
  <c r="BU59" s="1"/>
  <c r="BI60"/>
  <c r="BK60" s="1"/>
  <c r="BI61"/>
  <c r="BK61" s="1"/>
  <c r="BS61" s="1"/>
  <c r="BI63"/>
  <c r="BK63" s="1"/>
  <c r="BS63" s="1"/>
  <c r="BU63" s="1"/>
  <c r="BV63" s="1"/>
  <c r="BI64"/>
  <c r="BK64" s="1"/>
  <c r="BS64" s="1"/>
  <c r="BU64" s="1"/>
  <c r="BI65"/>
  <c r="BK65" s="1"/>
  <c r="BS65" s="1"/>
  <c r="BU65" s="1"/>
  <c r="BI66"/>
  <c r="BK66" s="1"/>
  <c r="BS66" s="1"/>
  <c r="BU66" s="1"/>
  <c r="BI67"/>
  <c r="BK67" s="1"/>
  <c r="BS67" s="1"/>
  <c r="BI68"/>
  <c r="BK68" s="1"/>
  <c r="BS68" s="1"/>
  <c r="BI69"/>
  <c r="BK69" s="1"/>
  <c r="BS69" s="1"/>
  <c r="BU69" s="1"/>
  <c r="BV69" s="1"/>
  <c r="BI70"/>
  <c r="BI71"/>
  <c r="BK71" s="1"/>
  <c r="BS71" s="1"/>
  <c r="BU71" s="1"/>
  <c r="BI72"/>
  <c r="BK72" s="1"/>
  <c r="BS72" s="1"/>
  <c r="BU72" s="1"/>
  <c r="BI73"/>
  <c r="BK73" s="1"/>
  <c r="BS73" s="1"/>
  <c r="BU73" s="1"/>
  <c r="BI74"/>
  <c r="BK74" s="1"/>
  <c r="BS74" s="1"/>
  <c r="BU74" s="1"/>
  <c r="BI75"/>
  <c r="BK75" s="1"/>
  <c r="BS75" s="1"/>
  <c r="BU75" s="1"/>
  <c r="BV75" s="1"/>
  <c r="BI76"/>
  <c r="BK76" s="1"/>
  <c r="BS76" s="1"/>
  <c r="BU76" s="1"/>
  <c r="BI77"/>
  <c r="BK77" s="1"/>
  <c r="BS77" s="1"/>
  <c r="BU77" s="1"/>
  <c r="BI78"/>
  <c r="BK78" s="1"/>
  <c r="BS78" s="1"/>
  <c r="BU78" s="1"/>
  <c r="BI81"/>
  <c r="BI82"/>
  <c r="BK82" s="1"/>
  <c r="BI83"/>
  <c r="BK83"/>
  <c r="BI84"/>
  <c r="BK84" s="1"/>
  <c r="BI85"/>
  <c r="BK85" s="1"/>
  <c r="BT85" s="1"/>
  <c r="BU85" s="1"/>
  <c r="BI86"/>
  <c r="BK86" s="1"/>
  <c r="BT86" s="1"/>
  <c r="BU86" s="1"/>
  <c r="BI87"/>
  <c r="BK87" s="1"/>
  <c r="BT87" s="1"/>
  <c r="BU87" s="1"/>
  <c r="BI12"/>
  <c r="BK12" s="1"/>
  <c r="AA14" i="26"/>
  <c r="BC14"/>
  <c r="BC35" s="1"/>
  <c r="AG28" i="39" s="1"/>
  <c r="BD14" i="26"/>
  <c r="BE14"/>
  <c r="BG14"/>
  <c r="BI14"/>
  <c r="AC14"/>
  <c r="AE14"/>
  <c r="AG14"/>
  <c r="AG35" s="1"/>
  <c r="K28" i="39" s="1"/>
  <c r="AI14" i="26"/>
  <c r="AK14"/>
  <c r="AM14"/>
  <c r="AO14"/>
  <c r="AO35" s="1"/>
  <c r="S28" i="39" s="1"/>
  <c r="AQ14" i="26"/>
  <c r="AS14"/>
  <c r="AU14"/>
  <c r="AV14"/>
  <c r="AV35" s="1"/>
  <c r="Z28" i="39" s="1"/>
  <c r="AW14" i="26"/>
  <c r="AY14"/>
  <c r="BA14"/>
  <c r="AB13"/>
  <c r="AD13"/>
  <c r="AF13"/>
  <c r="AJ13"/>
  <c r="AN13"/>
  <c r="AT13"/>
  <c r="AT14" s="1"/>
  <c r="BB13"/>
  <c r="AB16"/>
  <c r="AD16"/>
  <c r="AF16"/>
  <c r="AH16"/>
  <c r="AJ16"/>
  <c r="AN16"/>
  <c r="AR16"/>
  <c r="AR18" s="1"/>
  <c r="AT16"/>
  <c r="AB17"/>
  <c r="AD17"/>
  <c r="AF17"/>
  <c r="AH17"/>
  <c r="AJ17"/>
  <c r="AN17"/>
  <c r="AR17"/>
  <c r="AT17"/>
  <c r="BB17"/>
  <c r="BB18" s="1"/>
  <c r="AB19"/>
  <c r="AD19"/>
  <c r="AF19"/>
  <c r="AH19"/>
  <c r="AJ19"/>
  <c r="AR19"/>
  <c r="AT19"/>
  <c r="BB19"/>
  <c r="AH20"/>
  <c r="AJ20"/>
  <c r="AN20"/>
  <c r="AR20"/>
  <c r="AT20"/>
  <c r="BB20"/>
  <c r="AB21"/>
  <c r="AD21"/>
  <c r="AF21"/>
  <c r="AF22" s="1"/>
  <c r="AH21"/>
  <c r="AJ21"/>
  <c r="AJ22" s="1"/>
  <c r="AN21"/>
  <c r="AR21"/>
  <c r="AT21"/>
  <c r="BB21"/>
  <c r="AB23"/>
  <c r="AD23"/>
  <c r="AF23"/>
  <c r="AH23"/>
  <c r="AJ23"/>
  <c r="AN23"/>
  <c r="AR23"/>
  <c r="AT23"/>
  <c r="BB23"/>
  <c r="AB24"/>
  <c r="AD24"/>
  <c r="AF24"/>
  <c r="AH24"/>
  <c r="AJ24"/>
  <c r="AN24"/>
  <c r="AR24"/>
  <c r="AT24"/>
  <c r="BB24"/>
  <c r="AB25"/>
  <c r="AD25"/>
  <c r="AF25"/>
  <c r="AH25"/>
  <c r="AJ25"/>
  <c r="AN25"/>
  <c r="AR25"/>
  <c r="AT25"/>
  <c r="BB25"/>
  <c r="AB26"/>
  <c r="AD26"/>
  <c r="AF26"/>
  <c r="AF27" s="1"/>
  <c r="AH26"/>
  <c r="AJ26"/>
  <c r="AN26"/>
  <c r="AR26"/>
  <c r="AT26"/>
  <c r="BB26"/>
  <c r="BB27" s="1"/>
  <c r="AB28"/>
  <c r="AD28"/>
  <c r="AF28"/>
  <c r="AH28"/>
  <c r="AJ28"/>
  <c r="AN28"/>
  <c r="AR28"/>
  <c r="AT28"/>
  <c r="BB28"/>
  <c r="AB29"/>
  <c r="AD29"/>
  <c r="AF29"/>
  <c r="AH29"/>
  <c r="AJ29"/>
  <c r="AN29"/>
  <c r="AR29"/>
  <c r="AT29"/>
  <c r="BB29"/>
  <c r="AB30"/>
  <c r="AD30"/>
  <c r="AF30"/>
  <c r="AH30"/>
  <c r="AJ30"/>
  <c r="AN30"/>
  <c r="AR30"/>
  <c r="AT30"/>
  <c r="BB30"/>
  <c r="AB31"/>
  <c r="AD31"/>
  <c r="AF31"/>
  <c r="AH31"/>
  <c r="AJ31"/>
  <c r="AN31"/>
  <c r="AR31"/>
  <c r="AT31"/>
  <c r="BB31"/>
  <c r="AT32"/>
  <c r="BB32"/>
  <c r="AB33"/>
  <c r="AD33"/>
  <c r="AF33"/>
  <c r="AH33"/>
  <c r="AH34" s="1"/>
  <c r="AJ33"/>
  <c r="AN33"/>
  <c r="AR33"/>
  <c r="AT33"/>
  <c r="BB33"/>
  <c r="BB12"/>
  <c r="AT12"/>
  <c r="AR12"/>
  <c r="AN12"/>
  <c r="AJ12"/>
  <c r="AH12"/>
  <c r="AH14" s="1"/>
  <c r="AF12"/>
  <c r="AD12"/>
  <c r="AB12"/>
  <c r="BI54" i="25"/>
  <c r="BG54"/>
  <c r="BE54"/>
  <c r="BC54"/>
  <c r="BA54"/>
  <c r="AS54"/>
  <c r="AQ54"/>
  <c r="AM54"/>
  <c r="AI54"/>
  <c r="AG54"/>
  <c r="AE54"/>
  <c r="AC54"/>
  <c r="AA54"/>
  <c r="BI53"/>
  <c r="BG53"/>
  <c r="BE53"/>
  <c r="BC53"/>
  <c r="BA53"/>
  <c r="AS53"/>
  <c r="AQ53"/>
  <c r="AM53"/>
  <c r="AI53"/>
  <c r="AG53"/>
  <c r="AE53"/>
  <c r="AC53"/>
  <c r="AA53"/>
  <c r="BI52"/>
  <c r="BG52"/>
  <c r="BE52"/>
  <c r="BC52"/>
  <c r="BA52"/>
  <c r="AS52"/>
  <c r="AQ52"/>
  <c r="AM52"/>
  <c r="AI52"/>
  <c r="AG52"/>
  <c r="AE52"/>
  <c r="AC52"/>
  <c r="AA52"/>
  <c r="BI51"/>
  <c r="BG51"/>
  <c r="BE51"/>
  <c r="BC51"/>
  <c r="BA51"/>
  <c r="AS51"/>
  <c r="AQ51"/>
  <c r="AM51"/>
  <c r="AI51"/>
  <c r="AG51"/>
  <c r="AE51"/>
  <c r="AC51"/>
  <c r="AA51"/>
  <c r="BI50"/>
  <c r="BG50"/>
  <c r="BE50"/>
  <c r="BC50"/>
  <c r="BA50"/>
  <c r="AS50"/>
  <c r="AQ50"/>
  <c r="AM50"/>
  <c r="AI50"/>
  <c r="AG50"/>
  <c r="AE50"/>
  <c r="AC50"/>
  <c r="AA50"/>
  <c r="BI47"/>
  <c r="BG47"/>
  <c r="BE47"/>
  <c r="BC47"/>
  <c r="BA47"/>
  <c r="AS47"/>
  <c r="AQ47"/>
  <c r="AM47"/>
  <c r="AI47"/>
  <c r="AG47"/>
  <c r="AE47"/>
  <c r="AC47"/>
  <c r="AA47"/>
  <c r="BI46"/>
  <c r="BG46"/>
  <c r="BE46"/>
  <c r="BC46"/>
  <c r="BA46"/>
  <c r="AS46"/>
  <c r="AQ46"/>
  <c r="AM46"/>
  <c r="AI46"/>
  <c r="AG46"/>
  <c r="AE46"/>
  <c r="AC46"/>
  <c r="AA46"/>
  <c r="BI45"/>
  <c r="BG45"/>
  <c r="BE45"/>
  <c r="BC45"/>
  <c r="BA45"/>
  <c r="AS45"/>
  <c r="AQ45"/>
  <c r="AM45"/>
  <c r="AI45"/>
  <c r="AG45"/>
  <c r="AE45"/>
  <c r="AC45"/>
  <c r="AA45"/>
  <c r="BI44"/>
  <c r="BG44"/>
  <c r="BC44"/>
  <c r="AQ44"/>
  <c r="AM44"/>
  <c r="AG44"/>
  <c r="AA44"/>
  <c r="BI43"/>
  <c r="BG43"/>
  <c r="BE43"/>
  <c r="BC43"/>
  <c r="BA43"/>
  <c r="AS43"/>
  <c r="AQ43"/>
  <c r="AM43"/>
  <c r="AI43"/>
  <c r="AG43"/>
  <c r="AE43"/>
  <c r="AC43"/>
  <c r="AA43"/>
  <c r="BI42"/>
  <c r="BG42"/>
  <c r="BE42"/>
  <c r="BC42"/>
  <c r="BA42"/>
  <c r="AS42"/>
  <c r="AQ42"/>
  <c r="AM42"/>
  <c r="AI42"/>
  <c r="AG42"/>
  <c r="AE42"/>
  <c r="AC42"/>
  <c r="AA42"/>
  <c r="BI41"/>
  <c r="BG41"/>
  <c r="BE41"/>
  <c r="BC41"/>
  <c r="BA41"/>
  <c r="AS41"/>
  <c r="AQ41"/>
  <c r="AM41"/>
  <c r="AI41"/>
  <c r="AG41"/>
  <c r="AE41"/>
  <c r="AC41"/>
  <c r="AA41"/>
  <c r="BI40"/>
  <c r="BG40"/>
  <c r="BE40"/>
  <c r="BC40"/>
  <c r="BA40"/>
  <c r="AS40"/>
  <c r="AQ40"/>
  <c r="AM40"/>
  <c r="AI40"/>
  <c r="AG40"/>
  <c r="AE40"/>
  <c r="AC40"/>
  <c r="AA40"/>
  <c r="BI39"/>
  <c r="BG39"/>
  <c r="BE39"/>
  <c r="BC39"/>
  <c r="BA39"/>
  <c r="AS39"/>
  <c r="AQ39"/>
  <c r="AM39"/>
  <c r="AI39"/>
  <c r="AG39"/>
  <c r="AE39"/>
  <c r="AC39"/>
  <c r="AA39"/>
  <c r="BI38"/>
  <c r="BG38"/>
  <c r="BE38"/>
  <c r="BC38"/>
  <c r="BA38"/>
  <c r="AS38"/>
  <c r="AQ38"/>
  <c r="AM38"/>
  <c r="AI38"/>
  <c r="AG38"/>
  <c r="AE38"/>
  <c r="AC38"/>
  <c r="AA38"/>
  <c r="BI37"/>
  <c r="BG37"/>
  <c r="BE37"/>
  <c r="BC37"/>
  <c r="BA37"/>
  <c r="AS37"/>
  <c r="AQ37"/>
  <c r="AM37"/>
  <c r="AI37"/>
  <c r="AG37"/>
  <c r="AE37"/>
  <c r="AC37"/>
  <c r="AA37"/>
  <c r="BI36"/>
  <c r="BG36"/>
  <c r="BE36"/>
  <c r="BC36"/>
  <c r="BA36"/>
  <c r="AS36"/>
  <c r="AQ36"/>
  <c r="AM36"/>
  <c r="AI36"/>
  <c r="AG36"/>
  <c r="AE36"/>
  <c r="AC36"/>
  <c r="AA36"/>
  <c r="BI35"/>
  <c r="BG35"/>
  <c r="BE35"/>
  <c r="BC35"/>
  <c r="BA35"/>
  <c r="AS35"/>
  <c r="AQ35"/>
  <c r="AM35"/>
  <c r="AI35"/>
  <c r="AG35"/>
  <c r="AE35"/>
  <c r="AC35"/>
  <c r="AA35"/>
  <c r="BI34"/>
  <c r="BG34"/>
  <c r="BE34"/>
  <c r="BC34"/>
  <c r="AS34"/>
  <c r="AQ34"/>
  <c r="AM34"/>
  <c r="AI34"/>
  <c r="AG34"/>
  <c r="AE34"/>
  <c r="AC34"/>
  <c r="AA34"/>
  <c r="AE18"/>
  <c r="AE21"/>
  <c r="AE22"/>
  <c r="AE23"/>
  <c r="AE24"/>
  <c r="AE25"/>
  <c r="AE26"/>
  <c r="AE27"/>
  <c r="AE28"/>
  <c r="AE29"/>
  <c r="AE17"/>
  <c r="AG18"/>
  <c r="AG21"/>
  <c r="AG22"/>
  <c r="AG23"/>
  <c r="AG24"/>
  <c r="AG25"/>
  <c r="AG26"/>
  <c r="AG27"/>
  <c r="AG28"/>
  <c r="AG29"/>
  <c r="AG17"/>
  <c r="AI18"/>
  <c r="AI21"/>
  <c r="AI22"/>
  <c r="AI23"/>
  <c r="AI24"/>
  <c r="AI25"/>
  <c r="AI26"/>
  <c r="AI27"/>
  <c r="AI28"/>
  <c r="AI29"/>
  <c r="AI17"/>
  <c r="AM18"/>
  <c r="AM21"/>
  <c r="AM22"/>
  <c r="AM23"/>
  <c r="AM24"/>
  <c r="AM25"/>
  <c r="AM26"/>
  <c r="AM27"/>
  <c r="AM28"/>
  <c r="AM29"/>
  <c r="AM17"/>
  <c r="AQ18"/>
  <c r="AQ21"/>
  <c r="AQ22"/>
  <c r="AQ23"/>
  <c r="AQ24"/>
  <c r="AQ25"/>
  <c r="AQ26"/>
  <c r="AQ27"/>
  <c r="AQ28"/>
  <c r="AQ29"/>
  <c r="AQ17"/>
  <c r="AS18"/>
  <c r="AS21"/>
  <c r="AS22"/>
  <c r="AS23"/>
  <c r="AS24"/>
  <c r="AS25"/>
  <c r="AS26"/>
  <c r="AS27"/>
  <c r="AS28"/>
  <c r="AS29"/>
  <c r="AS17"/>
  <c r="BA21"/>
  <c r="BA22"/>
  <c r="BA23"/>
  <c r="BA24"/>
  <c r="BA25"/>
  <c r="BA26"/>
  <c r="BA27"/>
  <c r="BA28"/>
  <c r="BA29"/>
  <c r="BA17"/>
  <c r="BC18"/>
  <c r="BC21"/>
  <c r="BC22"/>
  <c r="BC23"/>
  <c r="BC24"/>
  <c r="BC25"/>
  <c r="BC26"/>
  <c r="BC27"/>
  <c r="BC28"/>
  <c r="BC29"/>
  <c r="BC17"/>
  <c r="BE18"/>
  <c r="BE21"/>
  <c r="BE22"/>
  <c r="BE23"/>
  <c r="BE24"/>
  <c r="BE25"/>
  <c r="BE26"/>
  <c r="BE27"/>
  <c r="BE28"/>
  <c r="BE29"/>
  <c r="BE17"/>
  <c r="BG18"/>
  <c r="BG21"/>
  <c r="BG22"/>
  <c r="BG23"/>
  <c r="BG24"/>
  <c r="BG25"/>
  <c r="BG26"/>
  <c r="BG27"/>
  <c r="BG28"/>
  <c r="BG29"/>
  <c r="BG17"/>
  <c r="BI18"/>
  <c r="BI21"/>
  <c r="BI22"/>
  <c r="BI23"/>
  <c r="BI24"/>
  <c r="BI25"/>
  <c r="BI26"/>
  <c r="BI27"/>
  <c r="BI28"/>
  <c r="BI29"/>
  <c r="BI17"/>
  <c r="BJ17"/>
  <c r="AC18"/>
  <c r="AC21"/>
  <c r="AC22"/>
  <c r="AC23"/>
  <c r="AC24"/>
  <c r="AC25"/>
  <c r="AC26"/>
  <c r="AC27"/>
  <c r="AC28"/>
  <c r="AC29"/>
  <c r="AC17"/>
  <c r="AA18"/>
  <c r="AA21"/>
  <c r="AA59" s="1"/>
  <c r="AA22"/>
  <c r="AA23"/>
  <c r="AA24"/>
  <c r="AA25"/>
  <c r="AA26"/>
  <c r="AA27"/>
  <c r="AA28"/>
  <c r="AA29"/>
  <c r="AA17"/>
  <c r="BI12"/>
  <c r="BI16" s="1"/>
  <c r="BI13"/>
  <c r="BI14"/>
  <c r="BG12"/>
  <c r="BG13"/>
  <c r="BG14"/>
  <c r="BE12"/>
  <c r="BE16" s="1"/>
  <c r="BE13"/>
  <c r="BE14"/>
  <c r="BC12"/>
  <c r="BC13"/>
  <c r="BC14"/>
  <c r="BA12"/>
  <c r="BA16" s="1"/>
  <c r="BA13"/>
  <c r="BA14"/>
  <c r="AS12"/>
  <c r="AS13"/>
  <c r="AS14"/>
  <c r="AQ12"/>
  <c r="AQ16" s="1"/>
  <c r="AQ13"/>
  <c r="AQ14"/>
  <c r="AM13"/>
  <c r="AM14"/>
  <c r="AI12"/>
  <c r="AI13"/>
  <c r="AI14"/>
  <c r="AG12"/>
  <c r="AG13"/>
  <c r="AG14"/>
  <c r="AE12"/>
  <c r="AE13"/>
  <c r="AE14"/>
  <c r="AC13"/>
  <c r="AC14"/>
  <c r="AA13"/>
  <c r="AA16" s="1"/>
  <c r="AA14"/>
  <c r="AO15" i="47"/>
  <c r="AU49"/>
  <c r="BP35" i="24"/>
  <c r="BR35" s="1"/>
  <c r="R84"/>
  <c r="V84" s="1"/>
  <c r="G61"/>
  <c r="H61" s="1"/>
  <c r="S61"/>
  <c r="W61" s="1"/>
  <c r="S63"/>
  <c r="W63" s="1"/>
  <c r="R75"/>
  <c r="V75"/>
  <c r="AA28" i="47"/>
  <c r="BJ28"/>
  <c r="F28" s="1"/>
  <c r="S28" s="1"/>
  <c r="W28" s="1"/>
  <c r="BK37" i="24"/>
  <c r="BP37" s="1"/>
  <c r="BK53"/>
  <c r="BT53" s="1"/>
  <c r="I20" i="26"/>
  <c r="AA18" i="45"/>
  <c r="BF15" i="46"/>
  <c r="R19" i="42"/>
  <c r="AA19" i="45"/>
  <c r="AA23" i="47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BH58"/>
  <c r="BG55"/>
  <c r="BG53"/>
  <c r="BG52"/>
  <c r="BJ51"/>
  <c r="BO45"/>
  <c r="BR45" s="1"/>
  <c r="BU27"/>
  <c r="BU26"/>
  <c r="BO26"/>
  <c r="BR26" s="1"/>
  <c r="BT23"/>
  <c r="BT25" s="1"/>
  <c r="BT34" s="1"/>
  <c r="BT44" s="1"/>
  <c r="BT47" s="1"/>
  <c r="BT49" s="1"/>
  <c r="BS23"/>
  <c r="BS25" s="1"/>
  <c r="BS34" s="1"/>
  <c r="BS44" s="1"/>
  <c r="BS47" s="1"/>
  <c r="BS49" s="1"/>
  <c r="BS50" s="1"/>
  <c r="BQ23"/>
  <c r="BQ25" s="1"/>
  <c r="BP23"/>
  <c r="BP25"/>
  <c r="BN23"/>
  <c r="BN25" s="1"/>
  <c r="BN34" s="1"/>
  <c r="BN44" s="1"/>
  <c r="BN47" s="1"/>
  <c r="BN49" s="1"/>
  <c r="BU23"/>
  <c r="BU25" s="1"/>
  <c r="BU13"/>
  <c r="BU15" s="1"/>
  <c r="BU10"/>
  <c r="BV9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BT61" i="46"/>
  <c r="BT60"/>
  <c r="BT59"/>
  <c r="BT58"/>
  <c r="BQ58"/>
  <c r="BT57"/>
  <c r="BQ57"/>
  <c r="BT54"/>
  <c r="BM52"/>
  <c r="BM53" s="1"/>
  <c r="BU36"/>
  <c r="BU33"/>
  <c r="BS31"/>
  <c r="BS32" s="1"/>
  <c r="BS66" s="1"/>
  <c r="BR31"/>
  <c r="BR32" s="1"/>
  <c r="BP31"/>
  <c r="BP32" s="1"/>
  <c r="BO31"/>
  <c r="BO32"/>
  <c r="BM31"/>
  <c r="BT30"/>
  <c r="BT29"/>
  <c r="BT28"/>
  <c r="BT24"/>
  <c r="BT23"/>
  <c r="BT25" s="1"/>
  <c r="BT22"/>
  <c r="BU19"/>
  <c r="BT14"/>
  <c r="BT12"/>
  <c r="BU21" i="45"/>
  <c r="BV17"/>
  <c r="BU14"/>
  <c r="BU13"/>
  <c r="BU12"/>
  <c r="BV11"/>
  <c r="BV10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BV92" i="44"/>
  <c r="BV19"/>
  <c r="BW18"/>
  <c r="BW17"/>
  <c r="BV15"/>
  <c r="BW14"/>
  <c r="BU13"/>
  <c r="BU16" s="1"/>
  <c r="BT13"/>
  <c r="BT16" s="1"/>
  <c r="BR13"/>
  <c r="BR16" s="1"/>
  <c r="BV11"/>
  <c r="BV10"/>
  <c r="BS10"/>
  <c r="BW9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BV58" i="43"/>
  <c r="BV56"/>
  <c r="BV57" s="1"/>
  <c r="BV59" s="1"/>
  <c r="BW59" s="1"/>
  <c r="BV41"/>
  <c r="BV40"/>
  <c r="BV39"/>
  <c r="BV38"/>
  <c r="BV37"/>
  <c r="BW36"/>
  <c r="BV34"/>
  <c r="BV31"/>
  <c r="BV22"/>
  <c r="BW21"/>
  <c r="BV19"/>
  <c r="BV17"/>
  <c r="BV16"/>
  <c r="BW15"/>
  <c r="BW14"/>
  <c r="BV11"/>
  <c r="BW10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BT49" i="42"/>
  <c r="BT52" s="1"/>
  <c r="BP52"/>
  <c r="BV48"/>
  <c r="BV47"/>
  <c r="BV41"/>
  <c r="BV46" s="1"/>
  <c r="BV40"/>
  <c r="BV30"/>
  <c r="BV29"/>
  <c r="BV27"/>
  <c r="BV22"/>
  <c r="BV20"/>
  <c r="BV18"/>
  <c r="BV17"/>
  <c r="BV16"/>
  <c r="BV14"/>
  <c r="BV12"/>
  <c r="BV11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Z5" i="41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T13"/>
  <c r="BU11"/>
  <c r="BR20" i="45"/>
  <c r="BO13" i="44"/>
  <c r="BO16" s="1"/>
  <c r="BO40" i="42"/>
  <c r="BS40" s="1"/>
  <c r="H21" i="41"/>
  <c r="BM21"/>
  <c r="BQ21" s="1"/>
  <c r="BU21" s="1"/>
  <c r="BO27" i="47"/>
  <c r="BR27" s="1"/>
  <c r="BO33"/>
  <c r="BR33" s="1"/>
  <c r="BV33" s="1"/>
  <c r="BN43" i="46"/>
  <c r="BQ43" s="1"/>
  <c r="BU43" s="1"/>
  <c r="BN37"/>
  <c r="BQ37" s="1"/>
  <c r="BU37" s="1"/>
  <c r="BP11" i="44"/>
  <c r="BP13" s="1"/>
  <c r="BO29" i="42"/>
  <c r="BQ29"/>
  <c r="BO20"/>
  <c r="BS20" s="1"/>
  <c r="BO16"/>
  <c r="BS16" s="1"/>
  <c r="BO47"/>
  <c r="BS47" s="1"/>
  <c r="O21" i="41"/>
  <c r="G21"/>
  <c r="BQ38"/>
  <c r="BU38" s="1"/>
  <c r="O38"/>
  <c r="G38"/>
  <c r="H38"/>
  <c r="BQ13" i="43"/>
  <c r="BP47" i="47"/>
  <c r="BP49" s="1"/>
  <c r="BN54" i="46"/>
  <c r="BQ54" s="1"/>
  <c r="BO58" i="43"/>
  <c r="BS58" s="1"/>
  <c r="G58" i="47"/>
  <c r="BR58" i="24"/>
  <c r="Z30" i="26"/>
  <c r="Y30"/>
  <c r="W30"/>
  <c r="BV32"/>
  <c r="BV31"/>
  <c r="BV30"/>
  <c r="BV29"/>
  <c r="BV28"/>
  <c r="BV26"/>
  <c r="BV25"/>
  <c r="BV24"/>
  <c r="BV21"/>
  <c r="BV20"/>
  <c r="BV19"/>
  <c r="BV17"/>
  <c r="BV16"/>
  <c r="BV15"/>
  <c r="BV13"/>
  <c r="BV12"/>
  <c r="BV11"/>
  <c r="BV10"/>
  <c r="BS28"/>
  <c r="BS24"/>
  <c r="BS19"/>
  <c r="BS15"/>
  <c r="BW15"/>
  <c r="BS11"/>
  <c r="BS10"/>
  <c r="BV10" i="25"/>
  <c r="BV11" i="24"/>
  <c r="BV10"/>
  <c r="BU33" i="26"/>
  <c r="BU34" s="1"/>
  <c r="BU35" s="1"/>
  <c r="BT33"/>
  <c r="BT34" s="1"/>
  <c r="BR33"/>
  <c r="BR34" s="1"/>
  <c r="BO33"/>
  <c r="BO34" s="1"/>
  <c r="BS53" i="25"/>
  <c r="BS55" s="1"/>
  <c r="BQ53"/>
  <c r="BQ55" s="1"/>
  <c r="BO53"/>
  <c r="BO55" s="1"/>
  <c r="BN53"/>
  <c r="BN55" s="1"/>
  <c r="BU33"/>
  <c r="BU32"/>
  <c r="BU31"/>
  <c r="BN30"/>
  <c r="BR18"/>
  <c r="BR17"/>
  <c r="BR87" i="24"/>
  <c r="BR86"/>
  <c r="BR85"/>
  <c r="BR84"/>
  <c r="BR83"/>
  <c r="BR82"/>
  <c r="BR81"/>
  <c r="BR80"/>
  <c r="BR79"/>
  <c r="BR78"/>
  <c r="BV78" s="1"/>
  <c r="BR77"/>
  <c r="BR76"/>
  <c r="BR75"/>
  <c r="BR74"/>
  <c r="BR73"/>
  <c r="BR72"/>
  <c r="BR71"/>
  <c r="BT67"/>
  <c r="BT61"/>
  <c r="BU52"/>
  <c r="BU51"/>
  <c r="BU50"/>
  <c r="BU49"/>
  <c r="BS46"/>
  <c r="BQ46"/>
  <c r="BQ48"/>
  <c r="BQ89" s="1"/>
  <c r="BN46"/>
  <c r="BN48" s="1"/>
  <c r="BU35"/>
  <c r="BU33"/>
  <c r="BU32"/>
  <c r="BU31"/>
  <c r="BU30"/>
  <c r="BU29"/>
  <c r="BU28"/>
  <c r="BU27"/>
  <c r="BU26"/>
  <c r="BU25"/>
  <c r="BR12"/>
  <c r="R17" i="25"/>
  <c r="V17" s="1"/>
  <c r="BR60" i="24"/>
  <c r="BR39"/>
  <c r="BP26"/>
  <c r="BR26" s="1"/>
  <c r="BV26" s="1"/>
  <c r="BR64"/>
  <c r="BR56"/>
  <c r="V29" i="25"/>
  <c r="Y29"/>
  <c r="X29"/>
  <c r="BR54"/>
  <c r="X23"/>
  <c r="Y23"/>
  <c r="V23"/>
  <c r="V25"/>
  <c r="Y25"/>
  <c r="X25"/>
  <c r="V27"/>
  <c r="Y27"/>
  <c r="X27"/>
  <c r="V13"/>
  <c r="Y13"/>
  <c r="X13"/>
  <c r="W13"/>
  <c r="V24"/>
  <c r="Y24"/>
  <c r="X24"/>
  <c r="V26"/>
  <c r="Y26"/>
  <c r="X26"/>
  <c r="V28"/>
  <c r="Y28"/>
  <c r="X28"/>
  <c r="BR44"/>
  <c r="X17" i="26"/>
  <c r="W17"/>
  <c r="W29"/>
  <c r="X29"/>
  <c r="Y29"/>
  <c r="Z29"/>
  <c r="W31"/>
  <c r="X31"/>
  <c r="Y31"/>
  <c r="Y34" s="1"/>
  <c r="Z31"/>
  <c r="Z17"/>
  <c r="W21"/>
  <c r="X21"/>
  <c r="Z21"/>
  <c r="Z22" s="1"/>
  <c r="BS80" i="24"/>
  <c r="BU80" s="1"/>
  <c r="BV80" s="1"/>
  <c r="BP50"/>
  <c r="BR50" s="1"/>
  <c r="BR46" i="25"/>
  <c r="BR53" i="24"/>
  <c r="BR37" i="25"/>
  <c r="BT17"/>
  <c r="BU17" s="1"/>
  <c r="R14"/>
  <c r="R16" s="1"/>
  <c r="BR36"/>
  <c r="S17"/>
  <c r="W17" s="1"/>
  <c r="T17"/>
  <c r="X17" s="1"/>
  <c r="U17"/>
  <c r="Y17" s="1"/>
  <c r="L55"/>
  <c r="BR52" i="24"/>
  <c r="BR34" i="25"/>
  <c r="BR43"/>
  <c r="BR52"/>
  <c r="BR66" i="24"/>
  <c r="BP27"/>
  <c r="BR27" s="1"/>
  <c r="BR42" i="25"/>
  <c r="BR45"/>
  <c r="BR39"/>
  <c r="J31" i="26"/>
  <c r="BR38" i="25"/>
  <c r="I31" i="26"/>
  <c r="BP49" i="24"/>
  <c r="BR49" s="1"/>
  <c r="BR40" i="25"/>
  <c r="BR41"/>
  <c r="BR47"/>
  <c r="BR51" i="24"/>
  <c r="BR35" i="25"/>
  <c r="BP32"/>
  <c r="BR32" s="1"/>
  <c r="BP33"/>
  <c r="BR33" s="1"/>
  <c r="BS29" i="26"/>
  <c r="BP34"/>
  <c r="BP31" i="25"/>
  <c r="BR31" s="1"/>
  <c r="P55"/>
  <c r="N55"/>
  <c r="Q55"/>
  <c r="K55"/>
  <c r="L48"/>
  <c r="J48"/>
  <c r="M48"/>
  <c r="P48"/>
  <c r="Q48"/>
  <c r="N48"/>
  <c r="K48"/>
  <c r="O48"/>
  <c r="O55"/>
  <c r="J55"/>
  <c r="M55"/>
  <c r="O14" i="26"/>
  <c r="M14"/>
  <c r="L14"/>
  <c r="Q14"/>
  <c r="Q35" s="1"/>
  <c r="M28" i="20" s="1"/>
  <c r="N14" i="26"/>
  <c r="P14"/>
  <c r="R14"/>
  <c r="K14"/>
  <c r="K35" s="1"/>
  <c r="G28" i="20" s="1"/>
  <c r="BR65" i="24"/>
  <c r="BR59"/>
  <c r="N30" i="25"/>
  <c r="K30"/>
  <c r="O30"/>
  <c r="P30"/>
  <c r="L30"/>
  <c r="L56" s="1"/>
  <c r="I27" i="20" s="1"/>
  <c r="J30" i="25"/>
  <c r="Q30"/>
  <c r="M30"/>
  <c r="BR57" i="24"/>
  <c r="BF49" i="47"/>
  <c r="Z49"/>
  <c r="AA90" i="44"/>
  <c r="AA91" s="1"/>
  <c r="AA93" s="1"/>
  <c r="R90"/>
  <c r="R91" s="1"/>
  <c r="R93" s="1"/>
  <c r="S90"/>
  <c r="AO90"/>
  <c r="AO91" s="1"/>
  <c r="AO93" s="1"/>
  <c r="AE90"/>
  <c r="AE91" s="1"/>
  <c r="AE93" s="1"/>
  <c r="AS90"/>
  <c r="AS91" s="1"/>
  <c r="AS93" s="1"/>
  <c r="AW90"/>
  <c r="AW91" s="1"/>
  <c r="AW93" s="1"/>
  <c r="AC90"/>
  <c r="AQ90"/>
  <c r="AQ91" s="1"/>
  <c r="AQ93" s="1"/>
  <c r="AG90"/>
  <c r="AG91" s="1"/>
  <c r="AG93" s="1"/>
  <c r="AU90"/>
  <c r="AU91" s="1"/>
  <c r="AU93" s="1"/>
  <c r="AI90"/>
  <c r="AI91" s="1"/>
  <c r="AI93" s="1"/>
  <c r="AK90"/>
  <c r="AK91" s="1"/>
  <c r="AK93" s="1"/>
  <c r="AM90"/>
  <c r="AM91" s="1"/>
  <c r="AM93" s="1"/>
  <c r="AV21" i="42"/>
  <c r="AV28" s="1"/>
  <c r="AV22"/>
  <c r="BK22"/>
  <c r="G22" s="1"/>
  <c r="T22" s="1"/>
  <c r="BK21"/>
  <c r="G21" s="1"/>
  <c r="U21" s="1"/>
  <c r="BO52"/>
  <c r="BB56" i="46"/>
  <c r="AR56"/>
  <c r="AH56"/>
  <c r="AB56"/>
  <c r="AJ56"/>
  <c r="AZ56"/>
  <c r="AF56"/>
  <c r="AV56"/>
  <c r="V55"/>
  <c r="V56" s="1"/>
  <c r="BM32"/>
  <c r="AV65"/>
  <c r="AH18" i="26"/>
  <c r="R81" i="24"/>
  <c r="V81" s="1"/>
  <c r="R61"/>
  <c r="V61" s="1"/>
  <c r="T61"/>
  <c r="X61" s="1"/>
  <c r="U61"/>
  <c r="Y61" s="1"/>
  <c r="G69"/>
  <c r="BK15"/>
  <c r="BP15" s="1"/>
  <c r="BR15" s="1"/>
  <c r="BV15" s="1"/>
  <c r="G34" i="25"/>
  <c r="U34"/>
  <c r="Y34" s="1"/>
  <c r="AR27" i="26"/>
  <c r="V25"/>
  <c r="Z25" s="1"/>
  <c r="AZ56" i="25"/>
  <c r="AE27" i="39" s="1"/>
  <c r="BF34" i="46"/>
  <c r="BF35" s="1"/>
  <c r="BI45"/>
  <c r="E45" s="1"/>
  <c r="F45" s="1"/>
  <c r="BI23"/>
  <c r="E23" s="1"/>
  <c r="BF30"/>
  <c r="BI30"/>
  <c r="E30" s="1"/>
  <c r="R30" s="1"/>
  <c r="AC34" i="47"/>
  <c r="BI22" i="46"/>
  <c r="E22" s="1"/>
  <c r="T22" s="1"/>
  <c r="X22" s="1"/>
  <c r="X55" i="44"/>
  <c r="W55"/>
  <c r="V10" i="47"/>
  <c r="X10"/>
  <c r="W10"/>
  <c r="V17"/>
  <c r="X17"/>
  <c r="W17"/>
  <c r="X31" i="43"/>
  <c r="W31"/>
  <c r="X54"/>
  <c r="W54"/>
  <c r="G19" i="44"/>
  <c r="T19" s="1"/>
  <c r="Y33" i="43"/>
  <c r="Z33"/>
  <c r="W33"/>
  <c r="X33"/>
  <c r="AL33"/>
  <c r="AJ34" i="46"/>
  <c r="AJ35" s="1"/>
  <c r="AI35"/>
  <c r="BI34"/>
  <c r="E34" s="1"/>
  <c r="F34" s="1"/>
  <c r="H34" s="1"/>
  <c r="H35" s="1"/>
  <c r="BI35"/>
  <c r="BD28"/>
  <c r="BC32"/>
  <c r="BF17"/>
  <c r="BC42"/>
  <c r="BI49" i="47"/>
  <c r="AW34"/>
  <c r="G68" i="44"/>
  <c r="S68" s="1"/>
  <c r="W68" s="1"/>
  <c r="BI39" i="45"/>
  <c r="AD56" i="25"/>
  <c r="I27" i="39" s="1"/>
  <c r="AA20" i="45"/>
  <c r="AZ17" i="46"/>
  <c r="S43" i="41"/>
  <c r="W43" s="1"/>
  <c r="F43"/>
  <c r="K43" s="1"/>
  <c r="R43"/>
  <c r="V43" s="1"/>
  <c r="Q43"/>
  <c r="U43" s="1"/>
  <c r="T40"/>
  <c r="X40" s="1"/>
  <c r="R40"/>
  <c r="V40" s="1"/>
  <c r="Q40"/>
  <c r="U40" s="1"/>
  <c r="F40"/>
  <c r="K40" s="1"/>
  <c r="S40"/>
  <c r="Q39"/>
  <c r="R39"/>
  <c r="S39"/>
  <c r="F39"/>
  <c r="T39"/>
  <c r="BI61" i="43"/>
  <c r="BK59"/>
  <c r="G59" s="1"/>
  <c r="AL61"/>
  <c r="U27" i="42"/>
  <c r="P102" i="45"/>
  <c r="L102"/>
  <c r="U102"/>
  <c r="K102"/>
  <c r="O102"/>
  <c r="Q102"/>
  <c r="N102"/>
  <c r="AN102"/>
  <c r="AF102"/>
  <c r="AB102"/>
  <c r="AB103" s="1"/>
  <c r="AB104" s="1"/>
  <c r="G15" i="39" s="1"/>
  <c r="AJ102" i="45"/>
  <c r="AH102"/>
  <c r="AD102"/>
  <c r="AL102"/>
  <c r="BJ84"/>
  <c r="F84" s="1"/>
  <c r="R84" s="1"/>
  <c r="V84" s="1"/>
  <c r="Z102"/>
  <c r="Z56" i="25"/>
  <c r="E27" i="39" s="1"/>
  <c r="S27" i="41"/>
  <c r="W27" s="1"/>
  <c r="AF35" i="46"/>
  <c r="BA57" i="43"/>
  <c r="G17"/>
  <c r="V17" s="1"/>
  <c r="Z17" s="1"/>
  <c r="AX12"/>
  <c r="BB33"/>
  <c r="Q39" i="46"/>
  <c r="U39" s="1"/>
  <c r="AV32"/>
  <c r="BK66"/>
  <c r="BI15"/>
  <c r="AN62"/>
  <c r="AQ53"/>
  <c r="E14"/>
  <c r="BI20"/>
  <c r="E20" s="1"/>
  <c r="BB15"/>
  <c r="AV20"/>
  <c r="H17" i="24"/>
  <c r="T44"/>
  <c r="X44" s="1"/>
  <c r="G44"/>
  <c r="H44" s="1"/>
  <c r="G47"/>
  <c r="H47" s="1"/>
  <c r="W67"/>
  <c r="T82"/>
  <c r="X82" s="1"/>
  <c r="S13"/>
  <c r="W13" s="1"/>
  <c r="S71"/>
  <c r="W71" s="1"/>
  <c r="S86"/>
  <c r="W86" s="1"/>
  <c r="U86"/>
  <c r="Y86" s="1"/>
  <c r="T86"/>
  <c r="X86" s="1"/>
  <c r="T65"/>
  <c r="X65" s="1"/>
  <c r="U65"/>
  <c r="Y65" s="1"/>
  <c r="U74"/>
  <c r="Y74" s="1"/>
  <c r="S74"/>
  <c r="W74" s="1"/>
  <c r="BO46"/>
  <c r="G37"/>
  <c r="R64"/>
  <c r="V64" s="1"/>
  <c r="U64"/>
  <c r="Y64" s="1"/>
  <c r="R73"/>
  <c r="V73" s="1"/>
  <c r="G73"/>
  <c r="I73" s="1"/>
  <c r="H73"/>
  <c r="G77"/>
  <c r="S77"/>
  <c r="W77" s="1"/>
  <c r="R78"/>
  <c r="V78" s="1"/>
  <c r="F29"/>
  <c r="G29" s="1"/>
  <c r="G12"/>
  <c r="R83"/>
  <c r="V83" s="1"/>
  <c r="S75"/>
  <c r="W75" s="1"/>
  <c r="S17"/>
  <c r="W17" s="1"/>
  <c r="G45"/>
  <c r="R54"/>
  <c r="V54" s="1"/>
  <c r="BH89"/>
  <c r="AM26" i="39" s="1"/>
  <c r="T75" i="24"/>
  <c r="X75" s="1"/>
  <c r="BT82"/>
  <c r="BU82"/>
  <c r="BK62"/>
  <c r="BS62" s="1"/>
  <c r="BU62" s="1"/>
  <c r="BV62" s="1"/>
  <c r="S32"/>
  <c r="W32" s="1"/>
  <c r="G32"/>
  <c r="H32" s="1"/>
  <c r="H16"/>
  <c r="I16"/>
  <c r="S15"/>
  <c r="W15" s="1"/>
  <c r="I15"/>
  <c r="S22"/>
  <c r="W22" s="1"/>
  <c r="G22"/>
  <c r="H22"/>
  <c r="G21"/>
  <c r="H21" s="1"/>
  <c r="BK18"/>
  <c r="BP18" s="1"/>
  <c r="BR18" s="1"/>
  <c r="BV18" s="1"/>
  <c r="T51" i="45"/>
  <c r="X51" s="1"/>
  <c r="S38" i="43"/>
  <c r="W38" s="1"/>
  <c r="T38"/>
  <c r="V38"/>
  <c r="Z38" s="1"/>
  <c r="U38"/>
  <c r="Y38" s="1"/>
  <c r="H38" i="44"/>
  <c r="S38"/>
  <c r="T38"/>
  <c r="X38" s="1"/>
  <c r="I22" i="24"/>
  <c r="BI65" i="46"/>
  <c r="S44"/>
  <c r="W44" s="1"/>
  <c r="Q44"/>
  <c r="F44"/>
  <c r="R44"/>
  <c r="V44" s="1"/>
  <c r="T44"/>
  <c r="X44" s="1"/>
  <c r="S60"/>
  <c r="T60"/>
  <c r="X60" s="1"/>
  <c r="R60"/>
  <c r="V60"/>
  <c r="Q60"/>
  <c r="U60" s="1"/>
  <c r="R41"/>
  <c r="V41" s="1"/>
  <c r="F41"/>
  <c r="H41" s="1"/>
  <c r="S41"/>
  <c r="W41" s="1"/>
  <c r="T41"/>
  <c r="X41" s="1"/>
  <c r="Q41"/>
  <c r="U41" s="1"/>
  <c r="R59"/>
  <c r="V59" s="1"/>
  <c r="T59"/>
  <c r="X59" s="1"/>
  <c r="S59"/>
  <c r="W59" s="1"/>
  <c r="Q59"/>
  <c r="F31"/>
  <c r="Q31"/>
  <c r="U31" s="1"/>
  <c r="T31"/>
  <c r="X31" s="1"/>
  <c r="S31"/>
  <c r="W31" s="1"/>
  <c r="R31"/>
  <c r="V31" s="1"/>
  <c r="R51"/>
  <c r="V51" s="1"/>
  <c r="S51"/>
  <c r="W51" s="1"/>
  <c r="T51"/>
  <c r="X51" s="1"/>
  <c r="Q51"/>
  <c r="U51" s="1"/>
  <c r="F51"/>
  <c r="S29"/>
  <c r="W29" s="1"/>
  <c r="R29"/>
  <c r="V29" s="1"/>
  <c r="Q29"/>
  <c r="U29" s="1"/>
  <c r="T49"/>
  <c r="X49" s="1"/>
  <c r="F49"/>
  <c r="R49"/>
  <c r="V49" s="1"/>
  <c r="Q49"/>
  <c r="U49" s="1"/>
  <c r="S49"/>
  <c r="W49" s="1"/>
  <c r="F27"/>
  <c r="G27" s="1"/>
  <c r="T27"/>
  <c r="X27" s="1"/>
  <c r="AQ39" i="45"/>
  <c r="AG39"/>
  <c r="F49"/>
  <c r="T49" s="1"/>
  <c r="X49" s="1"/>
  <c r="Z50" i="46"/>
  <c r="Z53" s="1"/>
  <c r="Y53"/>
  <c r="BJ64"/>
  <c r="AF50"/>
  <c r="AF53" s="1"/>
  <c r="AE53"/>
  <c r="AT50"/>
  <c r="AS53"/>
  <c r="AJ21"/>
  <c r="AJ25" s="1"/>
  <c r="AI25"/>
  <c r="AH40"/>
  <c r="AH42" s="1"/>
  <c r="AG42"/>
  <c r="AR28"/>
  <c r="AQ32"/>
  <c r="AL50"/>
  <c r="AK53"/>
  <c r="BF62"/>
  <c r="BI40"/>
  <c r="AW42"/>
  <c r="BH17"/>
  <c r="BJ22"/>
  <c r="BN22" s="1"/>
  <c r="BQ22" s="1"/>
  <c r="BU22" s="1"/>
  <c r="E16"/>
  <c r="Q16" s="1"/>
  <c r="U16" s="1"/>
  <c r="U17" s="1"/>
  <c r="BI17"/>
  <c r="E61"/>
  <c r="BI62"/>
  <c r="BB62"/>
  <c r="AV35"/>
  <c r="S27"/>
  <c r="W27" s="1"/>
  <c r="R27"/>
  <c r="V27" s="1"/>
  <c r="Q27"/>
  <c r="U27" s="1"/>
  <c r="BD42"/>
  <c r="BF50"/>
  <c r="K66"/>
  <c r="I11" i="20" s="1"/>
  <c r="F39" i="46"/>
  <c r="H39" s="1"/>
  <c r="S39"/>
  <c r="W39"/>
  <c r="T39"/>
  <c r="X39" s="1"/>
  <c r="R39"/>
  <c r="V39" s="1"/>
  <c r="AT15"/>
  <c r="AZ25"/>
  <c r="AD62"/>
  <c r="P66"/>
  <c r="N11" i="20" s="1"/>
  <c r="AC25" i="46"/>
  <c r="AF62"/>
  <c r="O66"/>
  <c r="M11" i="20" s="1"/>
  <c r="I66" i="46"/>
  <c r="G11" i="20" s="1"/>
  <c r="AB28" i="46"/>
  <c r="AB32" s="1"/>
  <c r="BI24"/>
  <c r="E24" s="1"/>
  <c r="BE25"/>
  <c r="AG53"/>
  <c r="N66"/>
  <c r="L11" i="20" s="1"/>
  <c r="AY25" i="46"/>
  <c r="BN53" i="42"/>
  <c r="AS13" i="43"/>
  <c r="S50"/>
  <c r="W50" s="1"/>
  <c r="U50"/>
  <c r="Y50" s="1"/>
  <c r="T50"/>
  <c r="X50" s="1"/>
  <c r="U51" i="45"/>
  <c r="Y51" s="1"/>
  <c r="BM103"/>
  <c r="BM104" s="1"/>
  <c r="F40"/>
  <c r="T40" s="1"/>
  <c r="X40" s="1"/>
  <c r="BK89"/>
  <c r="AK32" i="47"/>
  <c r="AK37"/>
  <c r="AE15"/>
  <c r="BC15"/>
  <c r="BC34"/>
  <c r="Z13"/>
  <c r="AA12"/>
  <c r="BV27"/>
  <c r="AW32"/>
  <c r="AQ34"/>
  <c r="AS37"/>
  <c r="BK46"/>
  <c r="BJ46"/>
  <c r="BJ42"/>
  <c r="F42" s="1"/>
  <c r="N50"/>
  <c r="K10" i="20" s="1"/>
  <c r="AF49" i="47"/>
  <c r="AC38"/>
  <c r="L50"/>
  <c r="I10" i="20" s="1"/>
  <c r="J50" i="47"/>
  <c r="G10" i="20" s="1"/>
  <c r="Q50" i="47"/>
  <c r="N10" i="20" s="1"/>
  <c r="AY15" i="47"/>
  <c r="AE35"/>
  <c r="O50"/>
  <c r="L10" i="20" s="1"/>
  <c r="AQ32" i="47"/>
  <c r="AY49"/>
  <c r="P50"/>
  <c r="M10" i="20" s="1"/>
  <c r="G23" i="24"/>
  <c r="H23" s="1"/>
  <c r="U44" i="46"/>
  <c r="J75" i="44"/>
  <c r="V27" i="42"/>
  <c r="J25" i="26"/>
  <c r="J32"/>
  <c r="BV33"/>
  <c r="BV34" s="1"/>
  <c r="BR61" i="24"/>
  <c r="BV74"/>
  <c r="BO35" i="26"/>
  <c r="T38" i="24"/>
  <c r="X38" s="1"/>
  <c r="G38"/>
  <c r="BS53"/>
  <c r="S12"/>
  <c r="W12" s="1"/>
  <c r="U53"/>
  <c r="Y53" s="1"/>
  <c r="BK28"/>
  <c r="G18" i="26"/>
  <c r="J20"/>
  <c r="T57" i="24"/>
  <c r="X57"/>
  <c r="BL31" i="26"/>
  <c r="R53" i="24"/>
  <c r="V53" s="1"/>
  <c r="BL24" i="26"/>
  <c r="BU67" i="24"/>
  <c r="BJ88"/>
  <c r="BK10" i="47"/>
  <c r="G10" s="1"/>
  <c r="H24" i="26"/>
  <c r="V24"/>
  <c r="AA25" i="46"/>
  <c r="AB20"/>
  <c r="AB25" s="1"/>
  <c r="BH53"/>
  <c r="H17" i="26"/>
  <c r="U17"/>
  <c r="Y17" s="1"/>
  <c r="BE49" i="47"/>
  <c r="BF56" i="25"/>
  <c r="AK27" i="39" s="1"/>
  <c r="BK27" i="26"/>
  <c r="G26"/>
  <c r="V26" s="1"/>
  <c r="BK34"/>
  <c r="G33"/>
  <c r="M50" i="47"/>
  <c r="J10" i="20" s="1"/>
  <c r="BK22" i="26"/>
  <c r="S42" i="25"/>
  <c r="W42" s="1"/>
  <c r="V13" i="26"/>
  <c r="Z13" s="1"/>
  <c r="T13"/>
  <c r="X13" s="1"/>
  <c r="U13"/>
  <c r="Y13"/>
  <c r="R42" i="25"/>
  <c r="V42" s="1"/>
  <c r="AO38" i="47"/>
  <c r="S38" i="46"/>
  <c r="W38" s="1"/>
  <c r="E17"/>
  <c r="I53" i="24"/>
  <c r="BT12"/>
  <c r="BU12" s="1"/>
  <c r="R17" i="41"/>
  <c r="V17" s="1"/>
  <c r="F17"/>
  <c r="O17" s="1"/>
  <c r="L52" i="42"/>
  <c r="AR57" i="43"/>
  <c r="AD42"/>
  <c r="S24"/>
  <c r="W24" s="1"/>
  <c r="T24"/>
  <c r="X24" s="1"/>
  <c r="U24"/>
  <c r="Y24" s="1"/>
  <c r="AV61"/>
  <c r="AP61"/>
  <c r="BH20"/>
  <c r="BK56"/>
  <c r="G56" s="1"/>
  <c r="H56" s="1"/>
  <c r="U37"/>
  <c r="T37"/>
  <c r="X37" s="1"/>
  <c r="V37"/>
  <c r="Z37" s="1"/>
  <c r="S37"/>
  <c r="BK61"/>
  <c r="BL31"/>
  <c r="H31" s="1"/>
  <c r="AH42"/>
  <c r="BJ57"/>
  <c r="AT57"/>
  <c r="BW58"/>
  <c r="BL48"/>
  <c r="H48" s="1"/>
  <c r="R48" s="1"/>
  <c r="R57" s="1"/>
  <c r="R62" s="1"/>
  <c r="N17" i="20" s="1"/>
  <c r="AV13" i="43"/>
  <c r="BI57"/>
  <c r="BI62" s="1"/>
  <c r="AM17" i="39" s="1"/>
  <c r="V31" i="43"/>
  <c r="BD11"/>
  <c r="AV42"/>
  <c r="AZ42"/>
  <c r="AN42"/>
  <c r="AF13"/>
  <c r="T48"/>
  <c r="AU13"/>
  <c r="AU62" s="1"/>
  <c r="Y17" i="39" s="1"/>
  <c r="BK12" i="43"/>
  <c r="G12" s="1"/>
  <c r="U48"/>
  <c r="BJ12"/>
  <c r="AT42"/>
  <c r="BV35"/>
  <c r="BJ20"/>
  <c r="BL51"/>
  <c r="AX42"/>
  <c r="AL42"/>
  <c r="BL54"/>
  <c r="H54" s="1"/>
  <c r="BL60"/>
  <c r="BB61"/>
  <c r="BJ35"/>
  <c r="BL29"/>
  <c r="H29" s="1"/>
  <c r="Q29" s="1"/>
  <c r="BL50"/>
  <c r="AO13"/>
  <c r="BK11"/>
  <c r="BL15"/>
  <c r="BH42"/>
  <c r="AT61"/>
  <c r="AQ13"/>
  <c r="AQ62" s="1"/>
  <c r="U17" i="39" s="1"/>
  <c r="AR13" i="43"/>
  <c r="AW13"/>
  <c r="AX11"/>
  <c r="BJ42"/>
  <c r="BN48"/>
  <c r="AI13"/>
  <c r="BL45"/>
  <c r="H45" s="1"/>
  <c r="J45" s="1"/>
  <c r="BF57"/>
  <c r="W38" i="44"/>
  <c r="BH90"/>
  <c r="BB90"/>
  <c r="AL16"/>
  <c r="BH16"/>
  <c r="AH16"/>
  <c r="AT16"/>
  <c r="BF16"/>
  <c r="AZ41"/>
  <c r="H85"/>
  <c r="Q85" s="1"/>
  <c r="U85"/>
  <c r="Y85" s="1"/>
  <c r="BL89"/>
  <c r="Y38"/>
  <c r="F101" i="45"/>
  <c r="G101" s="1"/>
  <c r="H101" s="1"/>
  <c r="AA21"/>
  <c r="BS103"/>
  <c r="BS104" s="1"/>
  <c r="BK33"/>
  <c r="L57" i="43"/>
  <c r="I16" i="44"/>
  <c r="N57" i="43"/>
  <c r="O57"/>
  <c r="L13"/>
  <c r="P57"/>
  <c r="O13"/>
  <c r="N52" i="42"/>
  <c r="P52"/>
  <c r="R52"/>
  <c r="M52"/>
  <c r="AE57" i="43"/>
  <c r="AM62"/>
  <c r="Q17" i="39" s="1"/>
  <c r="V28" i="43"/>
  <c r="Z28" s="1"/>
  <c r="T28"/>
  <c r="X28" s="1"/>
  <c r="S28"/>
  <c r="W28" s="1"/>
  <c r="U28"/>
  <c r="Y28" s="1"/>
  <c r="S59" i="45"/>
  <c r="W59" s="1"/>
  <c r="R59"/>
  <c r="V59" s="1"/>
  <c r="T59"/>
  <c r="X59" s="1"/>
  <c r="H13" i="42"/>
  <c r="M13" s="1"/>
  <c r="S12"/>
  <c r="S45"/>
  <c r="T45"/>
  <c r="V45"/>
  <c r="U45"/>
  <c r="H45"/>
  <c r="BO45" s="1"/>
  <c r="BS45" s="1"/>
  <c r="BW45" s="1"/>
  <c r="S27"/>
  <c r="T27"/>
  <c r="H27"/>
  <c r="BO27" s="1"/>
  <c r="BS27" s="1"/>
  <c r="BW27" s="1"/>
  <c r="S26"/>
  <c r="V25"/>
  <c r="H25"/>
  <c r="U25"/>
  <c r="T25"/>
  <c r="S25"/>
  <c r="G26" i="43"/>
  <c r="BL19"/>
  <c r="H19" s="1"/>
  <c r="G12" i="44"/>
  <c r="U12" s="1"/>
  <c r="U13" s="1"/>
  <c r="G43" i="45"/>
  <c r="S49"/>
  <c r="W49" s="1"/>
  <c r="BJ24"/>
  <c r="F24" s="1"/>
  <c r="F12" i="47"/>
  <c r="S12" s="1"/>
  <c r="W12" s="1"/>
  <c r="BJ36"/>
  <c r="F36" s="1"/>
  <c r="AE34"/>
  <c r="AC37"/>
  <c r="AA37"/>
  <c r="BH25"/>
  <c r="BH50" s="1"/>
  <c r="AM10" i="39" s="1"/>
  <c r="BE25" i="47"/>
  <c r="BB25"/>
  <c r="BB50" s="1"/>
  <c r="AG10" i="39" s="1"/>
  <c r="AT25" i="47"/>
  <c r="AU25"/>
  <c r="AP25"/>
  <c r="AP50" s="1"/>
  <c r="U10" i="39" s="1"/>
  <c r="AQ25" i="47"/>
  <c r="AL25"/>
  <c r="AK25"/>
  <c r="AE23"/>
  <c r="BJ23"/>
  <c r="F23" s="1"/>
  <c r="AS25"/>
  <c r="BK18"/>
  <c r="G18" s="1"/>
  <c r="I18" s="1"/>
  <c r="BF25"/>
  <c r="AZ25"/>
  <c r="AX25"/>
  <c r="AX50" s="1"/>
  <c r="AC10" i="39" s="1"/>
  <c r="BJ18" i="47"/>
  <c r="F18" s="1"/>
  <c r="AB25"/>
  <c r="BG17"/>
  <c r="BG25" s="1"/>
  <c r="BD25"/>
  <c r="AY17"/>
  <c r="AY25" s="1"/>
  <c r="AR25"/>
  <c r="AO17"/>
  <c r="AM17"/>
  <c r="AM25" s="1"/>
  <c r="AJ25"/>
  <c r="AH25"/>
  <c r="AF25"/>
  <c r="BJ17"/>
  <c r="F17" s="1"/>
  <c r="G17" s="1"/>
  <c r="AC17"/>
  <c r="AA25"/>
  <c r="Z25"/>
  <c r="BJ31" i="45"/>
  <c r="F31" s="1"/>
  <c r="BJ30"/>
  <c r="F30" s="1"/>
  <c r="Z34"/>
  <c r="BJ29"/>
  <c r="F29" s="1"/>
  <c r="BJ32"/>
  <c r="F32" s="1"/>
  <c r="BJ25"/>
  <c r="BJ33"/>
  <c r="F33" s="1"/>
  <c r="S25" i="25"/>
  <c r="W25" s="1"/>
  <c r="G25"/>
  <c r="I25" s="1"/>
  <c r="U38"/>
  <c r="Y38" s="1"/>
  <c r="S38"/>
  <c r="W38" s="1"/>
  <c r="R38"/>
  <c r="V38" s="1"/>
  <c r="T38"/>
  <c r="X38" s="1"/>
  <c r="G38"/>
  <c r="H38" s="1"/>
  <c r="G26"/>
  <c r="S26"/>
  <c r="W26" s="1"/>
  <c r="R43"/>
  <c r="V43" s="1"/>
  <c r="U43"/>
  <c r="Y43" s="1"/>
  <c r="G43"/>
  <c r="BS43" s="1"/>
  <c r="BU43" s="1"/>
  <c r="BV43" s="1"/>
  <c r="S43"/>
  <c r="W43" s="1"/>
  <c r="T43"/>
  <c r="X43" s="1"/>
  <c r="G27"/>
  <c r="I27" s="1"/>
  <c r="S27"/>
  <c r="W27" s="1"/>
  <c r="U21"/>
  <c r="G21"/>
  <c r="BT21" s="1"/>
  <c r="S21"/>
  <c r="W21" s="1"/>
  <c r="R21"/>
  <c r="V21" s="1"/>
  <c r="T21"/>
  <c r="X21" s="1"/>
  <c r="U44"/>
  <c r="Y44" s="1"/>
  <c r="T44"/>
  <c r="X44" s="1"/>
  <c r="R44"/>
  <c r="V44" s="1"/>
  <c r="S44"/>
  <c r="W44" s="1"/>
  <c r="G44"/>
  <c r="H44" s="1"/>
  <c r="R50"/>
  <c r="V50" s="1"/>
  <c r="S50"/>
  <c r="W50" s="1"/>
  <c r="T50"/>
  <c r="X50" s="1"/>
  <c r="U50"/>
  <c r="Y50" s="1"/>
  <c r="G50"/>
  <c r="BT50" s="1"/>
  <c r="BU50" s="1"/>
  <c r="BV50" s="1"/>
  <c r="G28"/>
  <c r="H28" s="1"/>
  <c r="S28"/>
  <c r="W28" s="1"/>
  <c r="U45"/>
  <c r="Y45" s="1"/>
  <c r="S45"/>
  <c r="W45" s="1"/>
  <c r="T45"/>
  <c r="X45" s="1"/>
  <c r="G45"/>
  <c r="H45" s="1"/>
  <c r="R45"/>
  <c r="V45" s="1"/>
  <c r="U40"/>
  <c r="Y40" s="1"/>
  <c r="S40"/>
  <c r="W40" s="1"/>
  <c r="R40"/>
  <c r="V40" s="1"/>
  <c r="T40"/>
  <c r="X40" s="1"/>
  <c r="G40"/>
  <c r="S35"/>
  <c r="W35" s="1"/>
  <c r="G35"/>
  <c r="T35"/>
  <c r="X35" s="1"/>
  <c r="R35"/>
  <c r="V35" s="1"/>
  <c r="U35"/>
  <c r="Y35" s="1"/>
  <c r="R47"/>
  <c r="V47" s="1"/>
  <c r="U47"/>
  <c r="Y47" s="1"/>
  <c r="T47"/>
  <c r="X47" s="1"/>
  <c r="G47"/>
  <c r="I47" s="1"/>
  <c r="S47"/>
  <c r="W47" s="1"/>
  <c r="U37"/>
  <c r="Y37" s="1"/>
  <c r="T37"/>
  <c r="S37"/>
  <c r="W37" s="1"/>
  <c r="R37"/>
  <c r="V37" s="1"/>
  <c r="G37"/>
  <c r="BS37" s="1"/>
  <c r="BU37" s="1"/>
  <c r="BV37" s="1"/>
  <c r="S52"/>
  <c r="W52" s="1"/>
  <c r="G52"/>
  <c r="I52" s="1"/>
  <c r="H52"/>
  <c r="R86" i="45"/>
  <c r="V86" s="1"/>
  <c r="W86"/>
  <c r="BE16"/>
  <c r="U14"/>
  <c r="AQ21"/>
  <c r="U73"/>
  <c r="Y73" s="1"/>
  <c r="T60"/>
  <c r="X60" s="1"/>
  <c r="R60"/>
  <c r="V60" s="1"/>
  <c r="G60"/>
  <c r="S60"/>
  <c r="W60" s="1"/>
  <c r="R72"/>
  <c r="V72" s="1"/>
  <c r="G72"/>
  <c r="BN72" s="1"/>
  <c r="BR72" s="1"/>
  <c r="BV72" s="1"/>
  <c r="U56"/>
  <c r="Y56" s="1"/>
  <c r="S67"/>
  <c r="W67" s="1"/>
  <c r="S68"/>
  <c r="W68" s="1"/>
  <c r="G75"/>
  <c r="L75" s="1"/>
  <c r="U64"/>
  <c r="Y64" s="1"/>
  <c r="R64"/>
  <c r="V64" s="1"/>
  <c r="S64"/>
  <c r="W64" s="1"/>
  <c r="T64"/>
  <c r="X64" s="1"/>
  <c r="G76"/>
  <c r="L76" s="1"/>
  <c r="R76"/>
  <c r="V76" s="1"/>
  <c r="S76"/>
  <c r="W76" s="1"/>
  <c r="U76"/>
  <c r="Y76" s="1"/>
  <c r="T76"/>
  <c r="X76" s="1"/>
  <c r="T66"/>
  <c r="X66" s="1"/>
  <c r="R66"/>
  <c r="V66" s="1"/>
  <c r="U66"/>
  <c r="Y66" s="1"/>
  <c r="S66"/>
  <c r="W66" s="1"/>
  <c r="V96"/>
  <c r="T96"/>
  <c r="X96" s="1"/>
  <c r="G96"/>
  <c r="BP96" s="1"/>
  <c r="BR96" s="1"/>
  <c r="BV96" s="1"/>
  <c r="S96"/>
  <c r="W96" s="1"/>
  <c r="BA21"/>
  <c r="R19"/>
  <c r="V19" s="1"/>
  <c r="T19"/>
  <c r="X19" s="1"/>
  <c r="S19"/>
  <c r="W19" s="1"/>
  <c r="U19"/>
  <c r="Y19" s="1"/>
  <c r="BA49" i="47"/>
  <c r="F48"/>
  <c r="R48" s="1"/>
  <c r="BJ41"/>
  <c r="BK40"/>
  <c r="G40" s="1"/>
  <c r="BK39"/>
  <c r="G39" s="1"/>
  <c r="BE37"/>
  <c r="AW37"/>
  <c r="BJ37"/>
  <c r="F37"/>
  <c r="R37" s="1"/>
  <c r="V37" s="1"/>
  <c r="BJ38"/>
  <c r="F38" s="1"/>
  <c r="BP26" i="25"/>
  <c r="BR26" s="1"/>
  <c r="BV26" s="1"/>
  <c r="AL57" i="43"/>
  <c r="W22" i="39"/>
  <c r="AI22"/>
  <c r="BL53" i="43"/>
  <c r="AX57"/>
  <c r="BN53"/>
  <c r="BN57" s="1"/>
  <c r="BN62" s="1"/>
  <c r="BL46"/>
  <c r="AV57"/>
  <c r="AJ57"/>
  <c r="AP35"/>
  <c r="AJ35"/>
  <c r="J88" i="44"/>
  <c r="I88"/>
  <c r="Q88"/>
  <c r="BK41"/>
  <c r="T93" i="45"/>
  <c r="X93" s="1"/>
  <c r="R93"/>
  <c r="V93" s="1"/>
  <c r="S93"/>
  <c r="W93" s="1"/>
  <c r="S48" i="47"/>
  <c r="T48"/>
  <c r="X48" s="1"/>
  <c r="I93" i="45"/>
  <c r="Y21" i="25"/>
  <c r="BP25"/>
  <c r="BR25" s="1"/>
  <c r="BV25" s="1"/>
  <c r="BV38" i="24"/>
  <c r="H29"/>
  <c r="BP29"/>
  <c r="BR29" s="1"/>
  <c r="BV29" s="1"/>
  <c r="I29"/>
  <c r="T34" i="46"/>
  <c r="T35" s="1"/>
  <c r="S34"/>
  <c r="W34" s="1"/>
  <c r="W35" s="1"/>
  <c r="Q34"/>
  <c r="U34" s="1"/>
  <c r="R34"/>
  <c r="V34"/>
  <c r="V35" s="1"/>
  <c r="E35"/>
  <c r="H40" i="24"/>
  <c r="I40"/>
  <c r="BK72" i="45"/>
  <c r="H33" i="26"/>
  <c r="S61" i="46"/>
  <c r="S62" s="1"/>
  <c r="H44"/>
  <c r="G44"/>
  <c r="AR25"/>
  <c r="BJ24"/>
  <c r="BN24" s="1"/>
  <c r="BQ24" s="1"/>
  <c r="BU24" s="1"/>
  <c r="G34"/>
  <c r="G35" s="1"/>
  <c r="F35"/>
  <c r="H45" i="24"/>
  <c r="AR15" i="46"/>
  <c r="AR32"/>
  <c r="BJ29"/>
  <c r="BN29" s="1"/>
  <c r="BQ29" s="1"/>
  <c r="BU29" s="1"/>
  <c r="AT53"/>
  <c r="W60"/>
  <c r="I21" i="24"/>
  <c r="S29"/>
  <c r="W29"/>
  <c r="T40"/>
  <c r="T68"/>
  <c r="X68" s="1"/>
  <c r="U68"/>
  <c r="Y68" s="1"/>
  <c r="G72"/>
  <c r="H72" s="1"/>
  <c r="R72"/>
  <c r="V72" s="1"/>
  <c r="U72"/>
  <c r="Y72" s="1"/>
  <c r="S72"/>
  <c r="W72" s="1"/>
  <c r="T72"/>
  <c r="X72" s="1"/>
  <c r="S76"/>
  <c r="W76" s="1"/>
  <c r="T76"/>
  <c r="X76" s="1"/>
  <c r="R76"/>
  <c r="V76" s="1"/>
  <c r="U76"/>
  <c r="Y76" s="1"/>
  <c r="I32"/>
  <c r="BP32"/>
  <c r="BR32" s="1"/>
  <c r="BV32" s="1"/>
  <c r="I77"/>
  <c r="H77"/>
  <c r="BK35" i="25"/>
  <c r="I44" i="24"/>
  <c r="AD22" i="26"/>
  <c r="BL21"/>
  <c r="G31" i="46"/>
  <c r="H31"/>
  <c r="W14" i="25"/>
  <c r="AN34" i="26"/>
  <c r="BL30"/>
  <c r="R45" i="46"/>
  <c r="V45" s="1"/>
  <c r="U12" i="24"/>
  <c r="U25" s="1"/>
  <c r="T12"/>
  <c r="X12" s="1"/>
  <c r="X25" s="1"/>
  <c r="AF34" i="26"/>
  <c r="Q56" i="25"/>
  <c r="N27" i="20" s="1"/>
  <c r="BL23" i="26"/>
  <c r="U83" i="24"/>
  <c r="Y83" s="1"/>
  <c r="G83"/>
  <c r="S83"/>
  <c r="W83" s="1"/>
  <c r="BL33" i="26"/>
  <c r="BL12"/>
  <c r="BP12" s="1"/>
  <c r="BS12" s="1"/>
  <c r="AF14"/>
  <c r="BL17"/>
  <c r="BL26"/>
  <c r="BU58" i="46"/>
  <c r="AJ18" i="26"/>
  <c r="BL16"/>
  <c r="BK24" i="47"/>
  <c r="BO24" s="1"/>
  <c r="O56" i="25"/>
  <c r="L27" i="20" s="1"/>
  <c r="T53" i="24"/>
  <c r="X53" s="1"/>
  <c r="S53"/>
  <c r="W53"/>
  <c r="BK38" i="25"/>
  <c r="U16" i="26"/>
  <c r="Y16" s="1"/>
  <c r="S16"/>
  <c r="W16" s="1"/>
  <c r="W18" s="1"/>
  <c r="V16"/>
  <c r="Z16" s="1"/>
  <c r="Z18" s="1"/>
  <c r="AZ90" i="44"/>
  <c r="BG42" i="46"/>
  <c r="BG66" s="1"/>
  <c r="AM11" i="39" s="1"/>
  <c r="BH38" i="46"/>
  <c r="G14" i="25"/>
  <c r="AJ56"/>
  <c r="O27" i="39" s="1"/>
  <c r="BI33" i="24"/>
  <c r="AD15" i="46"/>
  <c r="AP35" i="26"/>
  <c r="T28" i="39" s="1"/>
  <c r="AB18" i="43"/>
  <c r="AA20"/>
  <c r="AA62" s="1"/>
  <c r="E17" i="39" s="1"/>
  <c r="Z32" i="47"/>
  <c r="AX35" i="43"/>
  <c r="BJ34" i="26"/>
  <c r="K50" i="47"/>
  <c r="H10" i="20" s="1"/>
  <c r="H12" s="1"/>
  <c r="J66" i="46"/>
  <c r="H11" i="20" s="1"/>
  <c r="AP25" i="46"/>
  <c r="BM50" i="47"/>
  <c r="AK19" i="25"/>
  <c r="AK30" s="1"/>
  <c r="AO19"/>
  <c r="AY19"/>
  <c r="AW19"/>
  <c r="BT62" i="43"/>
  <c r="BJ27" i="26"/>
  <c r="M66" i="46"/>
  <c r="K11" i="20" s="1"/>
  <c r="AJ15" i="46"/>
  <c r="AY34" i="47"/>
  <c r="I51" i="43"/>
  <c r="J51"/>
  <c r="BJ20" i="47"/>
  <c r="F20" s="1"/>
  <c r="AN57" i="43"/>
  <c r="H62" i="24"/>
  <c r="X40"/>
  <c r="R35" i="46"/>
  <c r="U35"/>
  <c r="T25" i="24"/>
  <c r="Y67" i="44"/>
  <c r="AE16" i="45"/>
  <c r="F53" i="25"/>
  <c r="S53" s="1"/>
  <c r="W53" s="1"/>
  <c r="BK51"/>
  <c r="AP32" i="46"/>
  <c r="BJ27"/>
  <c r="BC32" i="47"/>
  <c r="BJ60" i="46"/>
  <c r="F60" s="1"/>
  <c r="BO60" s="1"/>
  <c r="BQ60" s="1"/>
  <c r="BU60" s="1"/>
  <c r="R18" i="45"/>
  <c r="V18" s="1"/>
  <c r="S18"/>
  <c r="W18" s="1"/>
  <c r="U18"/>
  <c r="Y18" s="1"/>
  <c r="T18"/>
  <c r="X18" s="1"/>
  <c r="BJ39" i="46"/>
  <c r="T67" i="44"/>
  <c r="X67" s="1"/>
  <c r="H67"/>
  <c r="AD56" i="46"/>
  <c r="BL55" i="43"/>
  <c r="H55" s="1"/>
  <c r="J55" s="1"/>
  <c r="BB57"/>
  <c r="AD18"/>
  <c r="AD20" s="1"/>
  <c r="AC20"/>
  <c r="AC62" s="1"/>
  <c r="G17" i="39" s="1"/>
  <c r="AX18" i="43"/>
  <c r="AW20"/>
  <c r="AT18"/>
  <c r="AT20" s="1"/>
  <c r="AS20"/>
  <c r="AS62" s="1"/>
  <c r="W17" i="39" s="1"/>
  <c r="BL32" i="43"/>
  <c r="H32" s="1"/>
  <c r="BL44"/>
  <c r="H44" s="1"/>
  <c r="AP57"/>
  <c r="BA25" i="47"/>
  <c r="G89" i="45"/>
  <c r="M89" s="1"/>
  <c r="AI32" i="47"/>
  <c r="F39" i="25"/>
  <c r="T39" s="1"/>
  <c r="R48" i="46"/>
  <c r="V48" s="1"/>
  <c r="Q48"/>
  <c r="U48" s="1"/>
  <c r="S48"/>
  <c r="W48" s="1"/>
  <c r="F48"/>
  <c r="T48"/>
  <c r="BK18" i="43"/>
  <c r="G18" s="1"/>
  <c r="H18" s="1"/>
  <c r="BJ44" i="46"/>
  <c r="BN44" s="1"/>
  <c r="AH53"/>
  <c r="BJ59"/>
  <c r="F59" s="1"/>
  <c r="H59" s="1"/>
  <c r="AT62"/>
  <c r="BJ61"/>
  <c r="F61" s="1"/>
  <c r="BO61" s="1"/>
  <c r="BQ61" s="1"/>
  <c r="BU61" s="1"/>
  <c r="AZ62"/>
  <c r="AB35"/>
  <c r="BJ34"/>
  <c r="BJ35" s="1"/>
  <c r="X37" i="25"/>
  <c r="BJ45" i="46"/>
  <c r="BN45" s="1"/>
  <c r="BQ45" s="1"/>
  <c r="BU45" s="1"/>
  <c r="AR53"/>
  <c r="G12" i="26"/>
  <c r="V12" s="1"/>
  <c r="BK14"/>
  <c r="AP15" i="46"/>
  <c r="BJ14"/>
  <c r="BN14" s="1"/>
  <c r="BQ14" s="1"/>
  <c r="BU14" s="1"/>
  <c r="Y37" i="43"/>
  <c r="BT52" i="25"/>
  <c r="BU52" s="1"/>
  <c r="BV52" s="1"/>
  <c r="S12" i="44"/>
  <c r="BJ13" i="43"/>
  <c r="I23" i="24"/>
  <c r="BL28" i="26"/>
  <c r="BK81" i="24"/>
  <c r="BI88"/>
  <c r="W37" i="43"/>
  <c r="E40" i="46"/>
  <c r="BI42"/>
  <c r="AV25"/>
  <c r="R85" i="24"/>
  <c r="V85" s="1"/>
  <c r="G85"/>
  <c r="H85" s="1"/>
  <c r="S85"/>
  <c r="W85" s="1"/>
  <c r="U85"/>
  <c r="Y85" s="1"/>
  <c r="T85"/>
  <c r="X85" s="1"/>
  <c r="Z26" i="26"/>
  <c r="BV50" i="24"/>
  <c r="BR54"/>
  <c r="BK70"/>
  <c r="BS70" s="1"/>
  <c r="BU70" s="1"/>
  <c r="BV70" s="1"/>
  <c r="BS60"/>
  <c r="BU60" s="1"/>
  <c r="BV60" s="1"/>
  <c r="R46" i="45"/>
  <c r="V46" s="1"/>
  <c r="AL53" i="46"/>
  <c r="Q30"/>
  <c r="U30" s="1"/>
  <c r="T30"/>
  <c r="X30" s="1"/>
  <c r="BI48" i="24"/>
  <c r="I47"/>
  <c r="BQ30" i="25"/>
  <c r="BQ56" s="1"/>
  <c r="BR21"/>
  <c r="R77" i="24"/>
  <c r="V77" s="1"/>
  <c r="U77"/>
  <c r="Y77" s="1"/>
  <c r="T77"/>
  <c r="X77"/>
  <c r="BK45" i="25"/>
  <c r="R74" i="24"/>
  <c r="V74" s="1"/>
  <c r="T74"/>
  <c r="X74" s="1"/>
  <c r="G74"/>
  <c r="H74" s="1"/>
  <c r="G78"/>
  <c r="I78" s="1"/>
  <c r="T78"/>
  <c r="X78" s="1"/>
  <c r="S78"/>
  <c r="W78"/>
  <c r="S45" i="46"/>
  <c r="W45" s="1"/>
  <c r="T45"/>
  <c r="X45" s="1"/>
  <c r="I32" i="26"/>
  <c r="BQ32"/>
  <c r="BS32" s="1"/>
  <c r="BW32" s="1"/>
  <c r="U78" i="24"/>
  <c r="Y78"/>
  <c r="T14" i="45"/>
  <c r="Q45" i="46"/>
  <c r="U45" s="1"/>
  <c r="S28" i="24"/>
  <c r="BK36"/>
  <c r="BP36" s="1"/>
  <c r="BR36" s="1"/>
  <c r="BV36" s="1"/>
  <c r="BV51"/>
  <c r="AN18" i="26"/>
  <c r="BL13"/>
  <c r="BB34"/>
  <c r="G57" i="24"/>
  <c r="H57" s="1"/>
  <c r="R57"/>
  <c r="V57" s="1"/>
  <c r="BK17" i="25"/>
  <c r="BK39"/>
  <c r="G36" i="24"/>
  <c r="H36" s="1"/>
  <c r="BU46"/>
  <c r="BS48"/>
  <c r="U81"/>
  <c r="Y81" s="1"/>
  <c r="S81"/>
  <c r="W81" s="1"/>
  <c r="T81"/>
  <c r="X81" s="1"/>
  <c r="G81"/>
  <c r="H81" s="1"/>
  <c r="I81"/>
  <c r="BG48" i="25"/>
  <c r="AR34" i="26"/>
  <c r="AK21" i="45"/>
  <c r="BE32" i="47"/>
  <c r="BL32" i="26"/>
  <c r="BI53" i="42"/>
  <c r="AM21" i="39" s="1"/>
  <c r="AT18" i="26"/>
  <c r="AX16" i="44"/>
  <c r="AJ34" i="26"/>
  <c r="AE32" i="47"/>
  <c r="BA32"/>
  <c r="AH15" i="46"/>
  <c r="BW31" i="26"/>
  <c r="AM38" i="47"/>
  <c r="AP13" i="43"/>
  <c r="AD19" i="42"/>
  <c r="T42" i="25"/>
  <c r="X42" s="1"/>
  <c r="U42"/>
  <c r="Y42" s="1"/>
  <c r="AW15" i="47"/>
  <c r="BJ41" i="46"/>
  <c r="BN41" s="1"/>
  <c r="BQ41" s="1"/>
  <c r="BU41" s="1"/>
  <c r="G42" i="25"/>
  <c r="H42" s="1"/>
  <c r="BF42" i="46"/>
  <c r="S46" i="25"/>
  <c r="W46" s="1"/>
  <c r="I41" i="47"/>
  <c r="H41"/>
  <c r="BA13" i="43"/>
  <c r="AB12"/>
  <c r="AB13" s="1"/>
  <c r="BB11"/>
  <c r="BD89" i="24"/>
  <c r="AI26" i="39" s="1"/>
  <c r="BN35" i="26"/>
  <c r="BG89" i="24"/>
  <c r="AL26" i="39" s="1"/>
  <c r="BM62" i="43"/>
  <c r="AP18"/>
  <c r="AP20" s="1"/>
  <c r="AO20"/>
  <c r="BD18"/>
  <c r="BC20"/>
  <c r="BD21" i="46"/>
  <c r="AN53"/>
  <c r="AP62"/>
  <c r="BL66"/>
  <c r="AQ25"/>
  <c r="AI20" i="43"/>
  <c r="AJ18"/>
  <c r="AJ20" s="1"/>
  <c r="AG13"/>
  <c r="BK18" i="26"/>
  <c r="BT81" i="24"/>
  <c r="BU81" s="1"/>
  <c r="BV81" s="1"/>
  <c r="G48" i="46"/>
  <c r="H48"/>
  <c r="U39" i="25"/>
  <c r="Y39" s="1"/>
  <c r="G39"/>
  <c r="BS39" s="1"/>
  <c r="BN34" i="46"/>
  <c r="BQ34" s="1"/>
  <c r="BU34" s="1"/>
  <c r="BU35" s="1"/>
  <c r="BN27"/>
  <c r="BQ27" s="1"/>
  <c r="BU27" s="1"/>
  <c r="T53" i="25"/>
  <c r="R53"/>
  <c r="U53"/>
  <c r="Y53" s="1"/>
  <c r="W28" i="24"/>
  <c r="BP93" i="45"/>
  <c r="BR93"/>
  <c r="BV93" s="1"/>
  <c r="BR47" i="24"/>
  <c r="BV47" s="1"/>
  <c r="AH50" i="47"/>
  <c r="M10" i="39" s="1"/>
  <c r="BK47" i="47"/>
  <c r="F47"/>
  <c r="T47" s="1"/>
  <c r="AE49"/>
  <c r="E22" i="41"/>
  <c r="T49" i="42"/>
  <c r="BL56" i="43"/>
  <c r="AD57"/>
  <c r="T49"/>
  <c r="X49" s="1"/>
  <c r="S49"/>
  <c r="W49" s="1"/>
  <c r="V49"/>
  <c r="Z49" s="1"/>
  <c r="U49"/>
  <c r="Y49" s="1"/>
  <c r="BL49"/>
  <c r="H49" s="1"/>
  <c r="I49" s="1"/>
  <c r="S45"/>
  <c r="BL39"/>
  <c r="H39" s="1"/>
  <c r="BF42"/>
  <c r="BL38"/>
  <c r="BD42"/>
  <c r="AJ42"/>
  <c r="BK42"/>
  <c r="V41"/>
  <c r="Z41" s="1"/>
  <c r="S41"/>
  <c r="W41" s="1"/>
  <c r="BL41"/>
  <c r="H41" s="1"/>
  <c r="J41" s="1"/>
  <c r="T41"/>
  <c r="X41" s="1"/>
  <c r="AB42"/>
  <c r="U41"/>
  <c r="Y41" s="1"/>
  <c r="U40"/>
  <c r="Y40" s="1"/>
  <c r="V40"/>
  <c r="Z40" s="1"/>
  <c r="T40"/>
  <c r="X40" s="1"/>
  <c r="S40"/>
  <c r="W40" s="1"/>
  <c r="BL40"/>
  <c r="H40" s="1"/>
  <c r="BQ40" s="1"/>
  <c r="BS40" s="1"/>
  <c r="BW40" s="1"/>
  <c r="U39"/>
  <c r="S39"/>
  <c r="W39" s="1"/>
  <c r="T39"/>
  <c r="X39" s="1"/>
  <c r="V39"/>
  <c r="G42"/>
  <c r="BF35"/>
  <c r="BL34"/>
  <c r="H34" s="1"/>
  <c r="AF35"/>
  <c r="AD35"/>
  <c r="BL22"/>
  <c r="AE62"/>
  <c r="I17" i="39" s="1"/>
  <c r="G11" i="43"/>
  <c r="U11" s="1"/>
  <c r="I57" i="44"/>
  <c r="G55"/>
  <c r="U55" s="1"/>
  <c r="Y55" s="1"/>
  <c r="BK95" i="45"/>
  <c r="F25"/>
  <c r="S25" s="1"/>
  <c r="G22" i="25"/>
  <c r="H22" s="1"/>
  <c r="BU45" i="24"/>
  <c r="BP43"/>
  <c r="BR43" s="1"/>
  <c r="BV43" s="1"/>
  <c r="BK48"/>
  <c r="X45" i="43"/>
  <c r="BV85" i="24"/>
  <c r="L12" i="20"/>
  <c r="X48" i="46"/>
  <c r="V18" i="26"/>
  <c r="I21" i="25"/>
  <c r="H21"/>
  <c r="Y60" i="45"/>
  <c r="S35" i="46"/>
  <c r="T101" i="45"/>
  <c r="X101" s="1"/>
  <c r="R101"/>
  <c r="V101" s="1"/>
  <c r="T12" i="44"/>
  <c r="G49" i="46"/>
  <c r="H49"/>
  <c r="I12" i="20"/>
  <c r="L27" i="42"/>
  <c r="L28" s="1"/>
  <c r="H60" i="46"/>
  <c r="G60"/>
  <c r="R23"/>
  <c r="V23" s="1"/>
  <c r="T23"/>
  <c r="X23" s="1"/>
  <c r="S23"/>
  <c r="W23" s="1"/>
  <c r="F23"/>
  <c r="H23" s="1"/>
  <c r="Q23"/>
  <c r="U23" s="1"/>
  <c r="I25" i="26"/>
  <c r="BP25"/>
  <c r="BS25" s="1"/>
  <c r="BW25" s="1"/>
  <c r="U12" i="47"/>
  <c r="Y12" s="1"/>
  <c r="V30" i="46"/>
  <c r="I17" i="26"/>
  <c r="AA13" i="47"/>
  <c r="BK13" s="1"/>
  <c r="BO13" s="1"/>
  <c r="BR13" s="1"/>
  <c r="BV13" s="1"/>
  <c r="BS34" i="25"/>
  <c r="BU34" s="1"/>
  <c r="BV34" s="1"/>
  <c r="U57" i="24"/>
  <c r="Y57" s="1"/>
  <c r="S57"/>
  <c r="W57" s="1"/>
  <c r="U82"/>
  <c r="Y82" s="1"/>
  <c r="R82"/>
  <c r="V82" s="1"/>
  <c r="S82"/>
  <c r="W82" s="1"/>
  <c r="G82"/>
  <c r="H82" s="1"/>
  <c r="F19" i="25"/>
  <c r="U19" s="1"/>
  <c r="BW29" i="26"/>
  <c r="BV32" i="25"/>
  <c r="BK26"/>
  <c r="AT27" i="26"/>
  <c r="AT22"/>
  <c r="G15" i="44"/>
  <c r="H15" s="1"/>
  <c r="BV86" i="24"/>
  <c r="S56"/>
  <c r="W56" s="1"/>
  <c r="R56"/>
  <c r="V56" s="1"/>
  <c r="T56"/>
  <c r="X56" s="1"/>
  <c r="G56"/>
  <c r="H56" s="1"/>
  <c r="U56"/>
  <c r="Y56" s="1"/>
  <c r="BM64" i="46"/>
  <c r="BM65" s="1"/>
  <c r="BM66" s="1"/>
  <c r="AG21" i="45"/>
  <c r="BI21"/>
  <c r="BE89" i="24"/>
  <c r="AJ26" i="39" s="1"/>
  <c r="AD25" i="46"/>
  <c r="AN35" i="43"/>
  <c r="AY32" i="47"/>
  <c r="AV42" i="46"/>
  <c r="AY53"/>
  <c r="AZ50"/>
  <c r="AZ53" s="1"/>
  <c r="BD35" i="43"/>
  <c r="AB52" i="46"/>
  <c r="AA53"/>
  <c r="BJ46"/>
  <c r="BN46" s="1"/>
  <c r="AN32"/>
  <c r="AY44" i="25"/>
  <c r="AO44"/>
  <c r="AU44"/>
  <c r="AK44"/>
  <c r="AR42" i="43"/>
  <c r="AB57"/>
  <c r="AT13"/>
  <c r="BB42"/>
  <c r="R20" i="25"/>
  <c r="G20"/>
  <c r="AW25" i="46"/>
  <c r="AJ13" i="43"/>
  <c r="AG20"/>
  <c r="AG62" s="1"/>
  <c r="K17" i="39" s="1"/>
  <c r="AH18" i="43"/>
  <c r="AH20" s="1"/>
  <c r="BB18"/>
  <c r="BB20" s="1"/>
  <c r="BA20"/>
  <c r="AL18"/>
  <c r="AL20" s="1"/>
  <c r="AK20"/>
  <c r="BE20"/>
  <c r="BF18"/>
  <c r="I82" i="24"/>
  <c r="K12" i="20"/>
  <c r="F12" i="45"/>
  <c r="T12" s="1"/>
  <c r="I45" i="43"/>
  <c r="I57" i="24"/>
  <c r="Z39" i="43"/>
  <c r="BN39" i="46"/>
  <c r="BQ39" s="1"/>
  <c r="BU39" s="1"/>
  <c r="BS47" i="25"/>
  <c r="BU47" s="1"/>
  <c r="BV47" s="1"/>
  <c r="H27"/>
  <c r="BP27"/>
  <c r="BR27" s="1"/>
  <c r="BV27" s="1"/>
  <c r="I14"/>
  <c r="I33" i="26"/>
  <c r="BQ33"/>
  <c r="BS33" s="1"/>
  <c r="BW33" s="1"/>
  <c r="J33"/>
  <c r="BI25" i="47"/>
  <c r="U37"/>
  <c r="Y37" s="1"/>
  <c r="T37"/>
  <c r="X37" s="1"/>
  <c r="S37"/>
  <c r="W37" s="1"/>
  <c r="J96" i="45"/>
  <c r="J102" s="1"/>
  <c r="S33"/>
  <c r="Y12" i="24"/>
  <c r="Y25" s="1"/>
  <c r="I26" i="25"/>
  <c r="H26"/>
  <c r="U29" i="45"/>
  <c r="G29"/>
  <c r="BN29" s="1"/>
  <c r="BR29" s="1"/>
  <c r="BV29" s="1"/>
  <c r="M43"/>
  <c r="BN43"/>
  <c r="BR43" s="1"/>
  <c r="BV43" s="1"/>
  <c r="I38" i="25"/>
  <c r="BS40"/>
  <c r="BU40" s="1"/>
  <c r="H26" i="26"/>
  <c r="J26" s="1"/>
  <c r="G27"/>
  <c r="S46" i="45"/>
  <c r="W46" s="1"/>
  <c r="U46"/>
  <c r="Y46" s="1"/>
  <c r="Q22" i="46"/>
  <c r="U22" s="1"/>
  <c r="G39"/>
  <c r="AC55" i="25"/>
  <c r="F30" i="46"/>
  <c r="H30" s="1"/>
  <c r="S30"/>
  <c r="W30" s="1"/>
  <c r="T41" i="24"/>
  <c r="X41" s="1"/>
  <c r="G41"/>
  <c r="H41" s="1"/>
  <c r="T67"/>
  <c r="X67" s="1"/>
  <c r="R67"/>
  <c r="V67" s="1"/>
  <c r="U67"/>
  <c r="Y67" s="1"/>
  <c r="G67"/>
  <c r="I67" s="1"/>
  <c r="BV22" i="26"/>
  <c r="R25" i="24"/>
  <c r="S64"/>
  <c r="W64" s="1"/>
  <c r="G64"/>
  <c r="I64" s="1"/>
  <c r="T64"/>
  <c r="X64" s="1"/>
  <c r="H21" i="26"/>
  <c r="H22" s="1"/>
  <c r="U21"/>
  <c r="Y21" s="1"/>
  <c r="G22"/>
  <c r="F29" i="46"/>
  <c r="H29" s="1"/>
  <c r="T29"/>
  <c r="X29" s="1"/>
  <c r="H13" i="24"/>
  <c r="I13"/>
  <c r="W33" i="26"/>
  <c r="W34" s="1"/>
  <c r="BU16" i="45"/>
  <c r="BI55" i="25"/>
  <c r="F59" i="24"/>
  <c r="BJ79"/>
  <c r="S73"/>
  <c r="W73"/>
  <c r="T73"/>
  <c r="X73" s="1"/>
  <c r="AD27" i="26"/>
  <c r="T16"/>
  <c r="X16" s="1"/>
  <c r="X18" s="1"/>
  <c r="H16"/>
  <c r="J16" s="1"/>
  <c r="G70" i="24"/>
  <c r="I70" s="1"/>
  <c r="S70"/>
  <c r="W70" s="1"/>
  <c r="AW55" i="25"/>
  <c r="AJ28" i="46"/>
  <c r="AJ32" s="1"/>
  <c r="AI32"/>
  <c r="AD28"/>
  <c r="AD32" s="1"/>
  <c r="AC32"/>
  <c r="AU32" i="47"/>
  <c r="Z15" i="46"/>
  <c r="BF89" i="24"/>
  <c r="AK26" i="39" s="1"/>
  <c r="BV56" i="24"/>
  <c r="BI41" i="47"/>
  <c r="BK41" s="1"/>
  <c r="AL25" i="46"/>
  <c r="AV50"/>
  <c r="AV53" s="1"/>
  <c r="AU53"/>
  <c r="AU66" s="1"/>
  <c r="AA11" i="39" s="1"/>
  <c r="AT41" i="44"/>
  <c r="BD20" i="46"/>
  <c r="BD25" s="1"/>
  <c r="BC25"/>
  <c r="BH20"/>
  <c r="BH25" s="1"/>
  <c r="AT35" i="43"/>
  <c r="AW34" i="45"/>
  <c r="G30" i="46"/>
  <c r="I16" i="26"/>
  <c r="H27"/>
  <c r="BP26"/>
  <c r="BS26" s="1"/>
  <c r="I26"/>
  <c r="I27" s="1"/>
  <c r="J27"/>
  <c r="I41" i="24"/>
  <c r="G29" i="46"/>
  <c r="H67" i="24"/>
  <c r="BQ44" i="46"/>
  <c r="BU44" s="1"/>
  <c r="I6" i="50"/>
  <c r="I5"/>
  <c r="I7"/>
  <c r="D23"/>
  <c r="I4"/>
  <c r="BR37" i="24"/>
  <c r="BV37" s="1"/>
  <c r="BT83"/>
  <c r="BU83" s="1"/>
  <c r="BV83" s="1"/>
  <c r="BT48"/>
  <c r="BU39"/>
  <c r="BI79"/>
  <c r="T58"/>
  <c r="X58" s="1"/>
  <c r="G58"/>
  <c r="I58" s="1"/>
  <c r="R58"/>
  <c r="V58" s="1"/>
  <c r="S58"/>
  <c r="W58" s="1"/>
  <c r="U58"/>
  <c r="Y58" s="1"/>
  <c r="BD50" i="47"/>
  <c r="AI10" i="39" s="1"/>
  <c r="BK20" i="43"/>
  <c r="AC49" i="47"/>
  <c r="T76" i="44"/>
  <c r="X76" s="1"/>
  <c r="H76"/>
  <c r="Q76" s="1"/>
  <c r="V76"/>
  <c r="Z76" s="1"/>
  <c r="Q62"/>
  <c r="BQ62"/>
  <c r="BS62" s="1"/>
  <c r="BW62" s="1"/>
  <c r="J62"/>
  <c r="I62"/>
  <c r="BK29" i="45"/>
  <c r="S23" i="47"/>
  <c r="W23" s="1"/>
  <c r="AU15"/>
  <c r="BG15"/>
  <c r="AI15"/>
  <c r="BK28"/>
  <c r="G28" s="1"/>
  <c r="I28" s="1"/>
  <c r="BI56" i="46"/>
  <c r="E56"/>
  <c r="U28" i="47"/>
  <c r="Y28" s="1"/>
  <c r="H58" i="24"/>
  <c r="D38" i="50"/>
  <c r="I85" i="24" l="1"/>
  <c r="I42"/>
  <c r="H42"/>
  <c r="BP42"/>
  <c r="BR42" s="1"/>
  <c r="BV42" s="1"/>
  <c r="F88"/>
  <c r="T87"/>
  <c r="X87" s="1"/>
  <c r="S87"/>
  <c r="W87" s="1"/>
  <c r="R87"/>
  <c r="V87" s="1"/>
  <c r="G87"/>
  <c r="U87"/>
  <c r="Y87" s="1"/>
  <c r="G60"/>
  <c r="T60"/>
  <c r="X60" s="1"/>
  <c r="R60"/>
  <c r="V60" s="1"/>
  <c r="U60"/>
  <c r="Y60" s="1"/>
  <c r="S60"/>
  <c r="W60" s="1"/>
  <c r="F24" i="46"/>
  <c r="Q24"/>
  <c r="U24" s="1"/>
  <c r="R24"/>
  <c r="V24" s="1"/>
  <c r="T24"/>
  <c r="X24" s="1"/>
  <c r="S24"/>
  <c r="W24" s="1"/>
  <c r="T55" i="24"/>
  <c r="X55" s="1"/>
  <c r="G55"/>
  <c r="U55"/>
  <c r="Y55" s="1"/>
  <c r="S55"/>
  <c r="W55" s="1"/>
  <c r="R55"/>
  <c r="V55" s="1"/>
  <c r="G37" i="47"/>
  <c r="BO37"/>
  <c r="BR37" s="1"/>
  <c r="BV37" s="1"/>
  <c r="T13" i="44"/>
  <c r="T16" s="1"/>
  <c r="X34" i="46"/>
  <c r="X35" s="1"/>
  <c r="X39" i="41"/>
  <c r="BV14" i="26"/>
  <c r="BV42" i="43"/>
  <c r="AE16" i="25"/>
  <c r="AI16"/>
  <c r="AF18" i="26"/>
  <c r="BJ35" i="41"/>
  <c r="AF20"/>
  <c r="AJ20"/>
  <c r="AP37"/>
  <c r="AT20"/>
  <c r="AV37"/>
  <c r="AZ37"/>
  <c r="BD37"/>
  <c r="BH37"/>
  <c r="AM15" i="47"/>
  <c r="BI32"/>
  <c r="BG49"/>
  <c r="AF15" i="46"/>
  <c r="BH15"/>
  <c r="BD34" i="44"/>
  <c r="AR34"/>
  <c r="AF34"/>
  <c r="BC91"/>
  <c r="BC93" s="1"/>
  <c r="BA53" i="42"/>
  <c r="AE21" i="39" s="1"/>
  <c r="AC53" i="42"/>
  <c r="G21" i="39" s="1"/>
  <c r="AB62" i="46"/>
  <c r="AB45" i="41"/>
  <c r="AF45"/>
  <c r="AJ45"/>
  <c r="AN45"/>
  <c r="AR45"/>
  <c r="AV45"/>
  <c r="AZ45"/>
  <c r="BD45"/>
  <c r="BH45"/>
  <c r="BJ31"/>
  <c r="BC53" i="46"/>
  <c r="BJ35" i="47"/>
  <c r="F35" s="1"/>
  <c r="U35" s="1"/>
  <c r="Y35" s="1"/>
  <c r="K39" i="41"/>
  <c r="K45" s="1"/>
  <c r="BV52" i="24"/>
  <c r="F33"/>
  <c r="Z37" i="41"/>
  <c r="Z46" s="1"/>
  <c r="BJ22"/>
  <c r="BJ13" i="44"/>
  <c r="BJ16" s="1"/>
  <c r="BB34"/>
  <c r="AP34"/>
  <c r="AD34"/>
  <c r="L91"/>
  <c r="L93" s="1"/>
  <c r="BA91"/>
  <c r="BA93" s="1"/>
  <c r="W22" i="26"/>
  <c r="BC66" i="46"/>
  <c r="AI11" i="39" s="1"/>
  <c r="AI12" s="1"/>
  <c r="BU53" i="24"/>
  <c r="BV53" s="1"/>
  <c r="W39" i="41"/>
  <c r="BU57" i="46"/>
  <c r="AS16" i="25"/>
  <c r="BC16"/>
  <c r="BG16"/>
  <c r="AA48"/>
  <c r="AQ48"/>
  <c r="BI48"/>
  <c r="AM48"/>
  <c r="AE55"/>
  <c r="BA55"/>
  <c r="AQ55"/>
  <c r="AM55"/>
  <c r="AI55"/>
  <c r="BE55"/>
  <c r="AB18" i="26"/>
  <c r="BV72" i="24"/>
  <c r="BU61"/>
  <c r="BV57"/>
  <c r="AP20" i="41"/>
  <c r="AR37"/>
  <c r="AV20"/>
  <c r="AZ20"/>
  <c r="BD20"/>
  <c r="BH20"/>
  <c r="AR19" i="42"/>
  <c r="BD19"/>
  <c r="AN16" i="44"/>
  <c r="AN13"/>
  <c r="AZ13"/>
  <c r="AZ16" s="1"/>
  <c r="BH34"/>
  <c r="AG16" i="45"/>
  <c r="AH62" i="46"/>
  <c r="AZ34" i="44"/>
  <c r="AN34"/>
  <c r="AB34"/>
  <c r="K91"/>
  <c r="K93" s="1"/>
  <c r="AY91"/>
  <c r="AY93" s="1"/>
  <c r="F12" i="25"/>
  <c r="BJ16"/>
  <c r="BJ29" i="41"/>
  <c r="W16" i="25"/>
  <c r="BJ41" i="41"/>
  <c r="Q40" i="43"/>
  <c r="T22" i="41"/>
  <c r="S13" i="44"/>
  <c r="S16" s="1"/>
  <c r="R49" i="45"/>
  <c r="V49" s="1"/>
  <c r="N12" i="20"/>
  <c r="V39" i="41"/>
  <c r="BG59" i="47"/>
  <c r="AG16" i="25"/>
  <c r="BV76" i="24"/>
  <c r="Z20" i="41"/>
  <c r="BJ18"/>
  <c r="AD20"/>
  <c r="AD46" s="1"/>
  <c r="AH20"/>
  <c r="AH46" s="1"/>
  <c r="AN37"/>
  <c r="AN46" s="1"/>
  <c r="AX37"/>
  <c r="AX46" s="1"/>
  <c r="BB37"/>
  <c r="BF37"/>
  <c r="BI37"/>
  <c r="AD13" i="44"/>
  <c r="AD16" s="1"/>
  <c r="AP16"/>
  <c r="AP13"/>
  <c r="BB13"/>
  <c r="BB16" s="1"/>
  <c r="AX34"/>
  <c r="AL34"/>
  <c r="P91"/>
  <c r="P93" s="1"/>
  <c r="BI91"/>
  <c r="BI93" s="1"/>
  <c r="AY55" i="25"/>
  <c r="AC16"/>
  <c r="BJ39" i="41"/>
  <c r="BO39" s="1"/>
  <c r="Z45"/>
  <c r="AD45"/>
  <c r="AH45"/>
  <c r="AL45"/>
  <c r="AL46" s="1"/>
  <c r="AP45"/>
  <c r="AT45"/>
  <c r="AX45"/>
  <c r="BB45"/>
  <c r="BF45"/>
  <c r="BJ28"/>
  <c r="BJ25"/>
  <c r="BJ16"/>
  <c r="BJ42"/>
  <c r="BJ33"/>
  <c r="U49" i="45"/>
  <c r="Y49" s="1"/>
  <c r="U39" i="41"/>
  <c r="Q45"/>
  <c r="BW11" i="26"/>
  <c r="BV18"/>
  <c r="BV27"/>
  <c r="AN14"/>
  <c r="AD18"/>
  <c r="BJ44" i="41"/>
  <c r="BN44" s="1"/>
  <c r="BN45" s="1"/>
  <c r="BN46" s="1"/>
  <c r="BJ17"/>
  <c r="AB37"/>
  <c r="AF37"/>
  <c r="AF46" s="1"/>
  <c r="AJ37"/>
  <c r="AJ46" s="1"/>
  <c r="AR20"/>
  <c r="AT37"/>
  <c r="AT46" s="1"/>
  <c r="AR16" i="44"/>
  <c r="AR13"/>
  <c r="BD13"/>
  <c r="BD16" s="1"/>
  <c r="AQ15" i="47"/>
  <c r="AM32"/>
  <c r="BH62" i="46"/>
  <c r="AV34" i="44"/>
  <c r="AJ34"/>
  <c r="O91"/>
  <c r="O93" s="1"/>
  <c r="K16" i="20" s="1"/>
  <c r="BG91" i="44"/>
  <c r="BG93" s="1"/>
  <c r="AK16" i="39" s="1"/>
  <c r="AZ35" i="26"/>
  <c r="AD28" i="39" s="1"/>
  <c r="BJ40" i="41"/>
  <c r="BR91" i="44"/>
  <c r="BR93" s="1"/>
  <c r="BJ34" i="41"/>
  <c r="F34" s="1"/>
  <c r="BJ26"/>
  <c r="BJ15"/>
  <c r="BP28" i="47"/>
  <c r="BR28" s="1"/>
  <c r="BV28" s="1"/>
  <c r="BU48" i="24"/>
  <c r="AE25" i="47"/>
  <c r="X19" i="44"/>
  <c r="BV87" i="24"/>
  <c r="BJ13" i="41"/>
  <c r="AN20"/>
  <c r="AX20"/>
  <c r="BB20"/>
  <c r="BF20"/>
  <c r="BJ23" i="46"/>
  <c r="BN23" s="1"/>
  <c r="BQ23" s="1"/>
  <c r="BU23" s="1"/>
  <c r="BD32"/>
  <c r="BH32"/>
  <c r="AX25"/>
  <c r="BJ31"/>
  <c r="BN31" s="1"/>
  <c r="BQ31" s="1"/>
  <c r="AV62"/>
  <c r="AX62"/>
  <c r="BL14" i="43"/>
  <c r="Y102" i="45"/>
  <c r="BF34" i="44"/>
  <c r="AT34"/>
  <c r="AH34"/>
  <c r="N91"/>
  <c r="BE91"/>
  <c r="BE93" s="1"/>
  <c r="AI16" i="39" s="1"/>
  <c r="BW20" i="26"/>
  <c r="AM16" i="25"/>
  <c r="AP56"/>
  <c r="U27" i="39" s="1"/>
  <c r="G29" i="44"/>
  <c r="BK34"/>
  <c r="J76"/>
  <c r="H64" i="24"/>
  <c r="BP21" i="26"/>
  <c r="BS21" s="1"/>
  <c r="H70" i="24"/>
  <c r="I36"/>
  <c r="R29" i="45"/>
  <c r="T29"/>
  <c r="R23" i="47"/>
  <c r="V23" s="1"/>
  <c r="G23"/>
  <c r="H23" s="1"/>
  <c r="H69" i="24"/>
  <c r="I69"/>
  <c r="BV49"/>
  <c r="T59"/>
  <c r="X59" s="1"/>
  <c r="G59"/>
  <c r="I42" i="25"/>
  <c r="BS42"/>
  <c r="BU42" s="1"/>
  <c r="BV42" s="1"/>
  <c r="F40" i="46"/>
  <c r="F42" s="1"/>
  <c r="Q40"/>
  <c r="U40" s="1"/>
  <c r="BN14" i="25"/>
  <c r="BR14" s="1"/>
  <c r="BV14" s="1"/>
  <c r="BT14"/>
  <c r="BU14" s="1"/>
  <c r="H14"/>
  <c r="BS45"/>
  <c r="BU45" s="1"/>
  <c r="BV45" s="1"/>
  <c r="I45"/>
  <c r="BK35" i="26"/>
  <c r="BN35" i="46"/>
  <c r="BV82" i="24"/>
  <c r="I37" i="47"/>
  <c r="H37"/>
  <c r="R33" i="45"/>
  <c r="G33"/>
  <c r="X33" s="1"/>
  <c r="H24" i="46"/>
  <c r="G24"/>
  <c r="H51"/>
  <c r="G51"/>
  <c r="H34" i="25"/>
  <c r="I34"/>
  <c r="BR53"/>
  <c r="BR55" s="1"/>
  <c r="BK14"/>
  <c r="I18" i="26"/>
  <c r="H37" i="24"/>
  <c r="I37"/>
  <c r="S18"/>
  <c r="W18" s="1"/>
  <c r="G18"/>
  <c r="H20" i="25"/>
  <c r="BT20"/>
  <c r="BL14" i="26"/>
  <c r="BQ67" i="44"/>
  <c r="BS67" s="1"/>
  <c r="BW67" s="1"/>
  <c r="I67"/>
  <c r="H35" i="25"/>
  <c r="I35"/>
  <c r="R70" i="24"/>
  <c r="V70" s="1"/>
  <c r="U70"/>
  <c r="Y70" s="1"/>
  <c r="T70"/>
  <c r="X70" s="1"/>
  <c r="T12" i="47"/>
  <c r="X12" s="1"/>
  <c r="H20" i="24"/>
  <c r="AQ66" i="46"/>
  <c r="W11" i="39" s="1"/>
  <c r="BK23" i="47"/>
  <c r="BO23" s="1"/>
  <c r="BR23" s="1"/>
  <c r="BV23" s="1"/>
  <c r="Y18" i="26"/>
  <c r="S101" i="45"/>
  <c r="W101" s="1"/>
  <c r="BK33" i="24"/>
  <c r="G14"/>
  <c r="S20"/>
  <c r="W20" s="1"/>
  <c r="G54"/>
  <c r="T71"/>
  <c r="X71" s="1"/>
  <c r="BV27"/>
  <c r="BK22" i="25"/>
  <c r="BB14" i="26"/>
  <c r="AD42" i="46"/>
  <c r="V50" i="43"/>
  <c r="Z50" s="1"/>
  <c r="H50"/>
  <c r="BB21" i="46"/>
  <c r="BB25" s="1"/>
  <c r="BA25"/>
  <c r="AL12" i="43"/>
  <c r="AK13"/>
  <c r="BC25" i="47"/>
  <c r="T16" i="46"/>
  <c r="X16" s="1"/>
  <c r="X17" s="1"/>
  <c r="U54" i="24"/>
  <c r="Y54" s="1"/>
  <c r="T54"/>
  <c r="X54" s="1"/>
  <c r="U71"/>
  <c r="Y71" s="1"/>
  <c r="BV15" i="42"/>
  <c r="U63" i="24"/>
  <c r="Y63" s="1"/>
  <c r="AG48" i="25"/>
  <c r="BK34"/>
  <c r="BK36"/>
  <c r="BK40"/>
  <c r="BK41"/>
  <c r="BK42"/>
  <c r="BK43"/>
  <c r="BK46"/>
  <c r="BK47"/>
  <c r="BK52"/>
  <c r="BK53"/>
  <c r="AR15" i="42"/>
  <c r="AB56" i="25"/>
  <c r="G27" i="39" s="1"/>
  <c r="AU55" i="25"/>
  <c r="AK55"/>
  <c r="AO21" i="45"/>
  <c r="AT28" i="46"/>
  <c r="AT32" s="1"/>
  <c r="AS32"/>
  <c r="S66" i="24"/>
  <c r="W66" s="1"/>
  <c r="U66"/>
  <c r="Y66" s="1"/>
  <c r="T66"/>
  <c r="X66" s="1"/>
  <c r="R66"/>
  <c r="V66" s="1"/>
  <c r="R34" i="25"/>
  <c r="V34" s="1"/>
  <c r="T34"/>
  <c r="X34" s="1"/>
  <c r="BD53" i="46"/>
  <c r="BA44" i="25"/>
  <c r="BA48" s="1"/>
  <c r="AE44"/>
  <c r="AS44"/>
  <c r="AS48" s="1"/>
  <c r="AC44"/>
  <c r="AC48" s="1"/>
  <c r="BE44"/>
  <c r="BK44" s="1"/>
  <c r="BK48" s="1"/>
  <c r="AI44"/>
  <c r="AI48" s="1"/>
  <c r="BK66" i="45"/>
  <c r="G66" s="1"/>
  <c r="AY42" i="46"/>
  <c r="AZ40"/>
  <c r="Z21"/>
  <c r="Z25" s="1"/>
  <c r="Z66" s="1"/>
  <c r="F11" i="39" s="1"/>
  <c r="Y25" i="46"/>
  <c r="Y66" s="1"/>
  <c r="E11" i="39" s="1"/>
  <c r="BL18" i="26"/>
  <c r="S16" i="46"/>
  <c r="W16" s="1"/>
  <c r="W17" s="1"/>
  <c r="R63" i="24"/>
  <c r="V63" s="1"/>
  <c r="R86"/>
  <c r="V86" s="1"/>
  <c r="G86"/>
  <c r="AR35" i="43"/>
  <c r="AU19" i="25"/>
  <c r="BA19"/>
  <c r="BC19"/>
  <c r="BE19"/>
  <c r="BG19"/>
  <c r="BG30" s="1"/>
  <c r="BG56" s="1"/>
  <c r="AL27" i="39" s="1"/>
  <c r="AL29" s="1"/>
  <c r="BI19" i="25"/>
  <c r="BI30" s="1"/>
  <c r="AE19"/>
  <c r="AE30" s="1"/>
  <c r="AG19"/>
  <c r="AG30" s="1"/>
  <c r="AI19"/>
  <c r="AM19"/>
  <c r="AQ19"/>
  <c r="AQ30" s="1"/>
  <c r="AQ56" s="1"/>
  <c r="V27" i="39" s="1"/>
  <c r="AS19" i="25"/>
  <c r="AS30" s="1"/>
  <c r="AC19"/>
  <c r="AC30" s="1"/>
  <c r="AA19"/>
  <c r="BF21" i="46"/>
  <c r="BF25" s="1"/>
  <c r="BI21"/>
  <c r="E21" s="1"/>
  <c r="R12" i="47"/>
  <c r="V12" s="1"/>
  <c r="H12" i="44"/>
  <c r="H13" s="1"/>
  <c r="G28" i="24"/>
  <c r="G13" i="44"/>
  <c r="I72" i="24"/>
  <c r="Q35" i="46"/>
  <c r="AB20" i="43"/>
  <c r="BJ33" i="24"/>
  <c r="G66"/>
  <c r="P56" i="25"/>
  <c r="M27" i="20" s="1"/>
  <c r="BV13" i="44"/>
  <c r="BW11"/>
  <c r="G63" i="24"/>
  <c r="BE30" i="25"/>
  <c r="AI30"/>
  <c r="AB14" i="26"/>
  <c r="AG102" i="45"/>
  <c r="AO16"/>
  <c r="BK100"/>
  <c r="BK56"/>
  <c r="G56" s="1"/>
  <c r="AW16"/>
  <c r="BK14"/>
  <c r="G14" s="1"/>
  <c r="BG16"/>
  <c r="BK93"/>
  <c r="BK101"/>
  <c r="BI34"/>
  <c r="AW49" i="47"/>
  <c r="V48" i="43"/>
  <c r="S48"/>
  <c r="G71" i="24"/>
  <c r="I71" s="1"/>
  <c r="J56" i="25"/>
  <c r="G27" i="20" s="1"/>
  <c r="K56" i="25"/>
  <c r="H27" i="20" s="1"/>
  <c r="AM30" i="25"/>
  <c r="T30" i="26"/>
  <c r="H30"/>
  <c r="H34" s="1"/>
  <c r="AX56" i="25"/>
  <c r="AC27" i="39" s="1"/>
  <c r="AR56" i="25"/>
  <c r="W27" i="39" s="1"/>
  <c r="AW48" i="25"/>
  <c r="AW56" s="1"/>
  <c r="AB27" i="39" s="1"/>
  <c r="AU48" i="25"/>
  <c r="AO48"/>
  <c r="AK48"/>
  <c r="AK56" s="1"/>
  <c r="P27" i="39" s="1"/>
  <c r="AO30" i="25"/>
  <c r="AU30"/>
  <c r="BK29"/>
  <c r="BK23"/>
  <c r="BK27"/>
  <c r="AY30"/>
  <c r="Y27" i="26"/>
  <c r="AX50" i="46"/>
  <c r="AW53"/>
  <c r="AW66" s="1"/>
  <c r="AC11" i="39" s="1"/>
  <c r="AC12" s="1"/>
  <c r="AS35" i="26"/>
  <c r="W28" i="39" s="1"/>
  <c r="AW35" i="26"/>
  <c r="AA28" i="39" s="1"/>
  <c r="R35" i="26"/>
  <c r="N28" i="20" s="1"/>
  <c r="AY35" i="26"/>
  <c r="AC28" i="39" s="1"/>
  <c r="BP66" i="46"/>
  <c r="AE25"/>
  <c r="AE66" s="1"/>
  <c r="K11" i="39" s="1"/>
  <c r="K12" s="1"/>
  <c r="AF21" i="46"/>
  <c r="BV66" i="24"/>
  <c r="Z33" i="26"/>
  <c r="Z34" s="1"/>
  <c r="BO56" i="25"/>
  <c r="BT35" i="26"/>
  <c r="BV35" i="24"/>
  <c r="AT34" i="26"/>
  <c r="AH27"/>
  <c r="BV77" i="24"/>
  <c r="BV19"/>
  <c r="BV13"/>
  <c r="BD15" i="42"/>
  <c r="AG15" i="47"/>
  <c r="BE15"/>
  <c r="AC32"/>
  <c r="AO32"/>
  <c r="AG32"/>
  <c r="AQ49"/>
  <c r="AF25" i="46"/>
  <c r="Z62"/>
  <c r="AA16" i="45"/>
  <c r="AL90" i="44"/>
  <c r="AX90"/>
  <c r="Z42" i="46"/>
  <c r="BM89" i="24"/>
  <c r="O35" i="26"/>
  <c r="K28" i="20" s="1"/>
  <c r="BK16" i="44"/>
  <c r="AA102" i="45"/>
  <c r="AB90" i="44"/>
  <c r="AB91" s="1"/>
  <c r="AB93" s="1"/>
  <c r="F16" i="39" s="1"/>
  <c r="AI39" i="45"/>
  <c r="BK87"/>
  <c r="G87" s="1"/>
  <c r="AS102"/>
  <c r="AU102"/>
  <c r="AC34"/>
  <c r="BK25"/>
  <c r="G25" s="1"/>
  <c r="P25" s="1"/>
  <c r="P34" s="1"/>
  <c r="P103" s="1"/>
  <c r="P104" s="1"/>
  <c r="M15" i="20" s="1"/>
  <c r="AK34" i="45"/>
  <c r="AE34"/>
  <c r="AQ34"/>
  <c r="BC34"/>
  <c r="AK52"/>
  <c r="BC52"/>
  <c r="BE52"/>
  <c r="BV31" i="25"/>
  <c r="AR22" i="26"/>
  <c r="AB22"/>
  <c r="AU35"/>
  <c r="Y28" i="39" s="1"/>
  <c r="AK35" i="26"/>
  <c r="O28" i="39" s="1"/>
  <c r="BV44" i="24"/>
  <c r="AK49" i="47"/>
  <c r="AP41" i="44"/>
  <c r="AD90"/>
  <c r="AP90"/>
  <c r="AZ28" i="42"/>
  <c r="BE102" i="45"/>
  <c r="AW102"/>
  <c r="BT68" i="24"/>
  <c r="BU68" s="1"/>
  <c r="BW19" i="26"/>
  <c r="BV13" i="43"/>
  <c r="AN22" i="26"/>
  <c r="AI35"/>
  <c r="M28" i="39" s="1"/>
  <c r="BG35" i="26"/>
  <c r="AK28" i="39" s="1"/>
  <c r="AK29" s="1"/>
  <c r="AN15" i="42"/>
  <c r="AL15"/>
  <c r="BH19"/>
  <c r="AP52"/>
  <c r="BA15" i="47"/>
  <c r="AM49"/>
  <c r="AV15" i="46"/>
  <c r="AV66" s="1"/>
  <c r="AB11" i="39" s="1"/>
  <c r="BW42" i="44"/>
  <c r="W90"/>
  <c r="AT90"/>
  <c r="AT91" s="1"/>
  <c r="AT93" s="1"/>
  <c r="BF90"/>
  <c r="BH35" i="26"/>
  <c r="AL28" i="39" s="1"/>
  <c r="BJ22" i="26"/>
  <c r="BJ35" s="1"/>
  <c r="AN28" i="39" s="1"/>
  <c r="AL62" i="46"/>
  <c r="W27" i="26"/>
  <c r="BL56" i="25"/>
  <c r="BK20"/>
  <c r="BP20" s="1"/>
  <c r="BK18"/>
  <c r="G18" s="1"/>
  <c r="BT18" s="1"/>
  <c r="AS25" i="46"/>
  <c r="AG25" i="47"/>
  <c r="AC16" i="45"/>
  <c r="BE21"/>
  <c r="BV61" i="43"/>
  <c r="AX13"/>
  <c r="P62"/>
  <c r="L17" i="20" s="1"/>
  <c r="AP42" i="43"/>
  <c r="N62"/>
  <c r="J17" i="20" s="1"/>
  <c r="T26" i="43"/>
  <c r="X26" s="1"/>
  <c r="S26"/>
  <c r="U26"/>
  <c r="BH35"/>
  <c r="K16" i="39"/>
  <c r="O16"/>
  <c r="AA16"/>
  <c r="BV16" i="44"/>
  <c r="BB41"/>
  <c r="AB41"/>
  <c r="AN41"/>
  <c r="Z65"/>
  <c r="BL63"/>
  <c r="AP83"/>
  <c r="AH90"/>
  <c r="BJ41"/>
  <c r="AJ41"/>
  <c r="AV41"/>
  <c r="BH41"/>
  <c r="U57"/>
  <c r="Y57" s="1"/>
  <c r="BK90"/>
  <c r="BL26"/>
  <c r="H26" s="1"/>
  <c r="M26" s="1"/>
  <c r="BL27"/>
  <c r="BW35"/>
  <c r="BL82"/>
  <c r="H82" s="1"/>
  <c r="AJ90"/>
  <c r="AJ91" s="1"/>
  <c r="AJ93" s="1"/>
  <c r="BQ57"/>
  <c r="BS57" s="1"/>
  <c r="BW57" s="1"/>
  <c r="T86"/>
  <c r="X86" s="1"/>
  <c r="Z41"/>
  <c r="AL41"/>
  <c r="AX41"/>
  <c r="BL40"/>
  <c r="H40" s="1"/>
  <c r="AN65"/>
  <c r="BB65"/>
  <c r="AL65"/>
  <c r="AX65"/>
  <c r="AV65"/>
  <c r="BF65"/>
  <c r="BL47"/>
  <c r="AP65"/>
  <c r="BL53"/>
  <c r="BL64"/>
  <c r="H64" s="1"/>
  <c r="BL67"/>
  <c r="AX83"/>
  <c r="AF83"/>
  <c r="AR83"/>
  <c r="AR91" s="1"/>
  <c r="AR93" s="1"/>
  <c r="BD83"/>
  <c r="AH83"/>
  <c r="BF83"/>
  <c r="BL77"/>
  <c r="BL78"/>
  <c r="BL21"/>
  <c r="BL88"/>
  <c r="J57"/>
  <c r="U86"/>
  <c r="Y86" s="1"/>
  <c r="G16" i="20"/>
  <c r="BL14" i="44"/>
  <c r="AB16"/>
  <c r="BL92"/>
  <c r="H92" s="1"/>
  <c r="BQ92" s="1"/>
  <c r="BS92" s="1"/>
  <c r="BW92" s="1"/>
  <c r="AG16" i="39"/>
  <c r="I16"/>
  <c r="V31" i="44"/>
  <c r="Z31" s="1"/>
  <c r="BW10"/>
  <c r="BD90"/>
  <c r="E22" i="39"/>
  <c r="BO40" i="41"/>
  <c r="T27"/>
  <c r="X27" s="1"/>
  <c r="I22" i="39"/>
  <c r="BQ21" i="44"/>
  <c r="BS21" s="1"/>
  <c r="BW21" s="1"/>
  <c r="H21"/>
  <c r="Q61"/>
  <c r="J61"/>
  <c r="BQ61"/>
  <c r="BS61" s="1"/>
  <c r="BW61" s="1"/>
  <c r="I61"/>
  <c r="BU26"/>
  <c r="BV26" s="1"/>
  <c r="BU27"/>
  <c r="BV27" s="1"/>
  <c r="BW27" s="1"/>
  <c r="H27"/>
  <c r="M27" s="1"/>
  <c r="S36"/>
  <c r="W36" s="1"/>
  <c r="U36"/>
  <c r="Y36" s="1"/>
  <c r="H36"/>
  <c r="I36" s="1"/>
  <c r="U16"/>
  <c r="Y12"/>
  <c r="Y13" s="1"/>
  <c r="BL36"/>
  <c r="V12"/>
  <c r="V13" s="1"/>
  <c r="BL85"/>
  <c r="BL69"/>
  <c r="BQ75"/>
  <c r="BS75" s="1"/>
  <c r="BW75" s="1"/>
  <c r="I75"/>
  <c r="M16" i="39"/>
  <c r="N16" i="20"/>
  <c r="AC83" i="44"/>
  <c r="AC91" s="1"/>
  <c r="AC93" s="1"/>
  <c r="G16" i="39" s="1"/>
  <c r="G18" s="1"/>
  <c r="BJ83" i="44"/>
  <c r="BJ91" s="1"/>
  <c r="BJ93" s="1"/>
  <c r="U75"/>
  <c r="Y75" s="1"/>
  <c r="Y16" i="39"/>
  <c r="L16" i="20"/>
  <c r="BL31" i="44"/>
  <c r="BQ31" s="1"/>
  <c r="T31"/>
  <c r="X31" s="1"/>
  <c r="BQ76"/>
  <c r="BS76" s="1"/>
  <c r="BW76" s="1"/>
  <c r="U31"/>
  <c r="Y31" s="1"/>
  <c r="W12"/>
  <c r="M21"/>
  <c r="I76"/>
  <c r="AH41"/>
  <c r="BF41"/>
  <c r="AF41"/>
  <c r="AR41"/>
  <c r="BD41"/>
  <c r="AD41"/>
  <c r="BJ65"/>
  <c r="AH65"/>
  <c r="BL49"/>
  <c r="BL50"/>
  <c r="BL51"/>
  <c r="H51" s="1"/>
  <c r="BL52"/>
  <c r="H52" s="1"/>
  <c r="BL54"/>
  <c r="BL57"/>
  <c r="BL58"/>
  <c r="H58" s="1"/>
  <c r="BL59"/>
  <c r="BL62"/>
  <c r="AJ83"/>
  <c r="BL68"/>
  <c r="AT83"/>
  <c r="BL70"/>
  <c r="H70" s="1"/>
  <c r="BL71"/>
  <c r="BL72"/>
  <c r="BB83"/>
  <c r="BB91" s="1"/>
  <c r="BB93" s="1"/>
  <c r="BL73"/>
  <c r="BL74"/>
  <c r="BL75"/>
  <c r="BL76"/>
  <c r="AL83"/>
  <c r="BL79"/>
  <c r="AD80"/>
  <c r="BL80" s="1"/>
  <c r="BL81"/>
  <c r="BL86"/>
  <c r="H86" s="1"/>
  <c r="J86" s="1"/>
  <c r="BW30"/>
  <c r="V22" i="42"/>
  <c r="Z22" s="1"/>
  <c r="AZ15"/>
  <c r="H44"/>
  <c r="V44"/>
  <c r="U49"/>
  <c r="S33"/>
  <c r="W33" s="1"/>
  <c r="H49"/>
  <c r="J49" s="1"/>
  <c r="S22"/>
  <c r="W22" s="1"/>
  <c r="H12"/>
  <c r="R12" s="1"/>
  <c r="R15" s="1"/>
  <c r="BL25"/>
  <c r="BL33"/>
  <c r="BQ33" s="1"/>
  <c r="BQ39" s="1"/>
  <c r="BK46"/>
  <c r="U12"/>
  <c r="BJ15"/>
  <c r="BD28"/>
  <c r="AD46"/>
  <c r="T12"/>
  <c r="S49"/>
  <c r="AT28"/>
  <c r="BF39"/>
  <c r="BL37"/>
  <c r="H37" s="1"/>
  <c r="L37" s="1"/>
  <c r="K12" i="41"/>
  <c r="BO12"/>
  <c r="BQ12" s="1"/>
  <c r="BU12" s="1"/>
  <c r="AK22" i="39"/>
  <c r="AK23" s="1"/>
  <c r="H12" i="41"/>
  <c r="O12"/>
  <c r="I12"/>
  <c r="O26"/>
  <c r="G26"/>
  <c r="BO43"/>
  <c r="BM29"/>
  <c r="BQ29" s="1"/>
  <c r="BU29" s="1"/>
  <c r="BS46"/>
  <c r="BO23"/>
  <c r="BQ23" s="1"/>
  <c r="BU23" s="1"/>
  <c r="BR46"/>
  <c r="BJ21"/>
  <c r="G22" i="39"/>
  <c r="G23" s="1"/>
  <c r="BM28" i="41"/>
  <c r="BQ28" s="1"/>
  <c r="BU28" s="1"/>
  <c r="BP46"/>
  <c r="J12"/>
  <c r="BJ12"/>
  <c r="F15"/>
  <c r="G15" s="1"/>
  <c r="Q22" i="39"/>
  <c r="F33" i="41"/>
  <c r="K33" s="1"/>
  <c r="T33"/>
  <c r="H26"/>
  <c r="BI45"/>
  <c r="Y22" i="39"/>
  <c r="M22"/>
  <c r="R22" i="41"/>
  <c r="BJ38"/>
  <c r="BJ62" i="43"/>
  <c r="AN17" i="39" s="1"/>
  <c r="BL24" i="43"/>
  <c r="H24" s="1"/>
  <c r="BQ24" s="1"/>
  <c r="BS24" s="1"/>
  <c r="BW24" s="1"/>
  <c r="W12" i="42"/>
  <c r="BS29"/>
  <c r="BW29" s="1"/>
  <c r="AJ52"/>
  <c r="BG53"/>
  <c r="AK21" i="39" s="1"/>
  <c r="AU53" i="42"/>
  <c r="Y21" i="39" s="1"/>
  <c r="AI53" i="42"/>
  <c r="M21" i="39" s="1"/>
  <c r="AA53" i="42"/>
  <c r="E21" i="39" s="1"/>
  <c r="AR28" i="42"/>
  <c r="AF28"/>
  <c r="BB39"/>
  <c r="Z13"/>
  <c r="AB52"/>
  <c r="BL42"/>
  <c r="BB52"/>
  <c r="BB53" s="1"/>
  <c r="AF21" i="39" s="1"/>
  <c r="AH28" i="42"/>
  <c r="AD28"/>
  <c r="AX39"/>
  <c r="BJ39"/>
  <c r="BW16"/>
  <c r="BL12"/>
  <c r="BO12" s="1"/>
  <c r="BS12" s="1"/>
  <c r="BW12" s="1"/>
  <c r="BL14"/>
  <c r="BO14" s="1"/>
  <c r="AH19"/>
  <c r="BH28"/>
  <c r="AF15"/>
  <c r="AB19"/>
  <c r="AN19"/>
  <c r="AZ19"/>
  <c r="BU49"/>
  <c r="BU52" s="1"/>
  <c r="BU53" s="1"/>
  <c r="X25"/>
  <c r="S21"/>
  <c r="BK19"/>
  <c r="AH52"/>
  <c r="S41"/>
  <c r="U41"/>
  <c r="H41"/>
  <c r="G46"/>
  <c r="T41"/>
  <c r="V41"/>
  <c r="I42"/>
  <c r="T13"/>
  <c r="BW20"/>
  <c r="BL27"/>
  <c r="BF28"/>
  <c r="AF39"/>
  <c r="BL38"/>
  <c r="AZ52"/>
  <c r="BL49"/>
  <c r="BQ49" s="1"/>
  <c r="BJ52"/>
  <c r="AN52"/>
  <c r="BL43"/>
  <c r="H43" s="1"/>
  <c r="J43" s="1"/>
  <c r="J46" s="1"/>
  <c r="H26"/>
  <c r="W26" s="1"/>
  <c r="W27"/>
  <c r="S13"/>
  <c r="H14"/>
  <c r="J14" s="1"/>
  <c r="J15" s="1"/>
  <c r="AL19"/>
  <c r="AX19"/>
  <c r="T26"/>
  <c r="X26" s="1"/>
  <c r="U14"/>
  <c r="Y14" s="1"/>
  <c r="V14"/>
  <c r="Z14" s="1"/>
  <c r="BL17"/>
  <c r="AD52"/>
  <c r="AP46"/>
  <c r="U26"/>
  <c r="Y26" s="1"/>
  <c r="U13"/>
  <c r="BL21"/>
  <c r="BW47"/>
  <c r="BV39"/>
  <c r="BT53"/>
  <c r="AT19"/>
  <c r="AV46"/>
  <c r="BB28"/>
  <c r="AB28"/>
  <c r="AJ28"/>
  <c r="BL26"/>
  <c r="Z49"/>
  <c r="Y27"/>
  <c r="P53"/>
  <c r="L21" i="20" s="1"/>
  <c r="T14" i="42"/>
  <c r="X14" s="1"/>
  <c r="AJ19"/>
  <c r="BF19"/>
  <c r="AP28"/>
  <c r="S51" i="25"/>
  <c r="W51" s="1"/>
  <c r="R51"/>
  <c r="V51" s="1"/>
  <c r="T51"/>
  <c r="X51" s="1"/>
  <c r="U51"/>
  <c r="Y51" s="1"/>
  <c r="G51"/>
  <c r="U36"/>
  <c r="Y36" s="1"/>
  <c r="R36"/>
  <c r="V36" s="1"/>
  <c r="S36"/>
  <c r="W36" s="1"/>
  <c r="G36"/>
  <c r="T36"/>
  <c r="X36" s="1"/>
  <c r="S18"/>
  <c r="W18" s="1"/>
  <c r="T18"/>
  <c r="X18" s="1"/>
  <c r="R18"/>
  <c r="V18" s="1"/>
  <c r="U18"/>
  <c r="Y18" s="1"/>
  <c r="G41"/>
  <c r="S41"/>
  <c r="W41" s="1"/>
  <c r="T41"/>
  <c r="X41" s="1"/>
  <c r="U41"/>
  <c r="Y41" s="1"/>
  <c r="R41"/>
  <c r="V41" s="1"/>
  <c r="S29"/>
  <c r="W29" s="1"/>
  <c r="G29"/>
  <c r="BP29" s="1"/>
  <c r="BR29" s="1"/>
  <c r="BV29" s="1"/>
  <c r="I23"/>
  <c r="H23"/>
  <c r="BV40"/>
  <c r="BS35"/>
  <c r="BU35" s="1"/>
  <c r="BV35" s="1"/>
  <c r="I22"/>
  <c r="S23"/>
  <c r="W23" s="1"/>
  <c r="BK37"/>
  <c r="BE48"/>
  <c r="BE56" s="1"/>
  <c r="AJ27" i="39" s="1"/>
  <c r="I37" i="25"/>
  <c r="U46"/>
  <c r="Y46" s="1"/>
  <c r="AG55"/>
  <c r="BC55"/>
  <c r="BG55"/>
  <c r="AW30"/>
  <c r="BK50"/>
  <c r="H37"/>
  <c r="AI56"/>
  <c r="N27" i="39" s="1"/>
  <c r="V20" i="25"/>
  <c r="BP22"/>
  <c r="BR22" s="1"/>
  <c r="BV22" s="1"/>
  <c r="BK21"/>
  <c r="BJ48"/>
  <c r="AA30"/>
  <c r="M56"/>
  <c r="J27" i="20" s="1"/>
  <c r="BK25" i="25"/>
  <c r="T46"/>
  <c r="X46" s="1"/>
  <c r="BK13"/>
  <c r="G13" s="1"/>
  <c r="AT56"/>
  <c r="Y27" i="39" s="1"/>
  <c r="BK54" i="25"/>
  <c r="R19"/>
  <c r="V19" s="1"/>
  <c r="BJ30"/>
  <c r="G46"/>
  <c r="H46" s="1"/>
  <c r="AX61" i="43"/>
  <c r="Q31"/>
  <c r="Z31"/>
  <c r="I31"/>
  <c r="J31"/>
  <c r="BQ31"/>
  <c r="BS31" s="1"/>
  <c r="BW31" s="1"/>
  <c r="BQ56"/>
  <c r="BS56" s="1"/>
  <c r="BW56" s="1"/>
  <c r="J56"/>
  <c r="Z56"/>
  <c r="Q56"/>
  <c r="I32"/>
  <c r="Q32"/>
  <c r="BQ46"/>
  <c r="BS46" s="1"/>
  <c r="BW46" s="1"/>
  <c r="Q46"/>
  <c r="J46"/>
  <c r="I46"/>
  <c r="BD20"/>
  <c r="AD13"/>
  <c r="AD62" s="1"/>
  <c r="H17" i="39" s="1"/>
  <c r="AF57" i="43"/>
  <c r="BH57"/>
  <c r="AF42"/>
  <c r="BB35"/>
  <c r="AR18"/>
  <c r="AR20" s="1"/>
  <c r="O62"/>
  <c r="K17" i="20" s="1"/>
  <c r="S22" i="39"/>
  <c r="BL31" i="42"/>
  <c r="BP31" s="1"/>
  <c r="BP39" s="1"/>
  <c r="BP53" s="1"/>
  <c r="AY53"/>
  <c r="AC21" i="39" s="1"/>
  <c r="AO53" i="42"/>
  <c r="S21" i="39" s="1"/>
  <c r="BL30" i="42"/>
  <c r="H30" s="1"/>
  <c r="BO30" s="1"/>
  <c r="BS30" s="1"/>
  <c r="BW30" s="1"/>
  <c r="T30"/>
  <c r="X30" s="1"/>
  <c r="U30"/>
  <c r="AL39"/>
  <c r="AG53"/>
  <c r="K21" i="39" s="1"/>
  <c r="S30" i="42"/>
  <c r="V30"/>
  <c r="AH57" i="43"/>
  <c r="U19"/>
  <c r="Y19" s="1"/>
  <c r="V19"/>
  <c r="Z19" s="1"/>
  <c r="T19"/>
  <c r="X19" s="1"/>
  <c r="S19"/>
  <c r="W19" s="1"/>
  <c r="AV15" i="42"/>
  <c r="AT15"/>
  <c r="AH15"/>
  <c r="U11"/>
  <c r="G15"/>
  <c r="AD15"/>
  <c r="BL11"/>
  <c r="BO11" s="1"/>
  <c r="BK75" i="45"/>
  <c r="BP75" s="1"/>
  <c r="BR75" s="1"/>
  <c r="BV75" s="1"/>
  <c r="BL24" i="44"/>
  <c r="S16" i="39"/>
  <c r="E16"/>
  <c r="AM16"/>
  <c r="G25" i="44"/>
  <c r="AM53" i="42"/>
  <c r="Q21" i="39" s="1"/>
  <c r="U22"/>
  <c r="BS31" i="42"/>
  <c r="BW31" s="1"/>
  <c r="S18"/>
  <c r="U18"/>
  <c r="H18"/>
  <c r="M18" s="1"/>
  <c r="M19" s="1"/>
  <c r="V18"/>
  <c r="T18"/>
  <c r="T21"/>
  <c r="BE53"/>
  <c r="AI21" i="39" s="1"/>
  <c r="AI23" s="1"/>
  <c r="AF19" i="42"/>
  <c r="T33"/>
  <c r="X33" s="1"/>
  <c r="U33"/>
  <c r="Y33" s="1"/>
  <c r="Z25"/>
  <c r="U46"/>
  <c r="U22"/>
  <c r="BK28"/>
  <c r="AB15"/>
  <c r="AT52"/>
  <c r="H22"/>
  <c r="X22" s="1"/>
  <c r="W13"/>
  <c r="BW40"/>
  <c r="AP15"/>
  <c r="BB15"/>
  <c r="AV19"/>
  <c r="AX28"/>
  <c r="AF52"/>
  <c r="AR52"/>
  <c r="BD52"/>
  <c r="AV52"/>
  <c r="BH52"/>
  <c r="R53"/>
  <c r="N21" i="20" s="1"/>
  <c r="BK39" i="42"/>
  <c r="H21"/>
  <c r="AJ15"/>
  <c r="AB46"/>
  <c r="AW53"/>
  <c r="AA21" i="39" s="1"/>
  <c r="AK53" i="42"/>
  <c r="O21" i="39" s="1"/>
  <c r="AL52" i="42"/>
  <c r="AX52"/>
  <c r="BC53"/>
  <c r="AG21" i="39" s="1"/>
  <c r="AQ53" i="42"/>
  <c r="U21" i="39" s="1"/>
  <c r="AE53" i="42"/>
  <c r="I21" i="39" s="1"/>
  <c r="G28" i="42"/>
  <c r="BL18"/>
  <c r="V21"/>
  <c r="V28" s="1"/>
  <c r="N53"/>
  <c r="J21" i="20" s="1"/>
  <c r="AP19" i="42"/>
  <c r="BD39"/>
  <c r="AZ46"/>
  <c r="BL103" i="45"/>
  <c r="AP103"/>
  <c r="AP104" s="1"/>
  <c r="U15" i="39" s="1"/>
  <c r="BO66" i="45"/>
  <c r="Q66"/>
  <c r="BK51"/>
  <c r="G51" s="1"/>
  <c r="M51" s="1"/>
  <c r="BK12"/>
  <c r="S75"/>
  <c r="W75" s="1"/>
  <c r="AQ16"/>
  <c r="AU21"/>
  <c r="T62"/>
  <c r="X62" s="1"/>
  <c r="U63"/>
  <c r="Y63" s="1"/>
  <c r="O103"/>
  <c r="O104" s="1"/>
  <c r="L15" i="20" s="1"/>
  <c r="AO39" i="45"/>
  <c r="BC39"/>
  <c r="U62"/>
  <c r="Y62" s="1"/>
  <c r="U75"/>
  <c r="Y75" s="1"/>
  <c r="R63"/>
  <c r="V63" s="1"/>
  <c r="BH103"/>
  <c r="BH104" s="1"/>
  <c r="AM15" i="39" s="1"/>
  <c r="AE102" i="45"/>
  <c r="G40"/>
  <c r="U40"/>
  <c r="Y40" s="1"/>
  <c r="BN68"/>
  <c r="BR68" s="1"/>
  <c r="BV68" s="1"/>
  <c r="S62"/>
  <c r="W62" s="1"/>
  <c r="T75"/>
  <c r="X75" s="1"/>
  <c r="T63"/>
  <c r="X63" s="1"/>
  <c r="G71"/>
  <c r="M71" s="1"/>
  <c r="AF103"/>
  <c r="AF104" s="1"/>
  <c r="K15" i="39" s="1"/>
  <c r="BK71" i="45"/>
  <c r="AV103"/>
  <c r="AV104" s="1"/>
  <c r="AA15" i="39" s="1"/>
  <c r="AA18" s="1"/>
  <c r="BK80" i="45"/>
  <c r="G80" s="1"/>
  <c r="AS34"/>
  <c r="R40"/>
  <c r="V40" s="1"/>
  <c r="BK63"/>
  <c r="G63" s="1"/>
  <c r="AU34"/>
  <c r="BA52"/>
  <c r="AQ52"/>
  <c r="R68"/>
  <c r="V68" s="1"/>
  <c r="U68"/>
  <c r="Y68" s="1"/>
  <c r="T68"/>
  <c r="X68" s="1"/>
  <c r="V26" i="43"/>
  <c r="Z26" s="1"/>
  <c r="W26"/>
  <c r="H26"/>
  <c r="M26" s="1"/>
  <c r="Y26"/>
  <c r="BL22" i="42"/>
  <c r="Y22"/>
  <c r="AA77" i="45"/>
  <c r="AM77"/>
  <c r="AE77"/>
  <c r="BK70"/>
  <c r="T30" i="44"/>
  <c r="X30" s="1"/>
  <c r="H30"/>
  <c r="U49"/>
  <c r="Y49" s="1"/>
  <c r="H49"/>
  <c r="I49" s="1"/>
  <c r="T49"/>
  <c r="X49" s="1"/>
  <c r="Q86"/>
  <c r="U37"/>
  <c r="Y37" s="1"/>
  <c r="S37"/>
  <c r="W37" s="1"/>
  <c r="H37"/>
  <c r="T37"/>
  <c r="X37" s="1"/>
  <c r="U54"/>
  <c r="Y54" s="1"/>
  <c r="H54"/>
  <c r="T36"/>
  <c r="X36" s="1"/>
  <c r="Y16"/>
  <c r="BL37"/>
  <c r="H19"/>
  <c r="BH65"/>
  <c r="BL61"/>
  <c r="BL15"/>
  <c r="BL39"/>
  <c r="H39" s="1"/>
  <c r="AC16" i="39"/>
  <c r="BL23" i="44"/>
  <c r="AJ16"/>
  <c r="AV16"/>
  <c r="BL30"/>
  <c r="AF90"/>
  <c r="AF91" s="1"/>
  <c r="AF93" s="1"/>
  <c r="BL26" i="43"/>
  <c r="AV35"/>
  <c r="BG77" i="45"/>
  <c r="R32"/>
  <c r="R89"/>
  <c r="V89" s="1"/>
  <c r="BB103"/>
  <c r="BB104" s="1"/>
  <c r="AG15" i="39" s="1"/>
  <c r="BC77" i="45"/>
  <c r="S85"/>
  <c r="W85" s="1"/>
  <c r="BA39"/>
  <c r="G88"/>
  <c r="BP88" s="1"/>
  <c r="BR88" s="1"/>
  <c r="BV88" s="1"/>
  <c r="AW52"/>
  <c r="R88"/>
  <c r="V88" s="1"/>
  <c r="W33"/>
  <c r="AT103"/>
  <c r="AT104" s="1"/>
  <c r="Y15" i="39" s="1"/>
  <c r="AO77" i="45"/>
  <c r="AN103"/>
  <c r="AN104" s="1"/>
  <c r="S15" i="39" s="1"/>
  <c r="AO102" i="45"/>
  <c r="AM102"/>
  <c r="BK58"/>
  <c r="G58" s="1"/>
  <c r="AH103"/>
  <c r="AH104" s="1"/>
  <c r="M15" i="39" s="1"/>
  <c r="AI52" i="45"/>
  <c r="S69"/>
  <c r="AG77"/>
  <c r="T69"/>
  <c r="U69"/>
  <c r="BK62"/>
  <c r="G62" s="1"/>
  <c r="BN62" s="1"/>
  <c r="BR62" s="1"/>
  <c r="BV62" s="1"/>
  <c r="M72"/>
  <c r="S45"/>
  <c r="W45" s="1"/>
  <c r="U50"/>
  <c r="Y50" s="1"/>
  <c r="R50"/>
  <c r="V50" s="1"/>
  <c r="T50"/>
  <c r="X50" s="1"/>
  <c r="AE39"/>
  <c r="S32"/>
  <c r="Y29"/>
  <c r="W29"/>
  <c r="V29"/>
  <c r="BJ39"/>
  <c r="S36"/>
  <c r="T31"/>
  <c r="U31"/>
  <c r="S31"/>
  <c r="R82"/>
  <c r="S82"/>
  <c r="BL51" i="42"/>
  <c r="U51"/>
  <c r="Y51" s="1"/>
  <c r="T51"/>
  <c r="X51" s="1"/>
  <c r="V51"/>
  <c r="Z51" s="1"/>
  <c r="AX46"/>
  <c r="AL46"/>
  <c r="X45"/>
  <c r="K45"/>
  <c r="K46" s="1"/>
  <c r="Z45"/>
  <c r="W45"/>
  <c r="BL45"/>
  <c r="Y45"/>
  <c r="AH46"/>
  <c r="BL44"/>
  <c r="AN46"/>
  <c r="AT46"/>
  <c r="AP39"/>
  <c r="V38"/>
  <c r="S38"/>
  <c r="H38"/>
  <c r="BO38" s="1"/>
  <c r="BS38" s="1"/>
  <c r="BW38" s="1"/>
  <c r="AB39"/>
  <c r="AD39"/>
  <c r="AH39"/>
  <c r="AN39"/>
  <c r="BL36"/>
  <c r="H35"/>
  <c r="L35" s="1"/>
  <c r="G39"/>
  <c r="AR39"/>
  <c r="AT39"/>
  <c r="BL35"/>
  <c r="AZ39"/>
  <c r="BL52" i="43"/>
  <c r="H52" s="1"/>
  <c r="Y52" s="1"/>
  <c r="V52"/>
  <c r="U52"/>
  <c r="T52"/>
  <c r="S52"/>
  <c r="AW62"/>
  <c r="AA17" i="39" s="1"/>
  <c r="BL47" i="43"/>
  <c r="BL57" s="1"/>
  <c r="AK62"/>
  <c r="O17" i="39" s="1"/>
  <c r="BL28" i="43"/>
  <c r="H28" s="1"/>
  <c r="K28" s="1"/>
  <c r="AB35"/>
  <c r="AB62" s="1"/>
  <c r="F17" i="39" s="1"/>
  <c r="BF103" i="45"/>
  <c r="BF104" s="1"/>
  <c r="AK15" i="39" s="1"/>
  <c r="BK94" i="45"/>
  <c r="BK65"/>
  <c r="G65" s="1"/>
  <c r="Q65" s="1"/>
  <c r="BK64"/>
  <c r="G64" s="1"/>
  <c r="BN64" s="1"/>
  <c r="BR64" s="1"/>
  <c r="BV64" s="1"/>
  <c r="BN63"/>
  <c r="BR63" s="1"/>
  <c r="BV63" s="1"/>
  <c r="Q63"/>
  <c r="AK77"/>
  <c r="AS77"/>
  <c r="R61"/>
  <c r="V61" s="1"/>
  <c r="S61"/>
  <c r="W61" s="1"/>
  <c r="T61"/>
  <c r="X61" s="1"/>
  <c r="G61"/>
  <c r="U61"/>
  <c r="Y61" s="1"/>
  <c r="G59"/>
  <c r="BN59" s="1"/>
  <c r="BR59" s="1"/>
  <c r="BV59" s="1"/>
  <c r="BN42"/>
  <c r="BR42" s="1"/>
  <c r="BV42" s="1"/>
  <c r="M42"/>
  <c r="H59" i="24"/>
  <c r="I59"/>
  <c r="S42" i="45"/>
  <c r="W42" s="1"/>
  <c r="T42"/>
  <c r="X42" s="1"/>
  <c r="Q15" i="44"/>
  <c r="Q16" s="1"/>
  <c r="J15"/>
  <c r="J16" s="1"/>
  <c r="BP15"/>
  <c r="Q61" i="46"/>
  <c r="U61" s="1"/>
  <c r="E62"/>
  <c r="T61"/>
  <c r="X61" s="1"/>
  <c r="BP41" i="24"/>
  <c r="BR41" s="1"/>
  <c r="S42" i="43"/>
  <c r="R61" i="46"/>
  <c r="R56" i="45"/>
  <c r="V56" s="1"/>
  <c r="T56"/>
  <c r="X56" s="1"/>
  <c r="S56"/>
  <c r="W56" s="1"/>
  <c r="BL25" i="44"/>
  <c r="H25" s="1"/>
  <c r="T31" i="42"/>
  <c r="X31" s="1"/>
  <c r="U31"/>
  <c r="Y31" s="1"/>
  <c r="S31"/>
  <c r="W31" s="1"/>
  <c r="V31"/>
  <c r="Z31" s="1"/>
  <c r="BL29" i="44"/>
  <c r="BT29" s="1"/>
  <c r="BK61" i="45"/>
  <c r="BC102"/>
  <c r="BK96"/>
  <c r="AO19" i="47"/>
  <c r="AN25"/>
  <c r="AW21"/>
  <c r="AW25" s="1"/>
  <c r="AV25"/>
  <c r="AV50" s="1"/>
  <c r="AA10" i="39" s="1"/>
  <c r="AA12" s="1"/>
  <c r="T28" i="47"/>
  <c r="F22" i="46"/>
  <c r="G16" i="44"/>
  <c r="R47" i="47"/>
  <c r="V47" s="1"/>
  <c r="BL20" i="44"/>
  <c r="W42" i="43"/>
  <c r="BO47" i="47"/>
  <c r="G47"/>
  <c r="H78" i="24"/>
  <c r="I76"/>
  <c r="H76"/>
  <c r="F19"/>
  <c r="BJ25"/>
  <c r="V53" i="25"/>
  <c r="BL12" i="44"/>
  <c r="BL13" s="1"/>
  <c r="BF44" i="47"/>
  <c r="BF50" s="1"/>
  <c r="AK10" i="39" s="1"/>
  <c r="BG34" i="47"/>
  <c r="BG44" s="1"/>
  <c r="BG50" s="1"/>
  <c r="AL10" i="39" s="1"/>
  <c r="M29" i="45"/>
  <c r="AT62" i="43"/>
  <c r="X17" i="39" s="1"/>
  <c r="BQ35" i="46"/>
  <c r="X12" i="44"/>
  <c r="I20" i="25"/>
  <c r="I101" i="45"/>
  <c r="S47" i="47"/>
  <c r="W47" s="1"/>
  <c r="U42" i="43"/>
  <c r="Z42"/>
  <c r="S40" i="46"/>
  <c r="S39" i="25"/>
  <c r="W61" i="46"/>
  <c r="W62" s="1"/>
  <c r="BK20" i="47"/>
  <c r="G20" s="1"/>
  <c r="H20" s="1"/>
  <c r="AF35" i="26"/>
  <c r="J28" i="39" s="1"/>
  <c r="M22" i="42"/>
  <c r="BO22"/>
  <c r="BS22" s="1"/>
  <c r="BW22" s="1"/>
  <c r="I28" i="25"/>
  <c r="BP28"/>
  <c r="BR28" s="1"/>
  <c r="BV28" s="1"/>
  <c r="BS44"/>
  <c r="BU44" s="1"/>
  <c r="BV44" s="1"/>
  <c r="I44"/>
  <c r="AO25" i="47"/>
  <c r="Y25" i="42"/>
  <c r="V88" i="24"/>
  <c r="R22" i="46"/>
  <c r="V22" s="1"/>
  <c r="U18" i="26"/>
  <c r="T68" i="44"/>
  <c r="X68" s="1"/>
  <c r="U68"/>
  <c r="Y68" s="1"/>
  <c r="H68"/>
  <c r="G24" i="24"/>
  <c r="S24"/>
  <c r="W24" s="1"/>
  <c r="BH46" i="42"/>
  <c r="BL41"/>
  <c r="BQ41" s="1"/>
  <c r="I56" i="24"/>
  <c r="BP101" i="45"/>
  <c r="BR101" s="1"/>
  <c r="BV101" s="1"/>
  <c r="U47" i="47"/>
  <c r="Y47" s="1"/>
  <c r="V42" i="43"/>
  <c r="BJ55" i="46"/>
  <c r="T40"/>
  <c r="X40" s="1"/>
  <c r="BQ32" i="43"/>
  <c r="BS32" s="1"/>
  <c r="BW32" s="1"/>
  <c r="M25" i="42"/>
  <c r="BO25"/>
  <c r="BS25" s="1"/>
  <c r="BW25" s="1"/>
  <c r="BK35" i="47"/>
  <c r="G35" s="1"/>
  <c r="Q14" i="46"/>
  <c r="U14" s="1"/>
  <c r="T14"/>
  <c r="R14"/>
  <c r="V14" s="1"/>
  <c r="S14"/>
  <c r="W14" s="1"/>
  <c r="X27" i="42"/>
  <c r="H47" i="25"/>
  <c r="AT35" i="26"/>
  <c r="X28" i="39" s="1"/>
  <c r="H83" i="24"/>
  <c r="I83"/>
  <c r="BF52" i="42"/>
  <c r="BL48"/>
  <c r="AJ44" i="47"/>
  <c r="AJ50" s="1"/>
  <c r="O10" i="39" s="1"/>
  <c r="AK34" i="47"/>
  <c r="AK44" s="1"/>
  <c r="BJ34"/>
  <c r="F34" s="1"/>
  <c r="F44" s="1"/>
  <c r="I23"/>
  <c r="R28"/>
  <c r="X29" i="45"/>
  <c r="U59" i="24"/>
  <c r="Y59" s="1"/>
  <c r="G23" i="46"/>
  <c r="BP23" i="25"/>
  <c r="BR23" s="1"/>
  <c r="BV23" s="1"/>
  <c r="BK17" i="47"/>
  <c r="BO17" s="1"/>
  <c r="BR17" s="1"/>
  <c r="BV17" s="1"/>
  <c r="E42" i="46"/>
  <c r="J32" i="43"/>
  <c r="F14" i="46"/>
  <c r="X14" s="1"/>
  <c r="R39" i="25"/>
  <c r="V39" s="1"/>
  <c r="S22" i="46"/>
  <c r="W22" s="1"/>
  <c r="AF16" i="44"/>
  <c r="BV61" i="24"/>
  <c r="H25" i="25"/>
  <c r="G17" i="42"/>
  <c r="S31" i="24"/>
  <c r="G31"/>
  <c r="AS15" i="47"/>
  <c r="BK12"/>
  <c r="BO12" s="1"/>
  <c r="BR12" s="1"/>
  <c r="BV12" s="1"/>
  <c r="G43" i="24"/>
  <c r="T43"/>
  <c r="BL59" i="43"/>
  <c r="BL61" s="1"/>
  <c r="AI62"/>
  <c r="M17" i="39" s="1"/>
  <c r="S29" i="45"/>
  <c r="L62" i="43"/>
  <c r="H17" i="20" s="1"/>
  <c r="BK24" i="24"/>
  <c r="BI25"/>
  <c r="BI89" s="1"/>
  <c r="AN26" i="39" s="1"/>
  <c r="AF40" i="46"/>
  <c r="AF42" s="1"/>
  <c r="AF66" s="1"/>
  <c r="L11" i="39" s="1"/>
  <c r="AE42" i="46"/>
  <c r="BF52"/>
  <c r="BF53" s="1"/>
  <c r="BE53"/>
  <c r="BE66" s="1"/>
  <c r="AK11" i="39" s="1"/>
  <c r="BB50" i="46"/>
  <c r="BB53" s="1"/>
  <c r="BA53"/>
  <c r="BA66" s="1"/>
  <c r="AG11" i="39" s="1"/>
  <c r="AG12" s="1"/>
  <c r="AP50" i="46"/>
  <c r="AP53" s="1"/>
  <c r="AO53"/>
  <c r="Z28"/>
  <c r="Z32" s="1"/>
  <c r="Y32"/>
  <c r="BI28"/>
  <c r="E28" s="1"/>
  <c r="T28" s="1"/>
  <c r="S51" i="45"/>
  <c r="W51" s="1"/>
  <c r="R51"/>
  <c r="V51" s="1"/>
  <c r="BK82"/>
  <c r="G82" s="1"/>
  <c r="BK86"/>
  <c r="G86" s="1"/>
  <c r="M86" s="1"/>
  <c r="BK54"/>
  <c r="BP60" i="43"/>
  <c r="BS60" s="1"/>
  <c r="H60"/>
  <c r="BL37"/>
  <c r="H37" s="1"/>
  <c r="J37" s="1"/>
  <c r="F38" i="46"/>
  <c r="Q38"/>
  <c r="V29" i="43"/>
  <c r="Z29" s="1"/>
  <c r="T29"/>
  <c r="X29" s="1"/>
  <c r="S29"/>
  <c r="W29" s="1"/>
  <c r="U29"/>
  <c r="Y29" s="1"/>
  <c r="Q55"/>
  <c r="BS38" i="25"/>
  <c r="BU38" s="1"/>
  <c r="BV38" s="1"/>
  <c r="Y13" i="42"/>
  <c r="Z27"/>
  <c r="G35" i="24"/>
  <c r="T35"/>
  <c r="X35" s="1"/>
  <c r="F46"/>
  <c r="BJ48"/>
  <c r="R68"/>
  <c r="V68" s="1"/>
  <c r="G68"/>
  <c r="S68"/>
  <c r="W68" s="1"/>
  <c r="G41" i="46"/>
  <c r="AD103" i="45"/>
  <c r="AD104" s="1"/>
  <c r="I15" i="39" s="1"/>
  <c r="BR48" i="25"/>
  <c r="BV26" i="47"/>
  <c r="U69" i="24"/>
  <c r="Y69" s="1"/>
  <c r="T69"/>
  <c r="R69"/>
  <c r="V69" s="1"/>
  <c r="S69"/>
  <c r="W69" s="1"/>
  <c r="AX15" i="42"/>
  <c r="AM21" i="45"/>
  <c r="BK84"/>
  <c r="G84" s="1"/>
  <c r="BK43"/>
  <c r="AK15" i="47"/>
  <c r="AX42" i="46"/>
  <c r="BJ54" i="25"/>
  <c r="BD55"/>
  <c r="BD56" s="1"/>
  <c r="AI27" i="39" s="1"/>
  <c r="BD12" i="43"/>
  <c r="BD13" s="1"/>
  <c r="BC13"/>
  <c r="AC65" i="44"/>
  <c r="BK48"/>
  <c r="G48" s="1"/>
  <c r="T48" s="1"/>
  <c r="X48" s="1"/>
  <c r="AD48"/>
  <c r="H16" i="20"/>
  <c r="V14" i="25"/>
  <c r="V16" s="1"/>
  <c r="BV12" i="24"/>
  <c r="BV73"/>
  <c r="BW28" i="26"/>
  <c r="BU54" i="46"/>
  <c r="BT62"/>
  <c r="AE48" i="25"/>
  <c r="BL25" i="26"/>
  <c r="BL27" s="1"/>
  <c r="BK91" i="45"/>
  <c r="BK42"/>
  <c r="BF13" i="43"/>
  <c r="AN25" i="46"/>
  <c r="BS20" i="25"/>
  <c r="BS21"/>
  <c r="BU21" s="1"/>
  <c r="BV21" s="1"/>
  <c r="BR35" i="26"/>
  <c r="BD35"/>
  <c r="AH28" i="39" s="1"/>
  <c r="AQ35" i="26"/>
  <c r="U28" i="39" s="1"/>
  <c r="BU62" i="43"/>
  <c r="AY32" i="46"/>
  <c r="AY66" s="1"/>
  <c r="AE11" i="39" s="1"/>
  <c r="AZ28" i="46"/>
  <c r="AZ32" s="1"/>
  <c r="AI53"/>
  <c r="AJ50"/>
  <c r="AJ53" s="1"/>
  <c r="AG32"/>
  <c r="AG66" s="1"/>
  <c r="M11" i="39" s="1"/>
  <c r="M12" s="1"/>
  <c r="AH28" i="46"/>
  <c r="AH32" s="1"/>
  <c r="AN44" i="47"/>
  <c r="AC53" i="46"/>
  <c r="AC66" s="1"/>
  <c r="I11" i="39" s="1"/>
  <c r="AD52" i="46"/>
  <c r="AD53" s="1"/>
  <c r="AL35" i="43"/>
  <c r="BR67" i="24"/>
  <c r="AL35" i="26"/>
  <c r="P28" i="39" s="1"/>
  <c r="BI35" i="26"/>
  <c r="AM28" i="39" s="1"/>
  <c r="AM29" s="1"/>
  <c r="BC49" i="47"/>
  <c r="K103" i="45"/>
  <c r="K104" s="1"/>
  <c r="H15" i="20" s="1"/>
  <c r="AA31" i="47"/>
  <c r="BK31" s="1"/>
  <c r="BJ31"/>
  <c r="F31" s="1"/>
  <c r="T14" i="25"/>
  <c r="T16" s="1"/>
  <c r="U14"/>
  <c r="U16" s="1"/>
  <c r="J29" i="26"/>
  <c r="I29"/>
  <c r="AL15" i="46"/>
  <c r="G84" i="24"/>
  <c r="H84" s="1"/>
  <c r="U84"/>
  <c r="F27" i="41"/>
  <c r="K27" s="1"/>
  <c r="BR62" i="43"/>
  <c r="AL13"/>
  <c r="AZ18"/>
  <c r="AZ20" s="1"/>
  <c r="AY20"/>
  <c r="AY62" s="1"/>
  <c r="AC17" i="39" s="1"/>
  <c r="G12" i="20"/>
  <c r="X62" i="46"/>
  <c r="U16" i="39"/>
  <c r="BV28" i="42"/>
  <c r="BL50"/>
  <c r="AA30" i="47"/>
  <c r="BJ30"/>
  <c r="BL55" i="44"/>
  <c r="H55" s="1"/>
  <c r="Q55" s="1"/>
  <c r="BI50" i="46"/>
  <c r="E50" s="1"/>
  <c r="AB40"/>
  <c r="AB42" s="1"/>
  <c r="AA42"/>
  <c r="AO42"/>
  <c r="AP40"/>
  <c r="AP42" s="1"/>
  <c r="AP66" s="1"/>
  <c r="V11" i="39" s="1"/>
  <c r="AG34" i="45"/>
  <c r="L35" i="26"/>
  <c r="H28" i="20" s="1"/>
  <c r="BV19" i="42"/>
  <c r="BT15" i="46"/>
  <c r="BT31"/>
  <c r="BT32" s="1"/>
  <c r="BQ34" i="47"/>
  <c r="BQ44" s="1"/>
  <c r="BQ47" s="1"/>
  <c r="BQ49" s="1"/>
  <c r="BQ50" s="1"/>
  <c r="AJ14" i="26"/>
  <c r="BB22"/>
  <c r="BB35" s="1"/>
  <c r="AF28" i="39" s="1"/>
  <c r="AH22" i="26"/>
  <c r="AH35" s="1"/>
  <c r="L28" i="39" s="1"/>
  <c r="BL20" i="26"/>
  <c r="BL22" s="1"/>
  <c r="AD14"/>
  <c r="AM35"/>
  <c r="Q28" i="39" s="1"/>
  <c r="BV64" i="24"/>
  <c r="AL28" i="42"/>
  <c r="AJ46"/>
  <c r="AI21" i="45"/>
  <c r="BK31"/>
  <c r="G31" s="1"/>
  <c r="AC15" i="47"/>
  <c r="AS32"/>
  <c r="BD62" i="46"/>
  <c r="AX32"/>
  <c r="X27" i="26"/>
  <c r="BL17" i="43"/>
  <c r="H17" s="1"/>
  <c r="BQ17" s="1"/>
  <c r="BS17" s="1"/>
  <c r="BW17" s="1"/>
  <c r="AC22" i="39"/>
  <c r="AC23" s="1"/>
  <c r="AV18" i="43"/>
  <c r="AV20" s="1"/>
  <c r="M35" i="26"/>
  <c r="I28" i="20" s="1"/>
  <c r="X22" i="26"/>
  <c r="BT20" i="41"/>
  <c r="BT46" s="1"/>
  <c r="AS55" i="25"/>
  <c r="AD34" i="26"/>
  <c r="AB34"/>
  <c r="AB35" s="1"/>
  <c r="F28" i="39" s="1"/>
  <c r="AX35" i="26"/>
  <c r="AB28" i="39" s="1"/>
  <c r="AE35" i="26"/>
  <c r="I28" i="39" s="1"/>
  <c r="AA35" i="26"/>
  <c r="E28" i="39" s="1"/>
  <c r="BV71" i="24"/>
  <c r="AN28" i="42"/>
  <c r="BJ28"/>
  <c r="AY16" i="45"/>
  <c r="BK30"/>
  <c r="G30" s="1"/>
  <c r="BG32" i="47"/>
  <c r="AH35" i="43"/>
  <c r="BL19" i="44"/>
  <c r="AV90"/>
  <c r="AF44" i="47"/>
  <c r="BR49" i="42"/>
  <c r="BR52" s="1"/>
  <c r="BR53" s="1"/>
  <c r="I29" i="47"/>
  <c r="Y29"/>
  <c r="P35" i="26"/>
  <c r="L28" i="20" s="1"/>
  <c r="BV33" i="25"/>
  <c r="BR88" i="24"/>
  <c r="BW10" i="26"/>
  <c r="BW24"/>
  <c r="BU34" i="47"/>
  <c r="BU44" s="1"/>
  <c r="BU47" s="1"/>
  <c r="BU49" s="1"/>
  <c r="BU50" s="1"/>
  <c r="BT50"/>
  <c r="AA55" i="25"/>
  <c r="AR14" i="26"/>
  <c r="AR35" s="1"/>
  <c r="V28" i="39" s="1"/>
  <c r="AN27" i="26"/>
  <c r="AB27"/>
  <c r="AC35"/>
  <c r="G28" i="39" s="1"/>
  <c r="BE35" i="26"/>
  <c r="AI28" i="39" s="1"/>
  <c r="BV22" i="24"/>
  <c r="BD46" i="42"/>
  <c r="BA16" i="45"/>
  <c r="AI34" i="47"/>
  <c r="AN13" i="43"/>
  <c r="BM56" i="25"/>
  <c r="BK46" i="45"/>
  <c r="G46" s="1"/>
  <c r="M46" s="1"/>
  <c r="AM39"/>
  <c r="AU52"/>
  <c r="BV59" i="24"/>
  <c r="N35" i="26"/>
  <c r="J28" i="20" s="1"/>
  <c r="BN89" i="24"/>
  <c r="BV17" i="25"/>
  <c r="BV20" i="43"/>
  <c r="BR66" i="46"/>
  <c r="BN50" i="47"/>
  <c r="BK28" i="25"/>
  <c r="AJ27" i="26"/>
  <c r="BA35"/>
  <c r="AE28" i="39" s="1"/>
  <c r="BV21" i="24"/>
  <c r="BJ19" i="42"/>
  <c r="BH39"/>
  <c r="AF46"/>
  <c r="BF46"/>
  <c r="AA49" i="47"/>
  <c r="AO49"/>
  <c r="BB56" i="25"/>
  <c r="AG27" i="39" s="1"/>
  <c r="AO55" i="25"/>
  <c r="AO56" s="1"/>
  <c r="T27" i="39" s="1"/>
  <c r="AB15" i="46"/>
  <c r="AS53" i="42"/>
  <c r="W21" i="39" s="1"/>
  <c r="W23" s="1"/>
  <c r="AN20" i="43"/>
  <c r="BK36" i="47"/>
  <c r="G36" s="1"/>
  <c r="E32" i="46"/>
  <c r="F28"/>
  <c r="BI32"/>
  <c r="BP29" i="47"/>
  <c r="Q14" i="42"/>
  <c r="Q15" s="1"/>
  <c r="BS22" i="26"/>
  <c r="BW21"/>
  <c r="BW22" s="1"/>
  <c r="Z12"/>
  <c r="Z14" s="1"/>
  <c r="V14"/>
  <c r="O52" i="42"/>
  <c r="BW26" i="26"/>
  <c r="BS27"/>
  <c r="Y19" i="25"/>
  <c r="Y30" s="1"/>
  <c r="U30"/>
  <c r="BU39"/>
  <c r="BV39" s="1"/>
  <c r="H38" i="46"/>
  <c r="X38" i="43"/>
  <c r="X42" s="1"/>
  <c r="T42"/>
  <c r="BR46" i="24"/>
  <c r="BV46" s="1"/>
  <c r="BO48"/>
  <c r="BO89" s="1"/>
  <c r="G61" i="43"/>
  <c r="H59"/>
  <c r="H28" i="47"/>
  <c r="BP22" i="26"/>
  <c r="T38" i="42"/>
  <c r="Y33" i="45"/>
  <c r="T18" i="26"/>
  <c r="BJ20" i="46"/>
  <c r="BN20" s="1"/>
  <c r="BF20" i="43"/>
  <c r="BF62" s="1"/>
  <c r="AJ17" i="39" s="1"/>
  <c r="J40" i="43"/>
  <c r="Q45"/>
  <c r="W45"/>
  <c r="BO45"/>
  <c r="BS45" s="1"/>
  <c r="BW45" s="1"/>
  <c r="T12" i="26"/>
  <c r="X39" i="25"/>
  <c r="J67" i="44"/>
  <c r="Q67"/>
  <c r="I38"/>
  <c r="Q38"/>
  <c r="J38"/>
  <c r="BP45" i="24"/>
  <c r="BR45" s="1"/>
  <c r="BV45" s="1"/>
  <c r="I45"/>
  <c r="T17" i="43"/>
  <c r="X17" s="1"/>
  <c r="U17"/>
  <c r="Y17" s="1"/>
  <c r="S17"/>
  <c r="W17" s="1"/>
  <c r="BP13" i="26"/>
  <c r="H13"/>
  <c r="M33" i="45"/>
  <c r="I21" i="26"/>
  <c r="I22" s="1"/>
  <c r="BQ39" i="43"/>
  <c r="BS39" s="1"/>
  <c r="BW39" s="1"/>
  <c r="Q39"/>
  <c r="BP27" i="26"/>
  <c r="J21"/>
  <c r="J22" s="1"/>
  <c r="H18"/>
  <c r="BP16"/>
  <c r="BW12"/>
  <c r="J39" i="43"/>
  <c r="Y39"/>
  <c r="Y42" s="1"/>
  <c r="I74" i="24"/>
  <c r="R48" i="25"/>
  <c r="BH42" i="46"/>
  <c r="BH66" s="1"/>
  <c r="AN11" i="39" s="1"/>
  <c r="BJ38" i="46"/>
  <c r="S11" i="42"/>
  <c r="T11"/>
  <c r="H11"/>
  <c r="V11"/>
  <c r="W25"/>
  <c r="M29" i="43"/>
  <c r="BQ29"/>
  <c r="BS29" s="1"/>
  <c r="BW29" s="1"/>
  <c r="Z24" i="26"/>
  <c r="Z27" s="1"/>
  <c r="V27"/>
  <c r="BJ49" i="47"/>
  <c r="F46"/>
  <c r="T46" s="1"/>
  <c r="X46" s="1"/>
  <c r="BB13" i="43"/>
  <c r="BL11"/>
  <c r="H29" i="25"/>
  <c r="R59" i="24"/>
  <c r="V59" s="1"/>
  <c r="T19" i="25"/>
  <c r="S19"/>
  <c r="W19" s="1"/>
  <c r="G19"/>
  <c r="H38" i="43"/>
  <c r="Q49"/>
  <c r="BO49"/>
  <c r="BS49" s="1"/>
  <c r="BW49" s="1"/>
  <c r="J49"/>
  <c r="F22" i="41"/>
  <c r="S22"/>
  <c r="X53" i="25"/>
  <c r="H39"/>
  <c r="I39"/>
  <c r="H40" i="46"/>
  <c r="S18" i="26"/>
  <c r="BW26" i="44"/>
  <c r="BQ48" i="43"/>
  <c r="BS48" s="1"/>
  <c r="BW48" s="1"/>
  <c r="W48"/>
  <c r="K48"/>
  <c r="X48"/>
  <c r="Z48"/>
  <c r="Q48"/>
  <c r="Y48"/>
  <c r="J17" i="26"/>
  <c r="J18" s="1"/>
  <c r="BP17"/>
  <c r="BS17" s="1"/>
  <c r="BW17" s="1"/>
  <c r="H12"/>
  <c r="G14"/>
  <c r="G35" s="1"/>
  <c r="U12"/>
  <c r="S12"/>
  <c r="R62" i="46"/>
  <c r="V61"/>
  <c r="V62" s="1"/>
  <c r="BS15" i="44"/>
  <c r="BP16"/>
  <c r="V30" i="25"/>
  <c r="BQ41" i="43"/>
  <c r="BS41" s="1"/>
  <c r="BW41" s="1"/>
  <c r="Q41"/>
  <c r="F79" i="24"/>
  <c r="BV39"/>
  <c r="H18" i="47"/>
  <c r="U42" i="45"/>
  <c r="Y42" s="1"/>
  <c r="I8" i="50"/>
  <c r="I29" i="25"/>
  <c r="S59" i="24"/>
  <c r="W59" s="1"/>
  <c r="R30" i="25"/>
  <c r="AY48"/>
  <c r="AY56" s="1"/>
  <c r="AD27" i="39" s="1"/>
  <c r="R88" i="24"/>
  <c r="G38" i="46"/>
  <c r="AJ62" i="43"/>
  <c r="N17" i="39" s="1"/>
  <c r="AF62" i="43"/>
  <c r="J17" i="39" s="1"/>
  <c r="G53" i="25"/>
  <c r="F48"/>
  <c r="F62" i="46"/>
  <c r="J60" i="45"/>
  <c r="BN60"/>
  <c r="BR60" s="1"/>
  <c r="BV60" s="1"/>
  <c r="BQ37" i="43"/>
  <c r="I37"/>
  <c r="T23" i="47"/>
  <c r="X23" s="1"/>
  <c r="U23"/>
  <c r="Y23" s="1"/>
  <c r="Q28" i="46"/>
  <c r="Q32" s="1"/>
  <c r="S28"/>
  <c r="W28" s="1"/>
  <c r="W32" s="1"/>
  <c r="I38" i="24"/>
  <c r="H38"/>
  <c r="H45" i="46"/>
  <c r="G45"/>
  <c r="BO59"/>
  <c r="G59"/>
  <c r="J85" i="44"/>
  <c r="I85"/>
  <c r="BQ85"/>
  <c r="BS85" s="1"/>
  <c r="BW85" s="1"/>
  <c r="BJ13" i="47"/>
  <c r="Z14"/>
  <c r="R40" i="46"/>
  <c r="V40" s="1"/>
  <c r="M31" i="42"/>
  <c r="I40" i="25"/>
  <c r="H40"/>
  <c r="H50"/>
  <c r="I50"/>
  <c r="T48" i="45"/>
  <c r="X48" s="1"/>
  <c r="U48"/>
  <c r="Y48" s="1"/>
  <c r="S48"/>
  <c r="W48" s="1"/>
  <c r="R48"/>
  <c r="V48" s="1"/>
  <c r="AM12" i="39"/>
  <c r="S80" i="45"/>
  <c r="W80" s="1"/>
  <c r="I43" i="25"/>
  <c r="AF50" i="47"/>
  <c r="K10" i="39" s="1"/>
  <c r="R16" i="46"/>
  <c r="V16" s="1"/>
  <c r="V17" s="1"/>
  <c r="F16"/>
  <c r="H43" i="25"/>
  <c r="X13" i="42"/>
  <c r="T36" i="45"/>
  <c r="H27" i="46"/>
  <c r="H71" i="24"/>
  <c r="BL33" i="43"/>
  <c r="H33" s="1"/>
  <c r="N56" i="25"/>
  <c r="K27" i="20" s="1"/>
  <c r="T39" i="24"/>
  <c r="X39" s="1"/>
  <c r="G39"/>
  <c r="G12" i="47"/>
  <c r="R38" i="46"/>
  <c r="T38"/>
  <c r="BO46" i="47"/>
  <c r="G46"/>
  <c r="I46" s="1"/>
  <c r="R80" i="45"/>
  <c r="V80" s="1"/>
  <c r="U59" i="46"/>
  <c r="U62" s="1"/>
  <c r="Q62"/>
  <c r="BF32"/>
  <c r="BF66" s="1"/>
  <c r="AL11" i="39" s="1"/>
  <c r="BJ30" i="46"/>
  <c r="BN30" s="1"/>
  <c r="BQ30" s="1"/>
  <c r="BU30" s="1"/>
  <c r="R65" i="24"/>
  <c r="V65" s="1"/>
  <c r="S65"/>
  <c r="W65" s="1"/>
  <c r="G65"/>
  <c r="G30"/>
  <c r="M12" i="20"/>
  <c r="BL29" i="26"/>
  <c r="BL34" s="1"/>
  <c r="U75" i="24"/>
  <c r="Y75" s="1"/>
  <c r="G75"/>
  <c r="BF15" i="42"/>
  <c r="BI15" i="47"/>
  <c r="BV65" i="24"/>
  <c r="T84"/>
  <c r="X84" s="1"/>
  <c r="U20" i="26"/>
  <c r="Y20" s="1"/>
  <c r="Y22" s="1"/>
  <c r="I61" i="24"/>
  <c r="BJ48" i="46"/>
  <c r="BN48" s="1"/>
  <c r="BQ48" s="1"/>
  <c r="BU48" s="1"/>
  <c r="H12" i="24"/>
  <c r="I12"/>
  <c r="S84"/>
  <c r="BC48" i="25"/>
  <c r="BK15" i="42"/>
  <c r="AZ42" i="46"/>
  <c r="AZ66" s="1"/>
  <c r="AF11" i="39" s="1"/>
  <c r="AK42" i="46"/>
  <c r="AL40"/>
  <c r="AL42" s="1"/>
  <c r="H47"/>
  <c r="G47"/>
  <c r="BG13" i="43"/>
  <c r="BG62" s="1"/>
  <c r="AK17" i="39" s="1"/>
  <c r="BH12" i="43"/>
  <c r="BC30" i="25"/>
  <c r="BA30"/>
  <c r="BV23" i="45"/>
  <c r="AM16"/>
  <c r="AU16"/>
  <c r="BJ49" i="46"/>
  <c r="BN49" s="1"/>
  <c r="BQ49" s="1"/>
  <c r="BU49" s="1"/>
  <c r="AZ35" i="43"/>
  <c r="L66" i="46"/>
  <c r="J11" i="20" s="1"/>
  <c r="J12" s="1"/>
  <c r="BB42" i="46"/>
  <c r="BA44" i="47"/>
  <c r="AZ57" i="43"/>
  <c r="BL28" i="44"/>
  <c r="H28" s="1"/>
  <c r="M28" s="1"/>
  <c r="AH21" i="46"/>
  <c r="AH25" s="1"/>
  <c r="BF35" i="26"/>
  <c r="AJ28" i="39" s="1"/>
  <c r="BL32" i="42"/>
  <c r="H32" s="1"/>
  <c r="M32" s="1"/>
  <c r="BJ21" i="47"/>
  <c r="F21" s="1"/>
  <c r="U21" s="1"/>
  <c r="AC21"/>
  <c r="AI102" i="45"/>
  <c r="AK102"/>
  <c r="BK99"/>
  <c r="AU77"/>
  <c r="BJ52" i="46"/>
  <c r="BN52" s="1"/>
  <c r="BQ52" s="1"/>
  <c r="BU52" s="1"/>
  <c r="Z44" i="47"/>
  <c r="AA34"/>
  <c r="BE44"/>
  <c r="BE50" s="1"/>
  <c r="AJ10" i="39" s="1"/>
  <c r="BK12" i="25"/>
  <c r="AS16" i="45"/>
  <c r="BK59"/>
  <c r="BI44" i="47"/>
  <c r="AT40" i="46"/>
  <c r="AF56" i="25"/>
  <c r="K27" i="39" s="1"/>
  <c r="AJ62" i="46"/>
  <c r="AB44" i="47"/>
  <c r="AB50" s="1"/>
  <c r="G10" i="39" s="1"/>
  <c r="AQ44" i="47"/>
  <c r="AL44"/>
  <c r="AL50" s="1"/>
  <c r="Q10" i="39" s="1"/>
  <c r="AM34" i="47"/>
  <c r="AM44" s="1"/>
  <c r="AM50" s="1"/>
  <c r="R10" i="39" s="1"/>
  <c r="BK76" i="45"/>
  <c r="BP76" s="1"/>
  <c r="AR61" i="43"/>
  <c r="BA62"/>
  <c r="AE17" i="39" s="1"/>
  <c r="AO62" i="43"/>
  <c r="S17" i="39" s="1"/>
  <c r="AN40" i="46"/>
  <c r="AN42" s="1"/>
  <c r="AN66" s="1"/>
  <c r="T11" i="39" s="1"/>
  <c r="AM42" i="46"/>
  <c r="AM66" s="1"/>
  <c r="S11" i="39" s="1"/>
  <c r="O22"/>
  <c r="AC21" i="45"/>
  <c r="BQ40" i="41"/>
  <c r="BU40" s="1"/>
  <c r="AJ40" i="46"/>
  <c r="AJ42" s="1"/>
  <c r="AI42"/>
  <c r="AI66" s="1"/>
  <c r="O11" i="39" s="1"/>
  <c r="AL28" i="46"/>
  <c r="AL32" s="1"/>
  <c r="AL66" s="1"/>
  <c r="R11" i="39" s="1"/>
  <c r="AK32" i="46"/>
  <c r="AC19" i="47"/>
  <c r="AC25" s="1"/>
  <c r="BJ19"/>
  <c r="AM52" i="45"/>
  <c r="AY52"/>
  <c r="AO52"/>
  <c r="AG52"/>
  <c r="AA34"/>
  <c r="BJ51" i="46"/>
  <c r="BN51" s="1"/>
  <c r="BQ51" s="1"/>
  <c r="BU51" s="1"/>
  <c r="AZ65" i="44"/>
  <c r="AE16" i="39"/>
  <c r="AN56" i="25"/>
  <c r="S27" i="39" s="1"/>
  <c r="AU44" i="47"/>
  <c r="AU50" s="1"/>
  <c r="Z10" i="39" s="1"/>
  <c r="AD44" i="47"/>
  <c r="AD50" s="1"/>
  <c r="I10" i="39" s="1"/>
  <c r="I12" s="1"/>
  <c r="AM22"/>
  <c r="AM23" s="1"/>
  <c r="BK49" i="45"/>
  <c r="G49" s="1"/>
  <c r="M49" s="1"/>
  <c r="AO34" i="47"/>
  <c r="AO44" s="1"/>
  <c r="F16" i="41"/>
  <c r="G16" s="1"/>
  <c r="BA34" i="45"/>
  <c r="AK39"/>
  <c r="AC39"/>
  <c r="AD66" i="46"/>
  <c r="J11" i="39" s="1"/>
  <c r="AI16" i="45"/>
  <c r="AZ83" i="44"/>
  <c r="AZ91" s="1"/>
  <c r="AZ93" s="1"/>
  <c r="N103" i="45"/>
  <c r="N104" s="1"/>
  <c r="K15" i="20" s="1"/>
  <c r="AL56" i="25"/>
  <c r="Q27" i="39" s="1"/>
  <c r="BJ16" i="46"/>
  <c r="BJ17" s="1"/>
  <c r="AS34" i="47"/>
  <c r="AR44"/>
  <c r="AR50" s="1"/>
  <c r="W10" i="39" s="1"/>
  <c r="W12" s="1"/>
  <c r="AW44" i="47"/>
  <c r="AW50" s="1"/>
  <c r="AB10" i="39" s="1"/>
  <c r="AE22"/>
  <c r="AE23" s="1"/>
  <c r="BQ103" i="45"/>
  <c r="BQ104" s="1"/>
  <c r="BK74"/>
  <c r="G74" s="1"/>
  <c r="M74" s="1"/>
  <c r="BK50"/>
  <c r="G50" s="1"/>
  <c r="M50" s="1"/>
  <c r="BC44" i="47"/>
  <c r="BD103" i="45"/>
  <c r="BD104" s="1"/>
  <c r="AI15" i="39" s="1"/>
  <c r="AT44" i="47"/>
  <c r="AT50" s="1"/>
  <c r="Y10" i="39" s="1"/>
  <c r="BB32" i="46"/>
  <c r="AZ44" i="47"/>
  <c r="AZ50" s="1"/>
  <c r="AE10" i="39" s="1"/>
  <c r="K22"/>
  <c r="K23" s="1"/>
  <c r="BU103" i="45"/>
  <c r="BU104" s="1"/>
  <c r="BI52" i="46"/>
  <c r="E52" s="1"/>
  <c r="E53" s="1"/>
  <c r="AS44" i="47"/>
  <c r="BK85" i="45"/>
  <c r="G85" s="1"/>
  <c r="M85" s="1"/>
  <c r="BL43" i="44"/>
  <c r="H43" s="1"/>
  <c r="BQ43" s="1"/>
  <c r="BS43" s="1"/>
  <c r="BW43" s="1"/>
  <c r="AF65"/>
  <c r="AR65"/>
  <c r="BD65"/>
  <c r="AB65"/>
  <c r="AB83"/>
  <c r="AN83"/>
  <c r="AN91" s="1"/>
  <c r="AN93" s="1"/>
  <c r="AV83"/>
  <c r="BH83"/>
  <c r="AH56" i="25"/>
  <c r="M27" i="39" s="1"/>
  <c r="AG22"/>
  <c r="BD57" i="43"/>
  <c r="G13" i="46"/>
  <c r="H13"/>
  <c r="BI19" i="41"/>
  <c r="E19" s="1"/>
  <c r="AB19"/>
  <c r="T25" i="45"/>
  <c r="H73" i="44"/>
  <c r="U73"/>
  <c r="Y73" s="1"/>
  <c r="R21" i="46"/>
  <c r="V21" s="1"/>
  <c r="Q21"/>
  <c r="U21" s="1"/>
  <c r="F21"/>
  <c r="T21"/>
  <c r="X21" s="1"/>
  <c r="S21"/>
  <c r="W21" s="1"/>
  <c r="AY44" i="47"/>
  <c r="AY50" s="1"/>
  <c r="AD10" i="39" s="1"/>
  <c r="R25" i="45"/>
  <c r="I18" i="43"/>
  <c r="I20" s="1"/>
  <c r="J18"/>
  <c r="BJ65" i="46"/>
  <c r="F64"/>
  <c r="BP61" i="43"/>
  <c r="W16" i="39"/>
  <c r="BJ62" i="46"/>
  <c r="G61"/>
  <c r="H61"/>
  <c r="H62" s="1"/>
  <c r="BO35" i="47"/>
  <c r="BR35" s="1"/>
  <c r="BV35" s="1"/>
  <c r="U48"/>
  <c r="Y48" s="1"/>
  <c r="AG49"/>
  <c r="BC62" i="43"/>
  <c r="AG17" i="39" s="1"/>
  <c r="BC21" i="45"/>
  <c r="F46" i="46"/>
  <c r="T46"/>
  <c r="Q46"/>
  <c r="S46"/>
  <c r="R46"/>
  <c r="BQ46"/>
  <c r="BU46" s="1"/>
  <c r="H40" i="47"/>
  <c r="I40"/>
  <c r="BO54" i="43"/>
  <c r="BS54" s="1"/>
  <c r="BW54" s="1"/>
  <c r="J54"/>
  <c r="Z54"/>
  <c r="I54"/>
  <c r="Y54"/>
  <c r="R46" i="47"/>
  <c r="V46" s="1"/>
  <c r="BK57" i="43"/>
  <c r="BJ12" i="46"/>
  <c r="BN12" s="1"/>
  <c r="AZ103" i="45"/>
  <c r="AZ104" s="1"/>
  <c r="AE15" i="39" s="1"/>
  <c r="AX103" i="45"/>
  <c r="AX104" s="1"/>
  <c r="AC15" i="39" s="1"/>
  <c r="AM34" i="45"/>
  <c r="AR66" i="46"/>
  <c r="X11" i="39" s="1"/>
  <c r="E25" i="46"/>
  <c r="F20"/>
  <c r="BI25"/>
  <c r="T20"/>
  <c r="S20"/>
  <c r="Q20"/>
  <c r="R20"/>
  <c r="AA66"/>
  <c r="G11" i="39" s="1"/>
  <c r="BQ20" i="46"/>
  <c r="T12"/>
  <c r="X12" s="1"/>
  <c r="S12"/>
  <c r="W12" s="1"/>
  <c r="W15" s="1"/>
  <c r="E15"/>
  <c r="Q12"/>
  <c r="U12" s="1"/>
  <c r="U15" s="1"/>
  <c r="R12"/>
  <c r="V12" s="1"/>
  <c r="I17" i="47"/>
  <c r="Y17"/>
  <c r="H17"/>
  <c r="BS14" i="42"/>
  <c r="Q16" i="39"/>
  <c r="BA56" i="25"/>
  <c r="AF27" i="39" s="1"/>
  <c r="BK24" i="25"/>
  <c r="AM56"/>
  <c r="R27" i="39" s="1"/>
  <c r="G24" i="25"/>
  <c r="S24"/>
  <c r="F30"/>
  <c r="BS54" i="24"/>
  <c r="BU54" s="1"/>
  <c r="BV54" s="1"/>
  <c r="BK79"/>
  <c r="AX20" i="43"/>
  <c r="AX62" s="1"/>
  <c r="AB17" i="39" s="1"/>
  <c r="S16" i="43"/>
  <c r="U16"/>
  <c r="T16"/>
  <c r="V16"/>
  <c r="G20"/>
  <c r="BL16"/>
  <c r="Q17"/>
  <c r="AP62"/>
  <c r="T17" i="39" s="1"/>
  <c r="BL56" i="44"/>
  <c r="H56" s="1"/>
  <c r="Q56" s="1"/>
  <c r="BL46"/>
  <c r="H46" s="1"/>
  <c r="BL45"/>
  <c r="E23" i="39"/>
  <c r="U38" i="47"/>
  <c r="S38"/>
  <c r="R38"/>
  <c r="T38"/>
  <c r="G38"/>
  <c r="BK38"/>
  <c r="V33" i="45"/>
  <c r="BP33"/>
  <c r="BR33" s="1"/>
  <c r="BV33" s="1"/>
  <c r="U25"/>
  <c r="S50"/>
  <c r="W50" s="1"/>
  <c r="AY77"/>
  <c r="AY21"/>
  <c r="BK19"/>
  <c r="G19" s="1"/>
  <c r="BK69"/>
  <c r="G69" s="1"/>
  <c r="BE77"/>
  <c r="BK53"/>
  <c r="BK41"/>
  <c r="G41" s="1"/>
  <c r="BI52"/>
  <c r="R14"/>
  <c r="S14"/>
  <c r="BK67"/>
  <c r="BK57"/>
  <c r="G57" s="1"/>
  <c r="L57" s="1"/>
  <c r="V32"/>
  <c r="R42"/>
  <c r="V42" s="1"/>
  <c r="R31"/>
  <c r="T45"/>
  <c r="X45" s="1"/>
  <c r="BI102"/>
  <c r="R71"/>
  <c r="V71" s="1"/>
  <c r="T71"/>
  <c r="X71" s="1"/>
  <c r="U71"/>
  <c r="Y71" s="1"/>
  <c r="BK60"/>
  <c r="R67"/>
  <c r="V67" s="1"/>
  <c r="T67"/>
  <c r="X67" s="1"/>
  <c r="U67"/>
  <c r="Y67" s="1"/>
  <c r="G67"/>
  <c r="BK37"/>
  <c r="G37" s="1"/>
  <c r="M37" s="1"/>
  <c r="AA52"/>
  <c r="AC52"/>
  <c r="AE52"/>
  <c r="BK44"/>
  <c r="BK45"/>
  <c r="G45" s="1"/>
  <c r="BN45" s="1"/>
  <c r="BR45" s="1"/>
  <c r="BV45" s="1"/>
  <c r="BG52"/>
  <c r="BK15"/>
  <c r="G15" s="1"/>
  <c r="BE34"/>
  <c r="AW77"/>
  <c r="AW103" s="1"/>
  <c r="T72"/>
  <c r="X72" s="1"/>
  <c r="U72"/>
  <c r="Y72" s="1"/>
  <c r="S72"/>
  <c r="W72" s="1"/>
  <c r="AI77"/>
  <c r="BK32"/>
  <c r="G32" s="1"/>
  <c r="Y32" s="1"/>
  <c r="BK36"/>
  <c r="AY39"/>
  <c r="AC77"/>
  <c r="BA77"/>
  <c r="BK55"/>
  <c r="G55" s="1"/>
  <c r="X55" s="1"/>
  <c r="T73"/>
  <c r="X73" s="1"/>
  <c r="R73"/>
  <c r="V73" s="1"/>
  <c r="G73"/>
  <c r="S73"/>
  <c r="W73" s="1"/>
  <c r="BT103"/>
  <c r="BT104" s="1"/>
  <c r="BG102"/>
  <c r="BK81"/>
  <c r="G81" s="1"/>
  <c r="AY102"/>
  <c r="AC102"/>
  <c r="BA102"/>
  <c r="AQ102"/>
  <c r="BK83"/>
  <c r="G83" s="1"/>
  <c r="BK88"/>
  <c r="BK90"/>
  <c r="BK92"/>
  <c r="BK24"/>
  <c r="G24" s="1"/>
  <c r="BN24" s="1"/>
  <c r="BG34"/>
  <c r="AO34"/>
  <c r="U45"/>
  <c r="Y45" s="1"/>
  <c r="AQ77"/>
  <c r="BK73"/>
  <c r="BI77"/>
  <c r="S43"/>
  <c r="W43" s="1"/>
  <c r="R43"/>
  <c r="V43" s="1"/>
  <c r="U43"/>
  <c r="Y43" s="1"/>
  <c r="T43"/>
  <c r="X43" s="1"/>
  <c r="BK18"/>
  <c r="G18" s="1"/>
  <c r="BG21"/>
  <c r="BK68"/>
  <c r="AY34"/>
  <c r="BK97"/>
  <c r="AJ103"/>
  <c r="AJ104" s="1"/>
  <c r="O15" i="39" s="1"/>
  <c r="AI34" i="45"/>
  <c r="Z103"/>
  <c r="Z104" s="1"/>
  <c r="E15" i="39" s="1"/>
  <c r="S40" i="45"/>
  <c r="W40" s="1"/>
  <c r="U36"/>
  <c r="AR103"/>
  <c r="AR104" s="1"/>
  <c r="W15" i="39" s="1"/>
  <c r="BK47" i="45"/>
  <c r="G47" s="1"/>
  <c r="M47" s="1"/>
  <c r="BK98"/>
  <c r="BK20"/>
  <c r="G20" s="1"/>
  <c r="AS21"/>
  <c r="AW21"/>
  <c r="BJ16"/>
  <c r="BK48"/>
  <c r="G48" s="1"/>
  <c r="M48" s="1"/>
  <c r="AE21"/>
  <c r="BU18" i="25"/>
  <c r="H18"/>
  <c r="I18"/>
  <c r="BT84" i="24"/>
  <c r="BK88"/>
  <c r="U51" i="44"/>
  <c r="Y51" s="1"/>
  <c r="BK79" i="45"/>
  <c r="G79" s="1"/>
  <c r="BP79" s="1"/>
  <c r="AL103"/>
  <c r="AL104" s="1"/>
  <c r="Q15" i="39" s="1"/>
  <c r="T37" i="45"/>
  <c r="R37"/>
  <c r="R39" s="1"/>
  <c r="S37"/>
  <c r="F39"/>
  <c r="U37"/>
  <c r="BL87" i="44"/>
  <c r="BL44"/>
  <c r="BK27" i="45"/>
  <c r="AK16"/>
  <c r="T12" i="43"/>
  <c r="X12" s="1"/>
  <c r="U12"/>
  <c r="Y12" s="1"/>
  <c r="S12"/>
  <c r="W12" s="1"/>
  <c r="V12"/>
  <c r="Z12" s="1"/>
  <c r="BK13"/>
  <c r="H71" i="44"/>
  <c r="V71"/>
  <c r="T71"/>
  <c r="X71" s="1"/>
  <c r="BQ63"/>
  <c r="BS63" s="1"/>
  <c r="BW63" s="1"/>
  <c r="Q63"/>
  <c r="J63"/>
  <c r="I63"/>
  <c r="H53"/>
  <c r="U53"/>
  <c r="Y53" s="1"/>
  <c r="T45"/>
  <c r="X45" s="1"/>
  <c r="H45"/>
  <c r="AJ65"/>
  <c r="BK28" i="45"/>
  <c r="BK13"/>
  <c r="R12"/>
  <c r="V12" s="1"/>
  <c r="F16" i="25"/>
  <c r="G53" i="43"/>
  <c r="U53" s="1"/>
  <c r="G50" i="44"/>
  <c r="I33" i="43"/>
  <c r="J33"/>
  <c r="BQ33"/>
  <c r="BS33" s="1"/>
  <c r="BW33" s="1"/>
  <c r="H79" i="44"/>
  <c r="U79"/>
  <c r="Y79" s="1"/>
  <c r="T79"/>
  <c r="X79" s="1"/>
  <c r="U58"/>
  <c r="Y58" s="1"/>
  <c r="T99" i="45"/>
  <c r="X99" s="1"/>
  <c r="S99"/>
  <c r="W99" s="1"/>
  <c r="G99"/>
  <c r="R99"/>
  <c r="V99" s="1"/>
  <c r="AA22" i="39"/>
  <c r="AA23" s="1"/>
  <c r="V33" i="41"/>
  <c r="F41"/>
  <c r="E45"/>
  <c r="R35"/>
  <c r="V35" s="1"/>
  <c r="F35"/>
  <c r="S35"/>
  <c r="W35" s="1"/>
  <c r="T35"/>
  <c r="X35" s="1"/>
  <c r="T18"/>
  <c r="S18"/>
  <c r="Q18"/>
  <c r="R18"/>
  <c r="F29"/>
  <c r="K29" s="1"/>
  <c r="T29"/>
  <c r="X29" s="1"/>
  <c r="S29"/>
  <c r="W29" s="1"/>
  <c r="R29"/>
  <c r="V29" s="1"/>
  <c r="F31"/>
  <c r="K31" s="1"/>
  <c r="S31"/>
  <c r="W31" s="1"/>
  <c r="R31"/>
  <c r="V31" s="1"/>
  <c r="T31"/>
  <c r="X31" s="1"/>
  <c r="G25"/>
  <c r="O25"/>
  <c r="H25"/>
  <c r="T44"/>
  <c r="T45" s="1"/>
  <c r="F44"/>
  <c r="R44"/>
  <c r="R45" s="1"/>
  <c r="S44"/>
  <c r="W44" s="1"/>
  <c r="Q44"/>
  <c r="U44" s="1"/>
  <c r="F28"/>
  <c r="K28" s="1"/>
  <c r="R28"/>
  <c r="V28" s="1"/>
  <c r="S28"/>
  <c r="T28"/>
  <c r="BO27"/>
  <c r="BQ27" s="1"/>
  <c r="BU27" s="1"/>
  <c r="S33"/>
  <c r="BM17"/>
  <c r="BQ17" s="1"/>
  <c r="BU17" s="1"/>
  <c r="BM31"/>
  <c r="BQ31" s="1"/>
  <c r="BU31" s="1"/>
  <c r="W40"/>
  <c r="BM43"/>
  <c r="E23"/>
  <c r="E37" s="1"/>
  <c r="F24"/>
  <c r="N12"/>
  <c r="L12"/>
  <c r="G17"/>
  <c r="H17"/>
  <c r="P12"/>
  <c r="R33"/>
  <c r="M12"/>
  <c r="BE62" i="43"/>
  <c r="AI17" i="39" s="1"/>
  <c r="BK35" i="43"/>
  <c r="H30"/>
  <c r="E13" i="41"/>
  <c r="H11" i="43"/>
  <c r="J11" s="1"/>
  <c r="H89" i="44"/>
  <c r="U89"/>
  <c r="V89"/>
  <c r="T89"/>
  <c r="Q80"/>
  <c r="I80"/>
  <c r="BQ80"/>
  <c r="BS80" s="1"/>
  <c r="BW80" s="1"/>
  <c r="J80"/>
  <c r="BK83"/>
  <c r="H78"/>
  <c r="U78"/>
  <c r="Y78" s="1"/>
  <c r="U77"/>
  <c r="Y77" s="1"/>
  <c r="H77"/>
  <c r="U70"/>
  <c r="Y70" s="1"/>
  <c r="U69"/>
  <c r="Y69" s="1"/>
  <c r="H69"/>
  <c r="S59"/>
  <c r="W59" s="1"/>
  <c r="H59"/>
  <c r="T59"/>
  <c r="X59" s="1"/>
  <c r="U52"/>
  <c r="Y52" s="1"/>
  <c r="T46"/>
  <c r="X46" s="1"/>
  <c r="U46"/>
  <c r="Y46" s="1"/>
  <c r="S45"/>
  <c r="W45" s="1"/>
  <c r="U45"/>
  <c r="Y45" s="1"/>
  <c r="BW15"/>
  <c r="H16"/>
  <c r="I27" i="45"/>
  <c r="H27"/>
  <c r="BJ21"/>
  <c r="X14"/>
  <c r="I14"/>
  <c r="Y14"/>
  <c r="V14"/>
  <c r="W14"/>
  <c r="H14"/>
  <c r="BO14"/>
  <c r="BR14" s="1"/>
  <c r="BV14" s="1"/>
  <c r="G13"/>
  <c r="U13"/>
  <c r="Y13" s="1"/>
  <c r="S13"/>
  <c r="W13" s="1"/>
  <c r="T13"/>
  <c r="X13" s="1"/>
  <c r="R13"/>
  <c r="F16"/>
  <c r="BC16"/>
  <c r="X12"/>
  <c r="U12"/>
  <c r="G12"/>
  <c r="S12"/>
  <c r="S32" i="46"/>
  <c r="R28"/>
  <c r="BJ28"/>
  <c r="BB17"/>
  <c r="I36" i="47"/>
  <c r="H36"/>
  <c r="BL60" i="44"/>
  <c r="H60" s="1"/>
  <c r="T100" i="45"/>
  <c r="X100" s="1"/>
  <c r="S100"/>
  <c r="W100" s="1"/>
  <c r="R100"/>
  <c r="V100" s="1"/>
  <c r="G100"/>
  <c r="V48" i="47"/>
  <c r="W48"/>
  <c r="BK48"/>
  <c r="G48" s="1"/>
  <c r="X47"/>
  <c r="BP10"/>
  <c r="H10"/>
  <c r="I10"/>
  <c r="Q64" i="44"/>
  <c r="J64"/>
  <c r="I64"/>
  <c r="BQ64"/>
  <c r="BS64" s="1"/>
  <c r="BW64" s="1"/>
  <c r="T44"/>
  <c r="X44" s="1"/>
  <c r="U44"/>
  <c r="Y44" s="1"/>
  <c r="U39"/>
  <c r="Y39" s="1"/>
  <c r="S39"/>
  <c r="W39" s="1"/>
  <c r="T39"/>
  <c r="X39" s="1"/>
  <c r="V20"/>
  <c r="S20"/>
  <c r="S34" s="1"/>
  <c r="U20"/>
  <c r="U34" s="1"/>
  <c r="T20"/>
  <c r="T34" s="1"/>
  <c r="BR46" i="47"/>
  <c r="BO43"/>
  <c r="BR43" s="1"/>
  <c r="BV43" s="1"/>
  <c r="G43"/>
  <c r="T43"/>
  <c r="X43" s="1"/>
  <c r="R43"/>
  <c r="V43" s="1"/>
  <c r="U43"/>
  <c r="Y43" s="1"/>
  <c r="S43"/>
  <c r="W43" s="1"/>
  <c r="H39"/>
  <c r="I39"/>
  <c r="I35"/>
  <c r="H35"/>
  <c r="R35"/>
  <c r="V35" s="1"/>
  <c r="T35"/>
  <c r="X35" s="1"/>
  <c r="K15" i="41"/>
  <c r="N15"/>
  <c r="P15"/>
  <c r="O15"/>
  <c r="H48" i="42"/>
  <c r="U48"/>
  <c r="V48"/>
  <c r="G52"/>
  <c r="T48"/>
  <c r="S48"/>
  <c r="BK52"/>
  <c r="V34" i="43"/>
  <c r="Z34" s="1"/>
  <c r="T34"/>
  <c r="X34" s="1"/>
  <c r="U34"/>
  <c r="Y34" s="1"/>
  <c r="S34"/>
  <c r="W34" s="1"/>
  <c r="T22"/>
  <c r="G35"/>
  <c r="S22"/>
  <c r="V22"/>
  <c r="U22"/>
  <c r="H22"/>
  <c r="Y11"/>
  <c r="V11"/>
  <c r="G13"/>
  <c r="T11"/>
  <c r="S11"/>
  <c r="J92" i="44"/>
  <c r="I92"/>
  <c r="G90"/>
  <c r="H87"/>
  <c r="I81"/>
  <c r="Q81"/>
  <c r="J81"/>
  <c r="BQ81"/>
  <c r="BS81" s="1"/>
  <c r="BW81" s="1"/>
  <c r="S60"/>
  <c r="W60" s="1"/>
  <c r="T60"/>
  <c r="X60" s="1"/>
  <c r="BQ56"/>
  <c r="BS56" s="1"/>
  <c r="BW56" s="1"/>
  <c r="J56"/>
  <c r="I55"/>
  <c r="AT65"/>
  <c r="H44"/>
  <c r="Q44" s="1"/>
  <c r="S43"/>
  <c r="W43" s="1"/>
  <c r="U43"/>
  <c r="T43"/>
  <c r="X43" s="1"/>
  <c r="I43"/>
  <c r="S98" i="45"/>
  <c r="W98" s="1"/>
  <c r="R98"/>
  <c r="V98" s="1"/>
  <c r="G98"/>
  <c r="T95"/>
  <c r="X95" s="1"/>
  <c r="R95"/>
  <c r="V95" s="1"/>
  <c r="G95"/>
  <c r="S95"/>
  <c r="W95" s="1"/>
  <c r="S92"/>
  <c r="W92" s="1"/>
  <c r="G92"/>
  <c r="R92"/>
  <c r="V92" s="1"/>
  <c r="G91"/>
  <c r="S91"/>
  <c r="W91" s="1"/>
  <c r="T91"/>
  <c r="X91" s="1"/>
  <c r="R91"/>
  <c r="V91" s="1"/>
  <c r="T90"/>
  <c r="R90"/>
  <c r="V90" s="1"/>
  <c r="G90"/>
  <c r="S90"/>
  <c r="W90" s="1"/>
  <c r="R87"/>
  <c r="V87" s="1"/>
  <c r="S87"/>
  <c r="W87" s="1"/>
  <c r="S84"/>
  <c r="W84" s="1"/>
  <c r="S83"/>
  <c r="W83" s="1"/>
  <c r="R83"/>
  <c r="V83" s="1"/>
  <c r="S81"/>
  <c r="W81" s="1"/>
  <c r="R81"/>
  <c r="V81" s="1"/>
  <c r="BJ102"/>
  <c r="S79"/>
  <c r="R79"/>
  <c r="F102"/>
  <c r="T74"/>
  <c r="U74"/>
  <c r="S74"/>
  <c r="R74"/>
  <c r="S70"/>
  <c r="W70" s="1"/>
  <c r="T70"/>
  <c r="X70" s="1"/>
  <c r="U70"/>
  <c r="Y70" s="1"/>
  <c r="G70"/>
  <c r="R70"/>
  <c r="V70" s="1"/>
  <c r="R58"/>
  <c r="V58" s="1"/>
  <c r="U58"/>
  <c r="Y58" s="1"/>
  <c r="S58"/>
  <c r="W58" s="1"/>
  <c r="T58"/>
  <c r="X58" s="1"/>
  <c r="BJ77"/>
  <c r="T55"/>
  <c r="U55"/>
  <c r="F77"/>
  <c r="U54"/>
  <c r="S54"/>
  <c r="G54"/>
  <c r="T54"/>
  <c r="R54"/>
  <c r="T47"/>
  <c r="X47" s="1"/>
  <c r="U47"/>
  <c r="Y47" s="1"/>
  <c r="R47"/>
  <c r="V47" s="1"/>
  <c r="S47"/>
  <c r="W47" s="1"/>
  <c r="U44"/>
  <c r="Y44" s="1"/>
  <c r="S44"/>
  <c r="W44" s="1"/>
  <c r="R44"/>
  <c r="V44" s="1"/>
  <c r="T44"/>
  <c r="X44" s="1"/>
  <c r="G44"/>
  <c r="AS52"/>
  <c r="R41"/>
  <c r="S41"/>
  <c r="U41"/>
  <c r="F52"/>
  <c r="T41"/>
  <c r="BJ52"/>
  <c r="R30"/>
  <c r="U30"/>
  <c r="T30"/>
  <c r="S30"/>
  <c r="BJ34"/>
  <c r="S24"/>
  <c r="T24"/>
  <c r="U24"/>
  <c r="R24"/>
  <c r="S20"/>
  <c r="T20"/>
  <c r="F21"/>
  <c r="U20"/>
  <c r="R20"/>
  <c r="S42" i="47"/>
  <c r="R42"/>
  <c r="T42"/>
  <c r="U42"/>
  <c r="BR24"/>
  <c r="U24"/>
  <c r="G24"/>
  <c r="T24"/>
  <c r="S24"/>
  <c r="R24"/>
  <c r="T44" i="43"/>
  <c r="S44"/>
  <c r="G57"/>
  <c r="T82" i="44"/>
  <c r="X82" s="1"/>
  <c r="U82"/>
  <c r="Y82" s="1"/>
  <c r="H74"/>
  <c r="U74"/>
  <c r="S72"/>
  <c r="T72"/>
  <c r="H72"/>
  <c r="G83"/>
  <c r="S47"/>
  <c r="H47"/>
  <c r="T47"/>
  <c r="T40"/>
  <c r="G41"/>
  <c r="U40"/>
  <c r="S40"/>
  <c r="G28" i="45"/>
  <c r="F34"/>
  <c r="R64" i="46"/>
  <c r="T64"/>
  <c r="Q64"/>
  <c r="S64"/>
  <c r="BN64"/>
  <c r="U45" i="41" l="1"/>
  <c r="F45"/>
  <c r="BQ34" i="44"/>
  <c r="BS31"/>
  <c r="BW31" s="1"/>
  <c r="W34" i="41"/>
  <c r="K34"/>
  <c r="X34"/>
  <c r="BM34"/>
  <c r="BQ34" s="1"/>
  <c r="BU34" s="1"/>
  <c r="V34"/>
  <c r="BJ19"/>
  <c r="F19" s="1"/>
  <c r="AB20"/>
  <c r="BQ55" i="44"/>
  <c r="BS55" s="1"/>
  <c r="BW55" s="1"/>
  <c r="U18" i="41"/>
  <c r="W33"/>
  <c r="AX91" i="44"/>
  <c r="AX93" s="1"/>
  <c r="BC50" i="47"/>
  <c r="AH10" i="39" s="1"/>
  <c r="AR46" i="41"/>
  <c r="I60" i="24"/>
  <c r="H60"/>
  <c r="J55" i="44"/>
  <c r="S35" i="47"/>
  <c r="W35" s="1"/>
  <c r="G33" i="41"/>
  <c r="M32" i="45"/>
  <c r="V15" i="46"/>
  <c r="AS50" i="47"/>
  <c r="X10" i="39" s="1"/>
  <c r="AK66" i="46"/>
  <c r="Q11" i="39" s="1"/>
  <c r="Q12" s="1"/>
  <c r="G12" i="25"/>
  <c r="BK16"/>
  <c r="Q49" i="42"/>
  <c r="BK19" i="25"/>
  <c r="Q36" i="44"/>
  <c r="G40" i="46"/>
  <c r="G42" s="1"/>
  <c r="O22" i="41"/>
  <c r="S28" i="42"/>
  <c r="BN25" i="45"/>
  <c r="BR25" s="1"/>
  <c r="BV25" s="1"/>
  <c r="AF53" i="42"/>
  <c r="J21" i="39" s="1"/>
  <c r="AV91" i="44"/>
  <c r="AV93" s="1"/>
  <c r="Z16" i="39" s="1"/>
  <c r="BD66" i="46"/>
  <c r="AJ11" i="39" s="1"/>
  <c r="W32" i="45"/>
  <c r="W25"/>
  <c r="BK55" i="25"/>
  <c r="AH91" i="44"/>
  <c r="AH93" s="1"/>
  <c r="BP86" i="45"/>
  <c r="BR86" s="1"/>
  <c r="BV86" s="1"/>
  <c r="BB46" i="41"/>
  <c r="BJ37"/>
  <c r="BH91" i="44"/>
  <c r="BH93" s="1"/>
  <c r="AL16" i="39" s="1"/>
  <c r="BD46" i="41"/>
  <c r="V18"/>
  <c r="AH66" i="46"/>
  <c r="N11" i="39" s="1"/>
  <c r="K37" i="41"/>
  <c r="BJ50" i="46"/>
  <c r="BN50" s="1"/>
  <c r="BQ50" s="1"/>
  <c r="BU50" s="1"/>
  <c r="W18" i="41"/>
  <c r="BM33"/>
  <c r="BQ33" s="1"/>
  <c r="BU33" s="1"/>
  <c r="X33"/>
  <c r="BI53" i="46"/>
  <c r="BI50" i="47"/>
  <c r="AN10" i="39" s="1"/>
  <c r="AN12" s="1"/>
  <c r="BK21" i="47"/>
  <c r="X88" i="24"/>
  <c r="T62" i="46"/>
  <c r="BP32" i="45"/>
  <c r="BR32" s="1"/>
  <c r="BV32" s="1"/>
  <c r="BQ36" i="44"/>
  <c r="BS36" s="1"/>
  <c r="BW36" s="1"/>
  <c r="BV62" i="43"/>
  <c r="BJ89" i="24"/>
  <c r="U28" i="42"/>
  <c r="AK50" i="47"/>
  <c r="P10" i="39" s="1"/>
  <c r="X13" i="44"/>
  <c r="X16" s="1"/>
  <c r="W49" i="42"/>
  <c r="AP91" i="44"/>
  <c r="AP93" s="1"/>
  <c r="T16" i="39" s="1"/>
  <c r="AL91" i="44"/>
  <c r="AL93" s="1"/>
  <c r="P16" i="39" s="1"/>
  <c r="I55" i="24"/>
  <c r="H55"/>
  <c r="AZ46" i="41"/>
  <c r="AO28" i="39"/>
  <c r="X18" i="41"/>
  <c r="H33"/>
  <c r="Y25" i="45"/>
  <c r="BJ44" i="47"/>
  <c r="R16" i="39"/>
  <c r="AQ50" i="47"/>
  <c r="V10" i="39" s="1"/>
  <c r="V12" s="1"/>
  <c r="BA50" i="47"/>
  <c r="AF10" i="39" s="1"/>
  <c r="V25" i="45"/>
  <c r="X25"/>
  <c r="AN35" i="26"/>
  <c r="R28" i="39" s="1"/>
  <c r="I18"/>
  <c r="H31" i="44"/>
  <c r="X32" i="45"/>
  <c r="BQ12" i="44"/>
  <c r="BL28" i="42"/>
  <c r="I25" i="45"/>
  <c r="X49" i="42"/>
  <c r="T28"/>
  <c r="I43"/>
  <c r="I46" s="1"/>
  <c r="W13" i="44"/>
  <c r="W16" s="1"/>
  <c r="K18" i="39"/>
  <c r="BV35" i="26"/>
  <c r="S45" i="41"/>
  <c r="AP46"/>
  <c r="V22" i="39" s="1"/>
  <c r="H87" i="24"/>
  <c r="I87"/>
  <c r="BP19" i="44"/>
  <c r="BP34" s="1"/>
  <c r="BP91" s="1"/>
  <c r="BP93" s="1"/>
  <c r="BL34"/>
  <c r="BL91" s="1"/>
  <c r="V22" i="41"/>
  <c r="V37" s="1"/>
  <c r="R37"/>
  <c r="BF91" i="44"/>
  <c r="BF93" s="1"/>
  <c r="AO50" i="47"/>
  <c r="T10" i="39" s="1"/>
  <c r="T12" s="1"/>
  <c r="Y79" i="24"/>
  <c r="X48" i="25"/>
  <c r="Z30" i="42"/>
  <c r="G34" i="44"/>
  <c r="AV46" i="41"/>
  <c r="V34" i="44"/>
  <c r="V91" s="1"/>
  <c r="V93" s="1"/>
  <c r="O33" i="41"/>
  <c r="F12" i="46"/>
  <c r="BD62" i="43"/>
  <c r="AH17" i="39" s="1"/>
  <c r="AR62" i="43"/>
  <c r="V17" i="39" s="1"/>
  <c r="AU103" i="45"/>
  <c r="I49" i="42"/>
  <c r="W22" i="41"/>
  <c r="S37"/>
  <c r="H25" i="45"/>
  <c r="BR47" i="47"/>
  <c r="J36" i="44"/>
  <c r="BD91"/>
  <c r="BD93" s="1"/>
  <c r="AH16" i="39" s="1"/>
  <c r="AS66" i="46"/>
  <c r="Y11" i="39" s="1"/>
  <c r="Y12" s="1"/>
  <c r="AG56" i="25"/>
  <c r="L27" i="39" s="1"/>
  <c r="AB46" i="41"/>
  <c r="BF46"/>
  <c r="X22"/>
  <c r="T37"/>
  <c r="W45"/>
  <c r="BH46"/>
  <c r="AN22" i="39" s="1"/>
  <c r="J42" i="24"/>
  <c r="BC56" i="25"/>
  <c r="AH27" i="39" s="1"/>
  <c r="AU56" i="25"/>
  <c r="Z27" i="39" s="1"/>
  <c r="H29" i="44"/>
  <c r="K18" i="20"/>
  <c r="Y18" i="39"/>
  <c r="I20" i="47"/>
  <c r="O12" i="39"/>
  <c r="T20" i="43"/>
  <c r="AB12" i="39"/>
  <c r="BL42" i="43"/>
  <c r="AD35" i="26"/>
  <c r="H28" i="39" s="1"/>
  <c r="AE56" i="25"/>
  <c r="J27" i="39" s="1"/>
  <c r="AC56" i="25"/>
  <c r="H27" i="39" s="1"/>
  <c r="V48" i="25"/>
  <c r="Y49" i="42"/>
  <c r="N12" i="44"/>
  <c r="J30" i="26"/>
  <c r="J34" s="1"/>
  <c r="I30"/>
  <c r="I34" s="1"/>
  <c r="BQ30"/>
  <c r="V35"/>
  <c r="BP48" i="24"/>
  <c r="AK12" i="39"/>
  <c r="AJ35" i="26"/>
  <c r="N28" i="39" s="1"/>
  <c r="AP28" s="1"/>
  <c r="AS56" i="25"/>
  <c r="X27" i="39" s="1"/>
  <c r="BT66" i="46"/>
  <c r="Q62" i="45"/>
  <c r="BQ51" i="42"/>
  <c r="BS51" s="1"/>
  <c r="BW51" s="1"/>
  <c r="H51"/>
  <c r="K51" s="1"/>
  <c r="BN71" i="45"/>
  <c r="BR71" s="1"/>
  <c r="BV71" s="1"/>
  <c r="Y48" i="25"/>
  <c r="T34" i="26"/>
  <c r="X30"/>
  <c r="X34" s="1"/>
  <c r="BQ50" i="43"/>
  <c r="BS50" s="1"/>
  <c r="BW50" s="1"/>
  <c r="M50"/>
  <c r="M57" s="1"/>
  <c r="AM18" i="39"/>
  <c r="AM31" s="1"/>
  <c r="H66" i="24"/>
  <c r="I66"/>
  <c r="I28"/>
  <c r="H28"/>
  <c r="BP28"/>
  <c r="BR28" s="1"/>
  <c r="BV28" s="1"/>
  <c r="H18"/>
  <c r="I18"/>
  <c r="V49" i="47"/>
  <c r="L18" i="20"/>
  <c r="I54" i="24"/>
  <c r="H54"/>
  <c r="X15" i="46"/>
  <c r="AJ12" i="39"/>
  <c r="I63" i="24"/>
  <c r="H63"/>
  <c r="I86"/>
  <c r="H86"/>
  <c r="H88" s="1"/>
  <c r="Z12" i="42"/>
  <c r="H14" i="24"/>
  <c r="I14"/>
  <c r="AN16" i="39"/>
  <c r="BB62" i="43"/>
  <c r="AF17" i="39" s="1"/>
  <c r="M24" i="43"/>
  <c r="Z24"/>
  <c r="AN62"/>
  <c r="R17" i="39" s="1"/>
  <c r="BQ86" i="44"/>
  <c r="BS86" s="1"/>
  <c r="BW86" s="1"/>
  <c r="BL90"/>
  <c r="AD16" i="39"/>
  <c r="I86" i="44"/>
  <c r="AF16" i="39"/>
  <c r="BL83" i="44"/>
  <c r="I56"/>
  <c r="H48"/>
  <c r="AB16" i="39"/>
  <c r="G65" i="44"/>
  <c r="V20" i="43"/>
  <c r="M37" i="42"/>
  <c r="I23" i="39"/>
  <c r="H34" i="41"/>
  <c r="BI20"/>
  <c r="G34"/>
  <c r="L22" i="39"/>
  <c r="AF22"/>
  <c r="AF23" s="1"/>
  <c r="AJ16"/>
  <c r="BL16" i="44"/>
  <c r="AD83"/>
  <c r="AD91" s="1"/>
  <c r="AD93" s="1"/>
  <c r="V16" i="39"/>
  <c r="BL41" i="44"/>
  <c r="V16"/>
  <c r="Z12"/>
  <c r="U48"/>
  <c r="Y48" s="1"/>
  <c r="BK65"/>
  <c r="BK91" s="1"/>
  <c r="BK93" s="1"/>
  <c r="L16" i="39"/>
  <c r="H33" i="42"/>
  <c r="M30"/>
  <c r="M39" s="1"/>
  <c r="AD53"/>
  <c r="H21" i="39" s="1"/>
  <c r="H46" i="42"/>
  <c r="Z44"/>
  <c r="M44"/>
  <c r="X12"/>
  <c r="Y12"/>
  <c r="R22" i="39"/>
  <c r="Q23"/>
  <c r="AD22"/>
  <c r="I15" i="41"/>
  <c r="M15"/>
  <c r="H15"/>
  <c r="J15"/>
  <c r="L15"/>
  <c r="AH22" i="39"/>
  <c r="Z22"/>
  <c r="X22"/>
  <c r="K16" i="41"/>
  <c r="BJ45"/>
  <c r="T22" i="39"/>
  <c r="AJ22"/>
  <c r="P22"/>
  <c r="M16" i="41"/>
  <c r="AB22" i="39"/>
  <c r="S23"/>
  <c r="I16" i="41"/>
  <c r="Y23" i="39"/>
  <c r="H16" i="41"/>
  <c r="M23" i="39"/>
  <c r="O16" i="41"/>
  <c r="J16"/>
  <c r="U39" i="42"/>
  <c r="Y30"/>
  <c r="T46"/>
  <c r="X41"/>
  <c r="X46" s="1"/>
  <c r="AG23" i="39"/>
  <c r="O23"/>
  <c r="BV49" i="42"/>
  <c r="BV52" s="1"/>
  <c r="BV53" s="1"/>
  <c r="AZ53"/>
  <c r="AD21" i="39" s="1"/>
  <c r="BO41" i="42"/>
  <c r="BO46" s="1"/>
  <c r="M41"/>
  <c r="M26"/>
  <c r="BO26"/>
  <c r="BS26" s="1"/>
  <c r="BW26" s="1"/>
  <c r="Y41"/>
  <c r="Y46" s="1"/>
  <c r="V46"/>
  <c r="Z41"/>
  <c r="BL19"/>
  <c r="H28"/>
  <c r="W18"/>
  <c r="U15"/>
  <c r="Z26"/>
  <c r="S46"/>
  <c r="W41"/>
  <c r="W46" s="1"/>
  <c r="AA56" i="25"/>
  <c r="F27" i="39" s="1"/>
  <c r="T48" i="25"/>
  <c r="H51"/>
  <c r="BT51"/>
  <c r="BU51" s="1"/>
  <c r="BV51" s="1"/>
  <c r="I51"/>
  <c r="AJ29" i="39"/>
  <c r="BN12" i="25"/>
  <c r="BK30"/>
  <c r="BK56" s="1"/>
  <c r="U48"/>
  <c r="BS46"/>
  <c r="BU46" s="1"/>
  <c r="BV46" s="1"/>
  <c r="H12"/>
  <c r="H16" s="1"/>
  <c r="BS41"/>
  <c r="BU41" s="1"/>
  <c r="BV41" s="1"/>
  <c r="H41"/>
  <c r="I41"/>
  <c r="BS36"/>
  <c r="H36"/>
  <c r="I36"/>
  <c r="I48" s="1"/>
  <c r="BI56"/>
  <c r="AN27" i="39" s="1"/>
  <c r="AN29" s="1"/>
  <c r="I46" i="25"/>
  <c r="G48"/>
  <c r="BS30"/>
  <c r="K35" i="43"/>
  <c r="H53"/>
  <c r="I53" s="1"/>
  <c r="AL62"/>
  <c r="P17" i="39" s="1"/>
  <c r="U23"/>
  <c r="V39" i="42"/>
  <c r="W30"/>
  <c r="AH62" i="43"/>
  <c r="L17" i="39" s="1"/>
  <c r="AV62" i="43"/>
  <c r="Z17" i="39" s="1"/>
  <c r="M19" i="43"/>
  <c r="M20" s="1"/>
  <c r="BQ19"/>
  <c r="BS19" s="1"/>
  <c r="BW19" s="1"/>
  <c r="Q19"/>
  <c r="W21" i="42"/>
  <c r="W28" s="1"/>
  <c r="AP53"/>
  <c r="T21" i="39" s="1"/>
  <c r="AJ53" i="42"/>
  <c r="N21" i="39" s="1"/>
  <c r="Y11" i="42"/>
  <c r="BL15"/>
  <c r="BS11"/>
  <c r="BW11" s="1"/>
  <c r="BO15"/>
  <c r="BU24" i="44"/>
  <c r="BV24" s="1"/>
  <c r="BW24" s="1"/>
  <c r="H24"/>
  <c r="M24" s="1"/>
  <c r="BU23"/>
  <c r="BV23" s="1"/>
  <c r="BW23" s="1"/>
  <c r="H23"/>
  <c r="M23" s="1"/>
  <c r="J16" i="39"/>
  <c r="BU22" i="44"/>
  <c r="BV22" s="1"/>
  <c r="BW22" s="1"/>
  <c r="H22"/>
  <c r="M22" s="1"/>
  <c r="N16" i="39"/>
  <c r="E18"/>
  <c r="BU25" i="44"/>
  <c r="BV25" s="1"/>
  <c r="BI46" i="41"/>
  <c r="F22" i="39"/>
  <c r="J22"/>
  <c r="J23" s="1"/>
  <c r="AX53" i="42"/>
  <c r="AB21" i="39" s="1"/>
  <c r="BK53" i="42"/>
  <c r="BH53"/>
  <c r="AL21" i="39" s="1"/>
  <c r="Y21" i="42"/>
  <c r="Y28" s="1"/>
  <c r="AR53"/>
  <c r="V21" i="39" s="1"/>
  <c r="X18" i="42"/>
  <c r="BJ53"/>
  <c r="AN21" i="39" s="1"/>
  <c r="BO18" i="42"/>
  <c r="BS18" s="1"/>
  <c r="BW18" s="1"/>
  <c r="AB53"/>
  <c r="F21" i="39" s="1"/>
  <c r="Z21" i="42"/>
  <c r="Z28" s="1"/>
  <c r="M21"/>
  <c r="M28" s="1"/>
  <c r="BO21"/>
  <c r="BD53"/>
  <c r="AH21" i="39" s="1"/>
  <c r="AV53" i="42"/>
  <c r="Z21" i="39" s="1"/>
  <c r="Y18" i="42"/>
  <c r="Z18"/>
  <c r="X21"/>
  <c r="X28" s="1"/>
  <c r="BO77" i="45"/>
  <c r="BO103" s="1"/>
  <c r="BR66"/>
  <c r="BV66" s="1"/>
  <c r="BK16"/>
  <c r="W18" i="39"/>
  <c r="M35" i="43"/>
  <c r="BQ26"/>
  <c r="BS26" s="1"/>
  <c r="BW26" s="1"/>
  <c r="AM103" i="45"/>
  <c r="AM104" s="1"/>
  <c r="R15" i="39" s="1"/>
  <c r="AE103" i="45"/>
  <c r="AE104" s="1"/>
  <c r="J15" i="39" s="1"/>
  <c r="AG103" i="45"/>
  <c r="AG104" s="1"/>
  <c r="L15" i="39" s="1"/>
  <c r="X16"/>
  <c r="U18"/>
  <c r="BQ54" i="44"/>
  <c r="BS54" s="1"/>
  <c r="BW54" s="1"/>
  <c r="Q54"/>
  <c r="J54"/>
  <c r="I54"/>
  <c r="J19"/>
  <c r="I19"/>
  <c r="J49"/>
  <c r="Q49"/>
  <c r="BQ49"/>
  <c r="BS49" s="1"/>
  <c r="BW49" s="1"/>
  <c r="H18" i="20"/>
  <c r="I30" i="44"/>
  <c r="J30"/>
  <c r="Q37"/>
  <c r="I37"/>
  <c r="J37"/>
  <c r="BQ37"/>
  <c r="BS37" s="1"/>
  <c r="BW37" s="1"/>
  <c r="AK18" i="39"/>
  <c r="S39" i="45"/>
  <c r="BC103"/>
  <c r="BC104" s="1"/>
  <c r="AH15" i="39" s="1"/>
  <c r="M88" i="45"/>
  <c r="AS103"/>
  <c r="AS104" s="1"/>
  <c r="X15" i="39" s="1"/>
  <c r="M45" i="45"/>
  <c r="BN74"/>
  <c r="BR74" s="1"/>
  <c r="BV74" s="1"/>
  <c r="Y24"/>
  <c r="X79"/>
  <c r="BK52"/>
  <c r="M24"/>
  <c r="X24"/>
  <c r="V24"/>
  <c r="W24"/>
  <c r="V74"/>
  <c r="AA103"/>
  <c r="AA104" s="1"/>
  <c r="F15" i="39" s="1"/>
  <c r="F18" s="1"/>
  <c r="AL53" i="42"/>
  <c r="P21" i="39" s="1"/>
  <c r="BL46" i="42"/>
  <c r="AH53"/>
  <c r="L21" i="39" s="1"/>
  <c r="AT53" i="42"/>
  <c r="X21" i="39" s="1"/>
  <c r="AN53" i="42"/>
  <c r="R21" i="39" s="1"/>
  <c r="BO39" i="42"/>
  <c r="X38"/>
  <c r="X39" s="1"/>
  <c r="Y38"/>
  <c r="L38"/>
  <c r="L39" s="1"/>
  <c r="L53" s="1"/>
  <c r="H21" i="20" s="1"/>
  <c r="W38" i="42"/>
  <c r="S39"/>
  <c r="Z38"/>
  <c r="Z39" s="1"/>
  <c r="BL39"/>
  <c r="K52" i="43"/>
  <c r="K57" s="1"/>
  <c r="BQ52"/>
  <c r="BS52" s="1"/>
  <c r="BW52" s="1"/>
  <c r="X52"/>
  <c r="Z52"/>
  <c r="W52"/>
  <c r="O18" i="39"/>
  <c r="AC18"/>
  <c r="M18"/>
  <c r="BL35" i="43"/>
  <c r="BQ28"/>
  <c r="BS28" s="1"/>
  <c r="BW28" s="1"/>
  <c r="AK103" i="45"/>
  <c r="AK104" s="1"/>
  <c r="P15" i="39" s="1"/>
  <c r="Q64" i="45"/>
  <c r="Q77" s="1"/>
  <c r="Q103" s="1"/>
  <c r="Q104" s="1"/>
  <c r="N15" i="20" s="1"/>
  <c r="N18" s="1"/>
  <c r="AQ103" i="45"/>
  <c r="AQ104" s="1"/>
  <c r="V15" i="39" s="1"/>
  <c r="J59" i="45"/>
  <c r="J61"/>
  <c r="BN61"/>
  <c r="BR61" s="1"/>
  <c r="BV61" s="1"/>
  <c r="AA32" i="47"/>
  <c r="BK30"/>
  <c r="S31"/>
  <c r="W31" s="1"/>
  <c r="G31"/>
  <c r="T31"/>
  <c r="X31" s="1"/>
  <c r="R31"/>
  <c r="V31" s="1"/>
  <c r="U31"/>
  <c r="Y31" s="1"/>
  <c r="U13" i="43"/>
  <c r="AO103" i="45"/>
  <c r="AO104" s="1"/>
  <c r="T15" i="39" s="1"/>
  <c r="T18" s="1"/>
  <c r="BK102" i="45"/>
  <c r="H20" i="44"/>
  <c r="I20" s="1"/>
  <c r="BN53" i="46"/>
  <c r="BS33" i="42"/>
  <c r="BW33" s="1"/>
  <c r="BW39" s="1"/>
  <c r="AE12" i="39"/>
  <c r="BF53" i="42"/>
  <c r="AJ21" i="39" s="1"/>
  <c r="H50" i="42"/>
  <c r="H52" s="1"/>
  <c r="BQ50"/>
  <c r="BS50" s="1"/>
  <c r="BW50" s="1"/>
  <c r="S50" s="1"/>
  <c r="S52" s="1"/>
  <c r="X69" i="24"/>
  <c r="X79" s="1"/>
  <c r="T79"/>
  <c r="I35"/>
  <c r="H35"/>
  <c r="U38" i="46"/>
  <c r="U42" s="1"/>
  <c r="Q42"/>
  <c r="BP24" i="24"/>
  <c r="BR24" s="1"/>
  <c r="BV24" s="1"/>
  <c r="BK25"/>
  <c r="BK89" s="1"/>
  <c r="BU20" i="25"/>
  <c r="BV20" s="1"/>
  <c r="H24" i="24"/>
  <c r="I24"/>
  <c r="J31" i="44"/>
  <c r="I31"/>
  <c r="Q31"/>
  <c r="Q34" s="1"/>
  <c r="G22" i="46"/>
  <c r="H22"/>
  <c r="G88" i="24"/>
  <c r="F55" i="46"/>
  <c r="BJ56"/>
  <c r="BN55"/>
  <c r="I84" i="24"/>
  <c r="I88" s="1"/>
  <c r="BO20" i="44"/>
  <c r="BO34" s="1"/>
  <c r="J17" i="43"/>
  <c r="BU53" i="46"/>
  <c r="G49" i="47"/>
  <c r="G62" i="46"/>
  <c r="BW27" i="26"/>
  <c r="W30" i="45"/>
  <c r="M30"/>
  <c r="V30"/>
  <c r="X30"/>
  <c r="Y30"/>
  <c r="BN30"/>
  <c r="BR30" s="1"/>
  <c r="BV30" s="1"/>
  <c r="BV67" i="24"/>
  <c r="BR68"/>
  <c r="BV68" s="1"/>
  <c r="AI29" i="39"/>
  <c r="M84" i="45"/>
  <c r="BP84"/>
  <c r="BR84" s="1"/>
  <c r="BV84" s="1"/>
  <c r="I68" i="24"/>
  <c r="H68"/>
  <c r="BP31"/>
  <c r="BR31" s="1"/>
  <c r="BV31" s="1"/>
  <c r="I31"/>
  <c r="H31"/>
  <c r="V28" i="47"/>
  <c r="BQ48" i="42"/>
  <c r="BL52"/>
  <c r="S48" i="25"/>
  <c r="W39"/>
  <c r="W48" s="1"/>
  <c r="X28" i="47"/>
  <c r="L56" i="45"/>
  <c r="BN56"/>
  <c r="BR56" s="1"/>
  <c r="BV56" s="1"/>
  <c r="BJ21" i="46"/>
  <c r="BN21" s="1"/>
  <c r="BQ21" s="1"/>
  <c r="BU21" s="1"/>
  <c r="M31" i="45"/>
  <c r="X31"/>
  <c r="V31"/>
  <c r="Y31"/>
  <c r="BN31"/>
  <c r="BR31" s="1"/>
  <c r="BV31" s="1"/>
  <c r="W31"/>
  <c r="H22" i="39"/>
  <c r="AJ66" i="46"/>
  <c r="P11" i="39" s="1"/>
  <c r="Z35" i="26"/>
  <c r="R79" i="24"/>
  <c r="F50" i="46"/>
  <c r="R50"/>
  <c r="V50" s="1"/>
  <c r="T50"/>
  <c r="X50" s="1"/>
  <c r="S50"/>
  <c r="W50" s="1"/>
  <c r="Q50"/>
  <c r="U50" s="1"/>
  <c r="AD65" i="44"/>
  <c r="BL48"/>
  <c r="BL65" s="1"/>
  <c r="F54" i="25"/>
  <c r="BJ55"/>
  <c r="BJ56" s="1"/>
  <c r="W31" i="24"/>
  <c r="W33" s="1"/>
  <c r="S33"/>
  <c r="G14" i="46"/>
  <c r="H14"/>
  <c r="BQ68" i="44"/>
  <c r="BS68" s="1"/>
  <c r="BW68" s="1"/>
  <c r="J68"/>
  <c r="I68"/>
  <c r="Q68"/>
  <c r="X12" i="39"/>
  <c r="AG18"/>
  <c r="BK19" i="47"/>
  <c r="BK25" s="1"/>
  <c r="AL12" i="39"/>
  <c r="AF12"/>
  <c r="BL35" i="26"/>
  <c r="W79" i="24"/>
  <c r="BS19" i="44"/>
  <c r="BW19" s="1"/>
  <c r="Y14" i="25"/>
  <c r="W60" i="43"/>
  <c r="W61" s="1"/>
  <c r="J60"/>
  <c r="V82" i="45"/>
  <c r="W82"/>
  <c r="BP82"/>
  <c r="BR82" s="1"/>
  <c r="BV82" s="1"/>
  <c r="X82"/>
  <c r="M82"/>
  <c r="AO66" i="46"/>
  <c r="U11" i="39" s="1"/>
  <c r="U12" s="1"/>
  <c r="T17" i="42"/>
  <c r="U17"/>
  <c r="G19"/>
  <c r="G53" s="1"/>
  <c r="S17"/>
  <c r="H17"/>
  <c r="V17"/>
  <c r="BQ46"/>
  <c r="W40" i="46"/>
  <c r="W42" s="1"/>
  <c r="S42"/>
  <c r="S19" i="24"/>
  <c r="G19"/>
  <c r="F25"/>
  <c r="BV47" i="47"/>
  <c r="BT34" i="44"/>
  <c r="BT91" s="1"/>
  <c r="BT93" s="1"/>
  <c r="BV29"/>
  <c r="BW29" s="1"/>
  <c r="S34" i="45"/>
  <c r="U39"/>
  <c r="N22" i="39"/>
  <c r="AO21"/>
  <c r="AE18"/>
  <c r="BK34" i="47"/>
  <c r="BO34" s="1"/>
  <c r="BR34" s="1"/>
  <c r="BV34" s="1"/>
  <c r="V79" i="24"/>
  <c r="BL18" i="43"/>
  <c r="T39" i="42"/>
  <c r="F30" i="47"/>
  <c r="BJ32"/>
  <c r="Y84" i="24"/>
  <c r="Y88" s="1"/>
  <c r="U88"/>
  <c r="X14" i="25"/>
  <c r="X16" s="1"/>
  <c r="G46" i="24"/>
  <c r="G48" s="1"/>
  <c r="T46"/>
  <c r="X46" s="1"/>
  <c r="F48"/>
  <c r="Y43"/>
  <c r="V43"/>
  <c r="W43"/>
  <c r="I43"/>
  <c r="H43"/>
  <c r="X43"/>
  <c r="S34" i="47"/>
  <c r="W34" s="1"/>
  <c r="R34"/>
  <c r="V34" s="1"/>
  <c r="U34"/>
  <c r="Y34" s="1"/>
  <c r="T34"/>
  <c r="X34" s="1"/>
  <c r="BU31" i="46"/>
  <c r="AN50" i="47"/>
  <c r="S10" i="39" s="1"/>
  <c r="S12" s="1"/>
  <c r="BS49" i="42"/>
  <c r="BW49" s="1"/>
  <c r="P12" i="39"/>
  <c r="G28" i="46"/>
  <c r="G32" s="1"/>
  <c r="F32"/>
  <c r="H28"/>
  <c r="H32" s="1"/>
  <c r="BB66"/>
  <c r="AH11" i="39" s="1"/>
  <c r="AH12" s="1"/>
  <c r="G12"/>
  <c r="S18"/>
  <c r="BR29" i="47"/>
  <c r="BV29" s="1"/>
  <c r="BR76" i="45"/>
  <c r="BV76" s="1"/>
  <c r="BP77"/>
  <c r="G34" i="47"/>
  <c r="W84" i="24"/>
  <c r="W88" s="1"/>
  <c r="S88"/>
  <c r="H65"/>
  <c r="I65"/>
  <c r="X38" i="46"/>
  <c r="X42" s="1"/>
  <c r="T42"/>
  <c r="V15" i="42"/>
  <c r="Z11"/>
  <c r="Z15" s="1"/>
  <c r="G79" i="24"/>
  <c r="X12" i="26"/>
  <c r="X14" s="1"/>
  <c r="X35" s="1"/>
  <c r="T14"/>
  <c r="U79" i="24"/>
  <c r="BO18" i="41"/>
  <c r="F18"/>
  <c r="F13" i="47"/>
  <c r="U14" i="26"/>
  <c r="Y12"/>
  <c r="Y14" s="1"/>
  <c r="Y35" s="1"/>
  <c r="W55" i="45"/>
  <c r="U28" i="46"/>
  <c r="U32" s="1"/>
  <c r="Q18" i="39"/>
  <c r="V38" i="46"/>
  <c r="V42" s="1"/>
  <c r="R42"/>
  <c r="M80" i="45"/>
  <c r="BP80"/>
  <c r="BR80" s="1"/>
  <c r="BV80" s="1"/>
  <c r="J12" i="26"/>
  <c r="I12"/>
  <c r="H14"/>
  <c r="H35" s="1"/>
  <c r="I19" i="25"/>
  <c r="H19"/>
  <c r="BT19"/>
  <c r="H15" i="42"/>
  <c r="M11"/>
  <c r="M15" s="1"/>
  <c r="F19" i="47"/>
  <c r="F25" s="1"/>
  <c r="BJ25"/>
  <c r="BH13" i="43"/>
  <c r="BH62" s="1"/>
  <c r="AL17" i="39" s="1"/>
  <c r="BL12" i="43"/>
  <c r="H12" s="1"/>
  <c r="H13" s="1"/>
  <c r="I75" i="24"/>
  <c r="H75"/>
  <c r="BQ59" i="46"/>
  <c r="BO62"/>
  <c r="BT53" i="25"/>
  <c r="H53"/>
  <c r="I53"/>
  <c r="BK77" i="45"/>
  <c r="T39"/>
  <c r="V55"/>
  <c r="J43" i="44"/>
  <c r="T49" i="47"/>
  <c r="H48"/>
  <c r="N16" i="41"/>
  <c r="P16"/>
  <c r="BE103" i="45"/>
  <c r="BE104" s="1"/>
  <c r="AJ15" i="39" s="1"/>
  <c r="BP34" i="45"/>
  <c r="AT42" i="46"/>
  <c r="AT66" s="1"/>
  <c r="Z11" i="39" s="1"/>
  <c r="Z12" s="1"/>
  <c r="BJ40" i="46"/>
  <c r="BN40" s="1"/>
  <c r="BQ40" s="1"/>
  <c r="BU40" s="1"/>
  <c r="G21" i="47"/>
  <c r="BO21"/>
  <c r="I33" i="42"/>
  <c r="I39" s="1"/>
  <c r="J33"/>
  <c r="J39" s="1"/>
  <c r="I12" i="47"/>
  <c r="H12"/>
  <c r="U46"/>
  <c r="S46"/>
  <c r="F49"/>
  <c r="X11" i="42"/>
  <c r="X15" s="1"/>
  <c r="T15"/>
  <c r="BV41" i="24"/>
  <c r="BV48" s="1"/>
  <c r="BR48"/>
  <c r="I13" i="26"/>
  <c r="J13"/>
  <c r="F17" i="46"/>
  <c r="H16"/>
  <c r="H17" s="1"/>
  <c r="G16"/>
  <c r="G17" s="1"/>
  <c r="BO16"/>
  <c r="BN38"/>
  <c r="BJ42"/>
  <c r="H22" i="41"/>
  <c r="Q43" i="44"/>
  <c r="M55" i="45"/>
  <c r="X49" i="47"/>
  <c r="G22" i="41"/>
  <c r="L16"/>
  <c r="G21" i="45"/>
  <c r="BO21" s="1"/>
  <c r="BR21" s="1"/>
  <c r="BV21" s="1"/>
  <c r="AU104"/>
  <c r="Z15" i="39" s="1"/>
  <c r="U20" i="43"/>
  <c r="AO22" i="39"/>
  <c r="AO27"/>
  <c r="T52" i="46"/>
  <c r="X52" s="1"/>
  <c r="R52"/>
  <c r="V52" s="1"/>
  <c r="Q52"/>
  <c r="U52" s="1"/>
  <c r="F52"/>
  <c r="S52"/>
  <c r="W52" s="1"/>
  <c r="X74" i="45"/>
  <c r="Y74"/>
  <c r="W74"/>
  <c r="H39" i="42"/>
  <c r="BS37" i="43"/>
  <c r="T30" i="25"/>
  <c r="X19"/>
  <c r="X30" s="1"/>
  <c r="W11" i="42"/>
  <c r="W15" s="1"/>
  <c r="S15"/>
  <c r="Q42" i="43"/>
  <c r="BS13" i="26"/>
  <c r="BP14"/>
  <c r="Q59" i="43"/>
  <c r="Q61" s="1"/>
  <c r="H61"/>
  <c r="J59"/>
  <c r="U22" i="26"/>
  <c r="S79" i="24"/>
  <c r="H30"/>
  <c r="G33"/>
  <c r="BP33" s="1"/>
  <c r="BR33" s="1"/>
  <c r="BV33" s="1"/>
  <c r="I30"/>
  <c r="I33" s="1"/>
  <c r="BP30"/>
  <c r="BR30" s="1"/>
  <c r="BV30" s="1"/>
  <c r="AW104" i="45"/>
  <c r="AB15" i="39" s="1"/>
  <c r="S20" i="43"/>
  <c r="BJ20" i="41"/>
  <c r="R12" i="39"/>
  <c r="BQ53" i="46"/>
  <c r="AZ62" i="43"/>
  <c r="AD17" i="39" s="1"/>
  <c r="H39" i="24"/>
  <c r="I39"/>
  <c r="BJ14" i="47"/>
  <c r="F14" s="1"/>
  <c r="AA14"/>
  <c r="X28" i="46"/>
  <c r="X32" s="1"/>
  <c r="T32"/>
  <c r="Z15" i="47"/>
  <c r="Z50" s="1"/>
  <c r="E10" i="39" s="1"/>
  <c r="S14" i="26"/>
  <c r="S35" s="1"/>
  <c r="W12"/>
  <c r="W14" s="1"/>
  <c r="W35" s="1"/>
  <c r="I38" i="43"/>
  <c r="I42" s="1"/>
  <c r="BQ38"/>
  <c r="BS38" s="1"/>
  <c r="BW38" s="1"/>
  <c r="J38"/>
  <c r="J42" s="1"/>
  <c r="BP18" i="26"/>
  <c r="BP35" s="1"/>
  <c r="BS16"/>
  <c r="T88" i="24"/>
  <c r="H42" i="46"/>
  <c r="BQ73" i="44"/>
  <c r="BS73" s="1"/>
  <c r="BW73" s="1"/>
  <c r="Q73"/>
  <c r="J73"/>
  <c r="I73"/>
  <c r="AY103" i="45"/>
  <c r="AY104" s="1"/>
  <c r="AD15" i="39" s="1"/>
  <c r="H21" i="46"/>
  <c r="G21"/>
  <c r="U44" i="47"/>
  <c r="BS39" i="42"/>
  <c r="BW60" i="43"/>
  <c r="BW61" s="1"/>
  <c r="BS61"/>
  <c r="AO16" i="39"/>
  <c r="BJ15" i="46"/>
  <c r="H20" i="45"/>
  <c r="I20"/>
  <c r="AI18" i="39"/>
  <c r="I48" i="47"/>
  <c r="H47"/>
  <c r="H49" s="1"/>
  <c r="I47"/>
  <c r="I11" i="43"/>
  <c r="W46" i="46"/>
  <c r="V46"/>
  <c r="G46"/>
  <c r="H46"/>
  <c r="BI66"/>
  <c r="X46"/>
  <c r="U46"/>
  <c r="R49" i="47"/>
  <c r="BK62" i="43"/>
  <c r="E66" i="46"/>
  <c r="F25"/>
  <c r="H20"/>
  <c r="G20"/>
  <c r="T25"/>
  <c r="X20"/>
  <c r="X25" s="1"/>
  <c r="W20"/>
  <c r="W25" s="1"/>
  <c r="S25"/>
  <c r="U20"/>
  <c r="U25" s="1"/>
  <c r="Q25"/>
  <c r="V20"/>
  <c r="V25" s="1"/>
  <c r="R25"/>
  <c r="BQ25"/>
  <c r="BU20"/>
  <c r="BN15"/>
  <c r="BQ12"/>
  <c r="H12"/>
  <c r="H15" s="1"/>
  <c r="G12"/>
  <c r="G15" s="1"/>
  <c r="F15"/>
  <c r="BW14" i="42"/>
  <c r="I24" i="25"/>
  <c r="H24"/>
  <c r="G30"/>
  <c r="BP24"/>
  <c r="S30"/>
  <c r="W24"/>
  <c r="W30" s="1"/>
  <c r="AO17" i="39"/>
  <c r="H16" i="43"/>
  <c r="BL20"/>
  <c r="Y38" i="47"/>
  <c r="BO38"/>
  <c r="V38"/>
  <c r="X38"/>
  <c r="T44"/>
  <c r="H38"/>
  <c r="I38"/>
  <c r="W38"/>
  <c r="V79" i="45"/>
  <c r="BS20"/>
  <c r="BU20" s="1"/>
  <c r="BV20" s="1"/>
  <c r="BA103"/>
  <c r="BA104" s="1"/>
  <c r="AF15" i="39" s="1"/>
  <c r="H15" i="45"/>
  <c r="I15"/>
  <c r="BN69"/>
  <c r="BR69" s="1"/>
  <c r="BV69" s="1"/>
  <c r="W69"/>
  <c r="M69"/>
  <c r="V69"/>
  <c r="X69"/>
  <c r="Y69"/>
  <c r="BK21"/>
  <c r="T34"/>
  <c r="M79"/>
  <c r="AI103"/>
  <c r="AI104" s="1"/>
  <c r="N15" i="39" s="1"/>
  <c r="I18" i="45"/>
  <c r="H18"/>
  <c r="BO18"/>
  <c r="BR18" s="1"/>
  <c r="BV18" s="1"/>
  <c r="AC103"/>
  <c r="AC104" s="1"/>
  <c r="H15" i="39" s="1"/>
  <c r="M73" i="45"/>
  <c r="BN73"/>
  <c r="BR73" s="1"/>
  <c r="BV73" s="1"/>
  <c r="BN37"/>
  <c r="BR37" s="1"/>
  <c r="BV37" s="1"/>
  <c r="Y37"/>
  <c r="X37"/>
  <c r="V37"/>
  <c r="W37"/>
  <c r="I19"/>
  <c r="H19"/>
  <c r="BP19"/>
  <c r="BR19" s="1"/>
  <c r="BV19" s="1"/>
  <c r="G36"/>
  <c r="BK39"/>
  <c r="L67"/>
  <c r="BN67"/>
  <c r="BR67" s="1"/>
  <c r="BV67" s="1"/>
  <c r="BG103"/>
  <c r="BG104" s="1"/>
  <c r="AL15" i="39" s="1"/>
  <c r="BN55" i="45"/>
  <c r="BR55" s="1"/>
  <c r="BV55" s="1"/>
  <c r="Y55"/>
  <c r="BI103"/>
  <c r="BI104" s="1"/>
  <c r="AN15" i="39" s="1"/>
  <c r="AO15"/>
  <c r="AO11"/>
  <c r="AB53" i="46"/>
  <c r="AB66" s="1"/>
  <c r="H11" i="39" s="1"/>
  <c r="BV18" i="25"/>
  <c r="BT88" i="24"/>
  <c r="BT89" s="1"/>
  <c r="BU84"/>
  <c r="BQ51" i="44"/>
  <c r="BS51" s="1"/>
  <c r="BW51" s="1"/>
  <c r="I51"/>
  <c r="Q51"/>
  <c r="J51"/>
  <c r="W79" i="45"/>
  <c r="BK34"/>
  <c r="Y13" i="43"/>
  <c r="Z71" i="44"/>
  <c r="Z83" s="1"/>
  <c r="V83"/>
  <c r="Q71"/>
  <c r="I71"/>
  <c r="J71"/>
  <c r="BQ71"/>
  <c r="BS71" s="1"/>
  <c r="BW71" s="1"/>
  <c r="I53"/>
  <c r="BQ53"/>
  <c r="BS53" s="1"/>
  <c r="BW53" s="1"/>
  <c r="Q53"/>
  <c r="J53"/>
  <c r="Q45"/>
  <c r="BQ45"/>
  <c r="BS45" s="1"/>
  <c r="BW45" s="1"/>
  <c r="J45"/>
  <c r="I45"/>
  <c r="BT13" i="25"/>
  <c r="BT16" s="1"/>
  <c r="BN13"/>
  <c r="I13"/>
  <c r="H13"/>
  <c r="T53" i="43"/>
  <c r="X53" s="1"/>
  <c r="V53"/>
  <c r="S53"/>
  <c r="W53" s="1"/>
  <c r="H50" i="44"/>
  <c r="H65" s="1"/>
  <c r="U50"/>
  <c r="Y50" s="1"/>
  <c r="Q79"/>
  <c r="J79"/>
  <c r="BQ79"/>
  <c r="BS79" s="1"/>
  <c r="BW79" s="1"/>
  <c r="I79"/>
  <c r="J58"/>
  <c r="I58"/>
  <c r="Q58"/>
  <c r="BQ58"/>
  <c r="BS58" s="1"/>
  <c r="BW58" s="1"/>
  <c r="J48"/>
  <c r="I48"/>
  <c r="Q48"/>
  <c r="BQ48"/>
  <c r="BS48" s="1"/>
  <c r="BW48" s="1"/>
  <c r="I99" i="45"/>
  <c r="H99"/>
  <c r="BP99"/>
  <c r="BR99" s="1"/>
  <c r="BV99" s="1"/>
  <c r="X28" i="41"/>
  <c r="W28"/>
  <c r="H44"/>
  <c r="G44"/>
  <c r="O35"/>
  <c r="H35"/>
  <c r="BM35"/>
  <c r="BQ35" s="1"/>
  <c r="BU35" s="1"/>
  <c r="G35"/>
  <c r="X44"/>
  <c r="X45" s="1"/>
  <c r="BO22"/>
  <c r="V44"/>
  <c r="V45" s="1"/>
  <c r="BM44"/>
  <c r="BQ44" s="1"/>
  <c r="BU44" s="1"/>
  <c r="BQ43"/>
  <c r="BU43" s="1"/>
  <c r="BQ39"/>
  <c r="BO45"/>
  <c r="F23"/>
  <c r="F37" s="1"/>
  <c r="O24"/>
  <c r="H24"/>
  <c r="G24"/>
  <c r="G41"/>
  <c r="G45" s="1"/>
  <c r="H41"/>
  <c r="H45" s="1"/>
  <c r="J30" i="43"/>
  <c r="I30"/>
  <c r="BQ30"/>
  <c r="BS30" s="1"/>
  <c r="BW30" s="1"/>
  <c r="F13" i="41"/>
  <c r="T13"/>
  <c r="T20" s="1"/>
  <c r="Q13"/>
  <c r="Q20" s="1"/>
  <c r="Q46" s="1"/>
  <c r="S13"/>
  <c r="S20" s="1"/>
  <c r="R13"/>
  <c r="R20" s="1"/>
  <c r="E20"/>
  <c r="BP11" i="43"/>
  <c r="X89" i="44"/>
  <c r="X90" s="1"/>
  <c r="T90"/>
  <c r="V90"/>
  <c r="Z89"/>
  <c r="Z90" s="1"/>
  <c r="Y89"/>
  <c r="Y90" s="1"/>
  <c r="U90"/>
  <c r="J89"/>
  <c r="BQ89"/>
  <c r="BS89" s="1"/>
  <c r="BW89" s="1"/>
  <c r="I89"/>
  <c r="Q89"/>
  <c r="I78"/>
  <c r="Q78"/>
  <c r="J78"/>
  <c r="BQ78"/>
  <c r="BS78" s="1"/>
  <c r="BW78" s="1"/>
  <c r="I77"/>
  <c r="Q77"/>
  <c r="BQ77"/>
  <c r="BS77" s="1"/>
  <c r="BW77" s="1"/>
  <c r="J77"/>
  <c r="Q70"/>
  <c r="J70"/>
  <c r="I70"/>
  <c r="BQ70"/>
  <c r="BS70" s="1"/>
  <c r="BW70" s="1"/>
  <c r="Q69"/>
  <c r="J69"/>
  <c r="BQ69"/>
  <c r="BS69" s="1"/>
  <c r="BW69" s="1"/>
  <c r="I69"/>
  <c r="J59"/>
  <c r="BQ59"/>
  <c r="BS59" s="1"/>
  <c r="BW59" s="1"/>
  <c r="Q59"/>
  <c r="I59"/>
  <c r="Q52"/>
  <c r="I52"/>
  <c r="BQ52"/>
  <c r="BS52" s="1"/>
  <c r="BW52" s="1"/>
  <c r="J52"/>
  <c r="J46"/>
  <c r="BQ46"/>
  <c r="BS46" s="1"/>
  <c r="BW46" s="1"/>
  <c r="Q46"/>
  <c r="I46"/>
  <c r="X16" i="45"/>
  <c r="V13"/>
  <c r="V16" s="1"/>
  <c r="R16"/>
  <c r="T16"/>
  <c r="BO13"/>
  <c r="BR13" s="1"/>
  <c r="BV13" s="1"/>
  <c r="I13"/>
  <c r="H13"/>
  <c r="H12"/>
  <c r="G16"/>
  <c r="I12"/>
  <c r="BO12"/>
  <c r="Y12"/>
  <c r="Y16" s="1"/>
  <c r="U16"/>
  <c r="S16"/>
  <c r="W12"/>
  <c r="W16" s="1"/>
  <c r="BJ32" i="46"/>
  <c r="BN28"/>
  <c r="V28"/>
  <c r="V32" s="1"/>
  <c r="R32"/>
  <c r="H100" i="45"/>
  <c r="BP100"/>
  <c r="BR100" s="1"/>
  <c r="BV100" s="1"/>
  <c r="I100"/>
  <c r="BO48" i="47"/>
  <c r="BK49"/>
  <c r="BR10"/>
  <c r="BV10" s="1"/>
  <c r="BQ53" i="43"/>
  <c r="Y53"/>
  <c r="Y57" s="1"/>
  <c r="U57"/>
  <c r="I44" i="44"/>
  <c r="I39"/>
  <c r="J39"/>
  <c r="Q39"/>
  <c r="BQ39"/>
  <c r="BS39" s="1"/>
  <c r="BW39" s="1"/>
  <c r="W20"/>
  <c r="W34" s="1"/>
  <c r="W91" s="1"/>
  <c r="X20"/>
  <c r="X34" s="1"/>
  <c r="Y20"/>
  <c r="Y34" s="1"/>
  <c r="BV46" i="47"/>
  <c r="H43"/>
  <c r="I43"/>
  <c r="K48" i="42"/>
  <c r="K52" s="1"/>
  <c r="K53" s="1"/>
  <c r="G21" i="20" s="1"/>
  <c r="W48" i="42"/>
  <c r="T52"/>
  <c r="X48"/>
  <c r="X52" s="1"/>
  <c r="U52"/>
  <c r="Y48"/>
  <c r="Y52" s="1"/>
  <c r="V52"/>
  <c r="Z48"/>
  <c r="Z52" s="1"/>
  <c r="Q34" i="43"/>
  <c r="I34"/>
  <c r="BQ34"/>
  <c r="BS34" s="1"/>
  <c r="BW34" s="1"/>
  <c r="J34"/>
  <c r="Y22"/>
  <c r="Y35" s="1"/>
  <c r="U35"/>
  <c r="Z22"/>
  <c r="Z35" s="1"/>
  <c r="V35"/>
  <c r="S35"/>
  <c r="W22"/>
  <c r="W35" s="1"/>
  <c r="T35"/>
  <c r="X22"/>
  <c r="X35" s="1"/>
  <c r="BQ22"/>
  <c r="I22"/>
  <c r="Q22"/>
  <c r="H35"/>
  <c r="J22"/>
  <c r="X11"/>
  <c r="X13" s="1"/>
  <c r="T13"/>
  <c r="G62"/>
  <c r="V13"/>
  <c r="Z11"/>
  <c r="Z13" s="1"/>
  <c r="W11"/>
  <c r="W13" s="1"/>
  <c r="S13"/>
  <c r="H90" i="44"/>
  <c r="BO90" s="1"/>
  <c r="I87"/>
  <c r="Q87"/>
  <c r="J87"/>
  <c r="I60"/>
  <c r="Q60"/>
  <c r="BQ60"/>
  <c r="BS60" s="1"/>
  <c r="BW60" s="1"/>
  <c r="J60"/>
  <c r="J44"/>
  <c r="BQ44"/>
  <c r="BS44" s="1"/>
  <c r="BW44" s="1"/>
  <c r="Y43"/>
  <c r="I98" i="45"/>
  <c r="H98"/>
  <c r="BP98"/>
  <c r="BR98" s="1"/>
  <c r="BV98" s="1"/>
  <c r="I95"/>
  <c r="BP95"/>
  <c r="BR95" s="1"/>
  <c r="BV95" s="1"/>
  <c r="H95"/>
  <c r="BP92"/>
  <c r="BR92" s="1"/>
  <c r="BV92" s="1"/>
  <c r="M92"/>
  <c r="BP91"/>
  <c r="BR91" s="1"/>
  <c r="BV91" s="1"/>
  <c r="M91"/>
  <c r="M90"/>
  <c r="BP90"/>
  <c r="BR90" s="1"/>
  <c r="BV90" s="1"/>
  <c r="X90"/>
  <c r="T102"/>
  <c r="R102"/>
  <c r="S102"/>
  <c r="BP87"/>
  <c r="BR87" s="1"/>
  <c r="BV87" s="1"/>
  <c r="M87"/>
  <c r="G102"/>
  <c r="BP83"/>
  <c r="BR83" s="1"/>
  <c r="BV83" s="1"/>
  <c r="M83"/>
  <c r="BP81"/>
  <c r="BR81" s="1"/>
  <c r="BV81" s="1"/>
  <c r="M81"/>
  <c r="BR79"/>
  <c r="M70"/>
  <c r="BN70"/>
  <c r="BR70" s="1"/>
  <c r="BV70" s="1"/>
  <c r="M58"/>
  <c r="BN58"/>
  <c r="BR58" s="1"/>
  <c r="BV58" s="1"/>
  <c r="R77"/>
  <c r="V54"/>
  <c r="M54"/>
  <c r="G77"/>
  <c r="BN54"/>
  <c r="T77"/>
  <c r="X54"/>
  <c r="S77"/>
  <c r="W54"/>
  <c r="U77"/>
  <c r="Y54"/>
  <c r="F103"/>
  <c r="F104" s="1"/>
  <c r="BN44"/>
  <c r="BR44" s="1"/>
  <c r="BV44" s="1"/>
  <c r="M44"/>
  <c r="BJ103"/>
  <c r="BJ104" s="1"/>
  <c r="U52"/>
  <c r="Y41"/>
  <c r="Y52" s="1"/>
  <c r="W41"/>
  <c r="W52" s="1"/>
  <c r="S52"/>
  <c r="R52"/>
  <c r="V41"/>
  <c r="V52" s="1"/>
  <c r="M41"/>
  <c r="BN41"/>
  <c r="G52"/>
  <c r="X41"/>
  <c r="X52" s="1"/>
  <c r="T52"/>
  <c r="R34"/>
  <c r="U34"/>
  <c r="BR24"/>
  <c r="R21"/>
  <c r="V20"/>
  <c r="V21" s="1"/>
  <c r="U21"/>
  <c r="Y20"/>
  <c r="Y21" s="1"/>
  <c r="X20"/>
  <c r="X21" s="1"/>
  <c r="T21"/>
  <c r="S21"/>
  <c r="W20"/>
  <c r="W21" s="1"/>
  <c r="Y42" i="47"/>
  <c r="X42"/>
  <c r="V42"/>
  <c r="W42"/>
  <c r="Y24"/>
  <c r="U25"/>
  <c r="V24"/>
  <c r="V25" s="1"/>
  <c r="R25"/>
  <c r="S25"/>
  <c r="W24"/>
  <c r="W25" s="1"/>
  <c r="BV24"/>
  <c r="X24"/>
  <c r="X25" s="1"/>
  <c r="T25"/>
  <c r="H24"/>
  <c r="I24"/>
  <c r="J44" i="43"/>
  <c r="Q44"/>
  <c r="Q57" s="1"/>
  <c r="W44"/>
  <c r="BO44"/>
  <c r="I44"/>
  <c r="H57"/>
  <c r="X44"/>
  <c r="I82" i="44"/>
  <c r="J82"/>
  <c r="Q82"/>
  <c r="BQ82"/>
  <c r="BS82" s="1"/>
  <c r="BW82" s="1"/>
  <c r="Y74"/>
  <c r="Y83" s="1"/>
  <c r="U83"/>
  <c r="J74"/>
  <c r="BQ74"/>
  <c r="BS74" s="1"/>
  <c r="BW74" s="1"/>
  <c r="I74"/>
  <c r="Q74"/>
  <c r="J72"/>
  <c r="I72"/>
  <c r="BQ72"/>
  <c r="H83"/>
  <c r="Q72"/>
  <c r="X72"/>
  <c r="X83" s="1"/>
  <c r="T83"/>
  <c r="S83"/>
  <c r="S91" s="1"/>
  <c r="S93" s="1"/>
  <c r="W72"/>
  <c r="W83" s="1"/>
  <c r="T65"/>
  <c r="X47"/>
  <c r="X65" s="1"/>
  <c r="J47"/>
  <c r="Q47"/>
  <c r="I47"/>
  <c r="BQ47"/>
  <c r="W47"/>
  <c r="W65" s="1"/>
  <c r="S65"/>
  <c r="S41"/>
  <c r="W40"/>
  <c r="W41" s="1"/>
  <c r="U41"/>
  <c r="Y40"/>
  <c r="Y41" s="1"/>
  <c r="H41"/>
  <c r="BQ40"/>
  <c r="Q40"/>
  <c r="J40"/>
  <c r="I40"/>
  <c r="X40"/>
  <c r="X41" s="1"/>
  <c r="T41"/>
  <c r="I28" i="45"/>
  <c r="I34" s="1"/>
  <c r="H28"/>
  <c r="H34" s="1"/>
  <c r="G34"/>
  <c r="G64" i="46"/>
  <c r="G65" s="1"/>
  <c r="F65"/>
  <c r="H64"/>
  <c r="H65" s="1"/>
  <c r="W64"/>
  <c r="W65" s="1"/>
  <c r="S65"/>
  <c r="Q65"/>
  <c r="U64"/>
  <c r="U65" s="1"/>
  <c r="X64"/>
  <c r="X65" s="1"/>
  <c r="T65"/>
  <c r="V64"/>
  <c r="V65" s="1"/>
  <c r="R65"/>
  <c r="BQ64"/>
  <c r="BN65"/>
  <c r="H19" i="41" l="1"/>
  <c r="G19"/>
  <c r="O19"/>
  <c r="W93" i="44"/>
  <c r="X91"/>
  <c r="X93" s="1"/>
  <c r="AB18" i="39"/>
  <c r="J53" i="43"/>
  <c r="AH18" i="39"/>
  <c r="X37" i="41"/>
  <c r="I12" i="25"/>
  <c r="I16" s="1"/>
  <c r="G16"/>
  <c r="Y12"/>
  <c r="Y16" s="1"/>
  <c r="I34" i="44"/>
  <c r="G37" i="41"/>
  <c r="T35" i="26"/>
  <c r="BR12" i="25"/>
  <c r="BN16"/>
  <c r="BL93" i="44"/>
  <c r="N16"/>
  <c r="N93" s="1"/>
  <c r="N13"/>
  <c r="K42" i="24"/>
  <c r="J48"/>
  <c r="J89" s="1"/>
  <c r="G26" i="20" s="1"/>
  <c r="G29" s="1"/>
  <c r="F50" i="41"/>
  <c r="BQ13" i="44"/>
  <c r="BQ16" s="1"/>
  <c r="BS12"/>
  <c r="W52" i="42"/>
  <c r="T91" i="44"/>
  <c r="T93" s="1"/>
  <c r="T53" i="46"/>
  <c r="H16" i="39"/>
  <c r="K20" i="41"/>
  <c r="K46" s="1"/>
  <c r="Z16" i="44"/>
  <c r="Z13"/>
  <c r="S46" i="41"/>
  <c r="X20"/>
  <c r="X46" s="1"/>
  <c r="I49" i="47"/>
  <c r="H48" i="25"/>
  <c r="T46" i="41"/>
  <c r="W37"/>
  <c r="R46"/>
  <c r="AI31" i="39"/>
  <c r="AP27"/>
  <c r="AA57" i="25"/>
  <c r="R23" i="39"/>
  <c r="H18" i="41"/>
  <c r="F20"/>
  <c r="F46" s="1"/>
  <c r="AH23" i="39"/>
  <c r="V23"/>
  <c r="AD23"/>
  <c r="AL22"/>
  <c r="AL23" s="1"/>
  <c r="M29" i="44"/>
  <c r="H34"/>
  <c r="H91" s="1"/>
  <c r="J16" i="20"/>
  <c r="AN18" i="39"/>
  <c r="AK31"/>
  <c r="G19" i="47"/>
  <c r="H19" s="1"/>
  <c r="BU25" i="46"/>
  <c r="X53"/>
  <c r="S53"/>
  <c r="S66" s="1"/>
  <c r="BJ25"/>
  <c r="AJ18" i="39"/>
  <c r="G25" i="47"/>
  <c r="H23" i="39"/>
  <c r="R18"/>
  <c r="Y15" i="42"/>
  <c r="S44" i="47"/>
  <c r="R44"/>
  <c r="G25" i="46"/>
  <c r="U53"/>
  <c r="BN25"/>
  <c r="F89" i="24"/>
  <c r="Y39" i="42"/>
  <c r="H25" i="46"/>
  <c r="W53"/>
  <c r="BS30" i="26"/>
  <c r="BW30" s="1"/>
  <c r="BQ34"/>
  <c r="AF18" i="39"/>
  <c r="G91" i="44"/>
  <c r="G93" s="1"/>
  <c r="V18" i="39"/>
  <c r="Z23"/>
  <c r="X23"/>
  <c r="T23"/>
  <c r="L23"/>
  <c r="Q90" i="44"/>
  <c r="Q91" s="1"/>
  <c r="Q93" s="1"/>
  <c r="M46" i="42"/>
  <c r="M53" s="1"/>
  <c r="I21" i="20" s="1"/>
  <c r="Z46" i="42"/>
  <c r="AN23" i="39"/>
  <c r="O18" i="41"/>
  <c r="G18"/>
  <c r="G20" s="1"/>
  <c r="G46" s="1"/>
  <c r="P23" i="39"/>
  <c r="AB23"/>
  <c r="BJ46" i="41"/>
  <c r="K62" i="43"/>
  <c r="G17" i="20" s="1"/>
  <c r="N23" i="39"/>
  <c r="BS41" i="42"/>
  <c r="BW41" s="1"/>
  <c r="BW46" s="1"/>
  <c r="BU36" i="25"/>
  <c r="BS48"/>
  <c r="BS56" s="1"/>
  <c r="J61" i="43"/>
  <c r="P18" i="39"/>
  <c r="Z18"/>
  <c r="L18"/>
  <c r="F23"/>
  <c r="W39" i="42"/>
  <c r="M62" i="43"/>
  <c r="I17" i="20" s="1"/>
  <c r="BS15" i="42"/>
  <c r="BW15"/>
  <c r="J18" i="39"/>
  <c r="H18"/>
  <c r="BU34" i="44"/>
  <c r="BU91" s="1"/>
  <c r="BU93" s="1"/>
  <c r="N18" i="39"/>
  <c r="J20" i="44"/>
  <c r="J34" s="1"/>
  <c r="AP16" i="39"/>
  <c r="M25" i="44"/>
  <c r="AO23" i="39"/>
  <c r="BS21" i="42"/>
  <c r="BO28"/>
  <c r="L77" i="45"/>
  <c r="L103" s="1"/>
  <c r="L104" s="1"/>
  <c r="I15" i="20" s="1"/>
  <c r="BS20" i="44"/>
  <c r="J90"/>
  <c r="X18" i="39"/>
  <c r="X102" i="45"/>
  <c r="Y34"/>
  <c r="V34"/>
  <c r="W34"/>
  <c r="X77"/>
  <c r="X34"/>
  <c r="M34"/>
  <c r="BN34"/>
  <c r="W102"/>
  <c r="BL53" i="42"/>
  <c r="AP21" i="39"/>
  <c r="AJ23"/>
  <c r="X57" i="43"/>
  <c r="AD18" i="39"/>
  <c r="AP17"/>
  <c r="AL18"/>
  <c r="J77" i="45"/>
  <c r="J103" s="1"/>
  <c r="J104" s="1"/>
  <c r="G15" i="20" s="1"/>
  <c r="G18" s="1"/>
  <c r="V102" i="45"/>
  <c r="I19" i="24"/>
  <c r="I25" s="1"/>
  <c r="G25"/>
  <c r="BP25" s="1"/>
  <c r="BR25" s="1"/>
  <c r="BV25" s="1"/>
  <c r="H19"/>
  <c r="H25" s="1"/>
  <c r="Z17" i="42"/>
  <c r="Z19" s="1"/>
  <c r="Z53" s="1"/>
  <c r="V19"/>
  <c r="V53" s="1"/>
  <c r="H50" i="46"/>
  <c r="G50"/>
  <c r="BP30" i="47"/>
  <c r="BK32"/>
  <c r="R53" i="46"/>
  <c r="R66" s="1"/>
  <c r="I48" i="24"/>
  <c r="I46"/>
  <c r="H46"/>
  <c r="H48" s="1"/>
  <c r="R30" i="47"/>
  <c r="S30"/>
  <c r="G30"/>
  <c r="U30"/>
  <c r="T30"/>
  <c r="F32"/>
  <c r="W19" i="24"/>
  <c r="W25" s="1"/>
  <c r="S25"/>
  <c r="O17" i="42"/>
  <c r="O19" s="1"/>
  <c r="O53" s="1"/>
  <c r="K21" i="20" s="1"/>
  <c r="BO17" i="42"/>
  <c r="H19"/>
  <c r="H53" s="1"/>
  <c r="E14" i="50" s="1"/>
  <c r="F14" s="1"/>
  <c r="BW25" i="44"/>
  <c r="BV34"/>
  <c r="BV91" s="1"/>
  <c r="BV93" s="1"/>
  <c r="T57" i="43"/>
  <c r="T62" s="1"/>
  <c r="V53" i="46"/>
  <c r="V66" s="1"/>
  <c r="I79" i="24"/>
  <c r="W17" i="42"/>
  <c r="W19" s="1"/>
  <c r="S19"/>
  <c r="S53" s="1"/>
  <c r="BQ52"/>
  <c r="BQ53" s="1"/>
  <c r="BS48"/>
  <c r="BN56" i="46"/>
  <c r="BQ55"/>
  <c r="Y65" i="44"/>
  <c r="Y91" s="1"/>
  <c r="Y93" s="1"/>
  <c r="H33" i="24"/>
  <c r="I30" i="25"/>
  <c r="U53" i="42"/>
  <c r="Y17"/>
  <c r="Y19" s="1"/>
  <c r="U19"/>
  <c r="W55" i="46"/>
  <c r="W56" s="1"/>
  <c r="X55"/>
  <c r="X56" s="1"/>
  <c r="G55"/>
  <c r="G56" s="1"/>
  <c r="U55"/>
  <c r="U56" s="1"/>
  <c r="U66" s="1"/>
  <c r="H55"/>
  <c r="H56" s="1"/>
  <c r="F56"/>
  <c r="BO31" i="47"/>
  <c r="H31"/>
  <c r="I31"/>
  <c r="X17" i="42"/>
  <c r="X19" s="1"/>
  <c r="X53" s="1"/>
  <c r="T19"/>
  <c r="T53" s="1"/>
  <c r="T54" i="25"/>
  <c r="S54"/>
  <c r="R54"/>
  <c r="U54"/>
  <c r="G54"/>
  <c r="F55"/>
  <c r="F56" s="1"/>
  <c r="J50" i="42"/>
  <c r="J52" s="1"/>
  <c r="J53" s="1"/>
  <c r="F21" i="20" s="1"/>
  <c r="Q50" i="42"/>
  <c r="Q52" s="1"/>
  <c r="Q53" s="1"/>
  <c r="M21" i="20" s="1"/>
  <c r="I50" i="42"/>
  <c r="I52" s="1"/>
  <c r="I53" s="1"/>
  <c r="E21" i="20" s="1"/>
  <c r="BL13" i="43"/>
  <c r="BL62" s="1"/>
  <c r="BJ15" i="47"/>
  <c r="BJ50" s="1"/>
  <c r="J41" i="44"/>
  <c r="Q41"/>
  <c r="D28" i="39"/>
  <c r="AR28" s="1"/>
  <c r="E20" i="50"/>
  <c r="F20" s="1"/>
  <c r="E12" i="39"/>
  <c r="AO10"/>
  <c r="AO12" s="1"/>
  <c r="BQ42" i="43"/>
  <c r="BQ16" i="46"/>
  <c r="BO17"/>
  <c r="BO66" s="1"/>
  <c r="BR21" i="47"/>
  <c r="BO25"/>
  <c r="H79" i="24"/>
  <c r="BM37" i="41"/>
  <c r="Y44" i="47"/>
  <c r="G52" i="46"/>
  <c r="H52"/>
  <c r="H53" s="1"/>
  <c r="H66" s="1"/>
  <c r="F11" i="20" s="1"/>
  <c r="W46" i="47"/>
  <c r="W49" s="1"/>
  <c r="S49"/>
  <c r="Y21"/>
  <c r="Y25" s="1"/>
  <c r="I21"/>
  <c r="H21"/>
  <c r="J12" i="43"/>
  <c r="J13" s="1"/>
  <c r="BP12"/>
  <c r="BS12" s="1"/>
  <c r="BW12" s="1"/>
  <c r="I12"/>
  <c r="I13" s="1"/>
  <c r="I14" i="26"/>
  <c r="I35" s="1"/>
  <c r="E28" i="20" s="1"/>
  <c r="R13" i="47"/>
  <c r="T13"/>
  <c r="U13"/>
  <c r="G13"/>
  <c r="S13"/>
  <c r="F15"/>
  <c r="BS79" i="24"/>
  <c r="Y77" i="45"/>
  <c r="BM45" i="41"/>
  <c r="X44" i="47"/>
  <c r="H30" i="25"/>
  <c r="G53" i="46"/>
  <c r="BK14" i="47"/>
  <c r="AA15"/>
  <c r="BW13" i="26"/>
  <c r="BW14" s="1"/>
  <c r="BS14"/>
  <c r="U49" i="47"/>
  <c r="Y46"/>
  <c r="Y49" s="1"/>
  <c r="BU53" i="25"/>
  <c r="J14" i="26"/>
  <c r="J35" s="1"/>
  <c r="F28" i="20" s="1"/>
  <c r="BW37" i="43"/>
  <c r="BW42" s="1"/>
  <c r="BS42"/>
  <c r="W57"/>
  <c r="O13" i="41"/>
  <c r="G13"/>
  <c r="W44" i="47"/>
  <c r="Q53" i="46"/>
  <c r="Q66" s="1"/>
  <c r="H21" i="45"/>
  <c r="BS18" i="26"/>
  <c r="BW16"/>
  <c r="BW18" s="1"/>
  <c r="S14" i="47"/>
  <c r="W14" s="1"/>
  <c r="T14"/>
  <c r="X14" s="1"/>
  <c r="R14"/>
  <c r="V14" s="1"/>
  <c r="U14"/>
  <c r="Y14" s="1"/>
  <c r="G14"/>
  <c r="U35" i="26"/>
  <c r="BQ38" i="46"/>
  <c r="BN42"/>
  <c r="BU19" i="25"/>
  <c r="BT30"/>
  <c r="BQ18" i="41"/>
  <c r="BU18" s="1"/>
  <c r="BO20"/>
  <c r="H34" i="47"/>
  <c r="I34"/>
  <c r="U62" i="43"/>
  <c r="V44" i="47"/>
  <c r="BU59" i="46"/>
  <c r="BU62" s="1"/>
  <c r="BQ62"/>
  <c r="F53"/>
  <c r="F66" s="1"/>
  <c r="D11" i="39" s="1"/>
  <c r="I21" i="45"/>
  <c r="X66" i="46"/>
  <c r="AO18" i="39"/>
  <c r="T66" i="46"/>
  <c r="W66"/>
  <c r="BU12"/>
  <c r="BU15" s="1"/>
  <c r="BQ15"/>
  <c r="BR24" i="25"/>
  <c r="BP30"/>
  <c r="BP56" s="1"/>
  <c r="W16" i="43"/>
  <c r="W20" s="1"/>
  <c r="X16"/>
  <c r="X20" s="1"/>
  <c r="Q16"/>
  <c r="Q20" s="1"/>
  <c r="Z16"/>
  <c r="Z20" s="1"/>
  <c r="H20"/>
  <c r="H62" s="1"/>
  <c r="Y16"/>
  <c r="Y20" s="1"/>
  <c r="Y62" s="1"/>
  <c r="BQ16"/>
  <c r="J16"/>
  <c r="J20" s="1"/>
  <c r="BR38" i="47"/>
  <c r="W77" i="45"/>
  <c r="V77"/>
  <c r="AP15" i="39"/>
  <c r="H102" i="45"/>
  <c r="H103" s="1"/>
  <c r="BK103"/>
  <c r="BK104" s="1"/>
  <c r="M36"/>
  <c r="M39" s="1"/>
  <c r="V36"/>
  <c r="V39" s="1"/>
  <c r="W36"/>
  <c r="W39" s="1"/>
  <c r="G39"/>
  <c r="G103" s="1"/>
  <c r="G104" s="1"/>
  <c r="X36"/>
  <c r="X39" s="1"/>
  <c r="BN36"/>
  <c r="Y36"/>
  <c r="Y39" s="1"/>
  <c r="BJ47" i="46"/>
  <c r="AX53"/>
  <c r="BU88" i="24"/>
  <c r="BV84"/>
  <c r="BV88" s="1"/>
  <c r="M77" i="45"/>
  <c r="H16"/>
  <c r="BR13" i="25"/>
  <c r="BN56"/>
  <c r="BU13"/>
  <c r="BU16" s="1"/>
  <c r="J57" i="43"/>
  <c r="S57"/>
  <c r="S62" s="1"/>
  <c r="Z53"/>
  <c r="Z57" s="1"/>
  <c r="V57"/>
  <c r="V62" s="1"/>
  <c r="I57"/>
  <c r="U65" i="44"/>
  <c r="U91" s="1"/>
  <c r="U93" s="1"/>
  <c r="BQ50"/>
  <c r="BS50" s="1"/>
  <c r="BW50" s="1"/>
  <c r="I50"/>
  <c r="I65" s="1"/>
  <c r="Q50"/>
  <c r="Q65" s="1"/>
  <c r="J50"/>
  <c r="J65" s="1"/>
  <c r="E46" i="41"/>
  <c r="H23"/>
  <c r="H37" s="1"/>
  <c r="G23"/>
  <c r="O23"/>
  <c r="O37" s="1"/>
  <c r="BU39"/>
  <c r="BU45" s="1"/>
  <c r="BQ45"/>
  <c r="BQ22"/>
  <c r="BO37"/>
  <c r="I35" i="43"/>
  <c r="K13" i="41"/>
  <c r="H13"/>
  <c r="M13"/>
  <c r="J13"/>
  <c r="J20" s="1"/>
  <c r="J46" s="1"/>
  <c r="I13"/>
  <c r="L13"/>
  <c r="P13"/>
  <c r="N13"/>
  <c r="BM13"/>
  <c r="V13"/>
  <c r="V20" s="1"/>
  <c r="V46" s="1"/>
  <c r="W13"/>
  <c r="W20" s="1"/>
  <c r="W46" s="1"/>
  <c r="U13"/>
  <c r="U20" s="1"/>
  <c r="U46" s="1"/>
  <c r="X13"/>
  <c r="BS11" i="43"/>
  <c r="I90" i="44"/>
  <c r="I83"/>
  <c r="Q83"/>
  <c r="I16" i="45"/>
  <c r="BO16"/>
  <c r="BO104" s="1"/>
  <c r="BR12"/>
  <c r="BQ28" i="46"/>
  <c r="BN32"/>
  <c r="BN66" s="1"/>
  <c r="BR48" i="47"/>
  <c r="BO49"/>
  <c r="BS53" i="43"/>
  <c r="BW53" s="1"/>
  <c r="BQ57"/>
  <c r="I41" i="44"/>
  <c r="Z20"/>
  <c r="Z34" s="1"/>
  <c r="Z91" s="1"/>
  <c r="Z93" s="1"/>
  <c r="J35" i="43"/>
  <c r="Q35"/>
  <c r="BS22"/>
  <c r="BQ35"/>
  <c r="BO91" i="44"/>
  <c r="BO93" s="1"/>
  <c r="BS90"/>
  <c r="BW90" s="1"/>
  <c r="I102" i="45"/>
  <c r="I103" s="1"/>
  <c r="M102"/>
  <c r="BP102"/>
  <c r="BP103" s="1"/>
  <c r="BP104" s="1"/>
  <c r="BV79"/>
  <c r="BV102" s="1"/>
  <c r="BR102"/>
  <c r="BR54"/>
  <c r="BN77"/>
  <c r="T103"/>
  <c r="T104" s="1"/>
  <c r="S103"/>
  <c r="S104" s="1"/>
  <c r="M52"/>
  <c r="U103"/>
  <c r="U104" s="1"/>
  <c r="BR41"/>
  <c r="BN52"/>
  <c r="R103"/>
  <c r="R104" s="1"/>
  <c r="BV24"/>
  <c r="BV34" s="1"/>
  <c r="BR34"/>
  <c r="AA42" i="47"/>
  <c r="AA44" s="1"/>
  <c r="BS44" i="43"/>
  <c r="BO57"/>
  <c r="BO62" s="1"/>
  <c r="J83" i="44"/>
  <c r="BS72"/>
  <c r="BQ83"/>
  <c r="BS47"/>
  <c r="BS40"/>
  <c r="BQ41"/>
  <c r="BU64" i="46"/>
  <c r="BU65" s="1"/>
  <c r="BQ65"/>
  <c r="I89" i="24" l="1"/>
  <c r="F26" i="20" s="1"/>
  <c r="F52" i="41"/>
  <c r="H89" i="24"/>
  <c r="E26" i="20" s="1"/>
  <c r="Y53" i="42"/>
  <c r="J91" i="44"/>
  <c r="J93" s="1"/>
  <c r="F16" i="20" s="1"/>
  <c r="M20" i="41"/>
  <c r="M46" s="1"/>
  <c r="K22" i="20" s="1"/>
  <c r="K23" s="1"/>
  <c r="I20" i="41"/>
  <c r="I46" s="1"/>
  <c r="G22" i="20" s="1"/>
  <c r="G23" s="1"/>
  <c r="G30" s="1"/>
  <c r="E31" i="50" s="1"/>
  <c r="F31" s="1"/>
  <c r="O20" i="41"/>
  <c r="O46" s="1"/>
  <c r="M22" i="20" s="1"/>
  <c r="M23" s="1"/>
  <c r="I22"/>
  <c r="M34" i="44"/>
  <c r="M91" s="1"/>
  <c r="M93" s="1"/>
  <c r="I16" i="20" s="1"/>
  <c r="I18" s="1"/>
  <c r="L20" i="41"/>
  <c r="L46" s="1"/>
  <c r="J22" i="20" s="1"/>
  <c r="J23" s="1"/>
  <c r="BS13" i="44"/>
  <c r="BW12"/>
  <c r="H25" i="47"/>
  <c r="BV12" i="25"/>
  <c r="BR16"/>
  <c r="I91" i="44"/>
  <c r="I93" s="1"/>
  <c r="P20" i="41"/>
  <c r="P46" s="1"/>
  <c r="N22" i="20" s="1"/>
  <c r="N23" s="1"/>
  <c r="H22"/>
  <c r="H23" s="1"/>
  <c r="F50" i="47"/>
  <c r="O28" i="20"/>
  <c r="D28" s="1"/>
  <c r="H20" i="41"/>
  <c r="H46" s="1"/>
  <c r="N20"/>
  <c r="N46" s="1"/>
  <c r="L22" i="20" s="1"/>
  <c r="L23" s="1"/>
  <c r="L42" i="24"/>
  <c r="K48"/>
  <c r="K89" s="1"/>
  <c r="H26" i="20" s="1"/>
  <c r="H29" s="1"/>
  <c r="AP22" i="39"/>
  <c r="AP23" s="1"/>
  <c r="F49" i="41"/>
  <c r="AN31" i="39"/>
  <c r="C20" i="48" s="1"/>
  <c r="D20" s="1"/>
  <c r="AJ31" i="39"/>
  <c r="C18" i="48" s="1"/>
  <c r="D18" s="1"/>
  <c r="I19" i="47"/>
  <c r="I25" s="1"/>
  <c r="G66" i="46"/>
  <c r="H68" s="1"/>
  <c r="BQ35" i="26"/>
  <c r="BS34"/>
  <c r="BW34" s="1"/>
  <c r="BS35"/>
  <c r="E22" i="20"/>
  <c r="BS46" i="42"/>
  <c r="AL31" i="39"/>
  <c r="C19" i="48" s="1"/>
  <c r="D19" s="1"/>
  <c r="W53" i="42"/>
  <c r="BV36" i="25"/>
  <c r="BV48" s="1"/>
  <c r="BU48"/>
  <c r="X62" i="43"/>
  <c r="I23" i="20"/>
  <c r="BW21" i="42"/>
  <c r="BW28" s="1"/>
  <c r="BS28"/>
  <c r="O21" i="20"/>
  <c r="D21" s="1"/>
  <c r="BW20" i="44"/>
  <c r="BW34" s="1"/>
  <c r="BS34"/>
  <c r="X103" i="45"/>
  <c r="X104" s="1"/>
  <c r="D21" i="39"/>
  <c r="AR21" s="1"/>
  <c r="BL56" i="42"/>
  <c r="AP18" i="39"/>
  <c r="Y103" i="45"/>
  <c r="Y104" s="1"/>
  <c r="G108"/>
  <c r="BS13" i="43"/>
  <c r="BP89" i="24"/>
  <c r="V54" i="25"/>
  <c r="V55" s="1"/>
  <c r="V56" s="1"/>
  <c r="R55"/>
  <c r="R56" s="1"/>
  <c r="Y54"/>
  <c r="Y55" s="1"/>
  <c r="Y56" s="1"/>
  <c r="U55"/>
  <c r="U56" s="1"/>
  <c r="BW48" i="42"/>
  <c r="BW52" s="1"/>
  <c r="BS52"/>
  <c r="V30" i="47"/>
  <c r="V32" s="1"/>
  <c r="R32"/>
  <c r="BW35" i="26"/>
  <c r="G89" i="24"/>
  <c r="D26" i="39" s="1"/>
  <c r="W54" i="25"/>
  <c r="W55" s="1"/>
  <c r="W56" s="1"/>
  <c r="S55"/>
  <c r="S56" s="1"/>
  <c r="BO32" i="47"/>
  <c r="BR31"/>
  <c r="BV31" s="1"/>
  <c r="X30"/>
  <c r="X32" s="1"/>
  <c r="T32"/>
  <c r="BR30"/>
  <c r="BP32"/>
  <c r="BP50" s="1"/>
  <c r="X54" i="25"/>
  <c r="X55" s="1"/>
  <c r="X56" s="1"/>
  <c r="T55"/>
  <c r="T56" s="1"/>
  <c r="BS17" i="42"/>
  <c r="BO19"/>
  <c r="BO53" s="1"/>
  <c r="Y30" i="47"/>
  <c r="Y32" s="1"/>
  <c r="U32"/>
  <c r="BP13" i="43"/>
  <c r="BP62" s="1"/>
  <c r="BR89" i="24"/>
  <c r="BU55" i="46"/>
  <c r="BU56" s="1"/>
  <c r="BQ56"/>
  <c r="I30" i="47"/>
  <c r="I32" s="1"/>
  <c r="H30"/>
  <c r="H32" s="1"/>
  <c r="G32"/>
  <c r="W103" i="45"/>
  <c r="W104" s="1"/>
  <c r="V103"/>
  <c r="V104" s="1"/>
  <c r="BT54" i="25"/>
  <c r="I54"/>
  <c r="I55" s="1"/>
  <c r="I56" s="1"/>
  <c r="F27" i="20" s="1"/>
  <c r="H54" i="25"/>
  <c r="H55" s="1"/>
  <c r="H56" s="1"/>
  <c r="E27" i="20" s="1"/>
  <c r="G55" i="25"/>
  <c r="W30" i="47"/>
  <c r="W32" s="1"/>
  <c r="S32"/>
  <c r="W62" i="43"/>
  <c r="BO46" i="41"/>
  <c r="H14" i="47"/>
  <c r="I14"/>
  <c r="I13"/>
  <c r="H13"/>
  <c r="G15"/>
  <c r="BV21"/>
  <c r="BV25" s="1"/>
  <c r="BR25"/>
  <c r="BV19" i="25"/>
  <c r="BU30"/>
  <c r="BO14" i="47"/>
  <c r="BK15"/>
  <c r="U15"/>
  <c r="U50" s="1"/>
  <c r="Y13"/>
  <c r="Y15" s="1"/>
  <c r="X13"/>
  <c r="X15" s="1"/>
  <c r="T15"/>
  <c r="BU79" i="24"/>
  <c r="BV79" s="1"/>
  <c r="BV89" s="1"/>
  <c r="BS89"/>
  <c r="V13" i="47"/>
  <c r="V15" s="1"/>
  <c r="V50" s="1"/>
  <c r="R15"/>
  <c r="R50" s="1"/>
  <c r="BQ17" i="46"/>
  <c r="BU16"/>
  <c r="BU17" s="1"/>
  <c r="BU38"/>
  <c r="BU42" s="1"/>
  <c r="BQ42"/>
  <c r="BV53" i="25"/>
  <c r="W13" i="47"/>
  <c r="W15" s="1"/>
  <c r="S15"/>
  <c r="Z62" i="43"/>
  <c r="E6" i="50"/>
  <c r="F6" s="1"/>
  <c r="E11" i="20"/>
  <c r="O11" s="1"/>
  <c r="D11" s="1"/>
  <c r="BV24" i="25"/>
  <c r="BR30"/>
  <c r="J62" i="43"/>
  <c r="F17" i="20" s="1"/>
  <c r="Q62" i="43"/>
  <c r="M17" i="20" s="1"/>
  <c r="BS16" i="43"/>
  <c r="BQ20"/>
  <c r="BQ62" s="1"/>
  <c r="BV38" i="47"/>
  <c r="M103" i="45"/>
  <c r="M104" s="1"/>
  <c r="J15" i="20" s="1"/>
  <c r="J18" s="1"/>
  <c r="BR36" i="45"/>
  <c r="BN39"/>
  <c r="BN103" s="1"/>
  <c r="BN104" s="1"/>
  <c r="E11" i="50"/>
  <c r="F11" s="1"/>
  <c r="BL65" i="43"/>
  <c r="D17" i="39"/>
  <c r="AR17" s="1"/>
  <c r="H93" i="44"/>
  <c r="BL98"/>
  <c r="D15" i="39"/>
  <c r="AX66" i="46"/>
  <c r="AD11" i="39" s="1"/>
  <c r="BJ53" i="46"/>
  <c r="BJ66" s="1"/>
  <c r="BI68" s="1"/>
  <c r="H104" i="45"/>
  <c r="E15" i="20" s="1"/>
  <c r="BV13" i="25"/>
  <c r="I62" i="43"/>
  <c r="BQ65" i="44"/>
  <c r="BQ91" s="1"/>
  <c r="BQ93" s="1"/>
  <c r="F22" i="20"/>
  <c r="F23" s="1"/>
  <c r="M16"/>
  <c r="BU22" i="41"/>
  <c r="BU37" s="1"/>
  <c r="BQ37"/>
  <c r="BM20"/>
  <c r="BM46" s="1"/>
  <c r="BQ13"/>
  <c r="BW11" i="43"/>
  <c r="BW13" s="1"/>
  <c r="I104" i="45"/>
  <c r="F15" i="20" s="1"/>
  <c r="BR16" i="45"/>
  <c r="BV12"/>
  <c r="BV16" s="1"/>
  <c r="BU28" i="46"/>
  <c r="BU32" s="1"/>
  <c r="BU66" s="1"/>
  <c r="BQ32"/>
  <c r="BV48" i="47"/>
  <c r="BV49" s="1"/>
  <c r="BR49"/>
  <c r="BW22" i="43"/>
  <c r="BW35" s="1"/>
  <c r="BS35"/>
  <c r="E9" i="50"/>
  <c r="F9" s="1"/>
  <c r="BV54" i="45"/>
  <c r="BV77" s="1"/>
  <c r="BR77"/>
  <c r="BR52"/>
  <c r="BV41"/>
  <c r="BV52" s="1"/>
  <c r="AC42" i="47"/>
  <c r="AC44" s="1"/>
  <c r="AA50"/>
  <c r="F10" i="39" s="1"/>
  <c r="F12" s="1"/>
  <c r="BW44" i="43"/>
  <c r="BW57" s="1"/>
  <c r="BS57"/>
  <c r="BS83" i="44"/>
  <c r="BW72"/>
  <c r="BW83" s="1"/>
  <c r="BW47"/>
  <c r="BW65" s="1"/>
  <c r="BS65"/>
  <c r="BW40"/>
  <c r="BW41" s="1"/>
  <c r="BS41"/>
  <c r="F29" i="20" l="1"/>
  <c r="W50" i="47"/>
  <c r="Y50"/>
  <c r="M42" i="24"/>
  <c r="L48"/>
  <c r="L89" s="1"/>
  <c r="I26" i="20" s="1"/>
  <c r="I29" s="1"/>
  <c r="I30" s="1"/>
  <c r="E33" i="50" s="1"/>
  <c r="F33" s="1"/>
  <c r="BW13" i="44"/>
  <c r="BW16" s="1"/>
  <c r="BS16"/>
  <c r="D27" i="39"/>
  <c r="AR27" s="1"/>
  <c r="G56" i="25"/>
  <c r="H30" i="20"/>
  <c r="E32" i="50" s="1"/>
  <c r="F32" s="1"/>
  <c r="BV16" i="25"/>
  <c r="BL96" i="44"/>
  <c r="AX98"/>
  <c r="E16" i="20"/>
  <c r="O16" s="1"/>
  <c r="D16" s="1"/>
  <c r="T50" i="47"/>
  <c r="E18" i="50"/>
  <c r="F18" s="1"/>
  <c r="S50" i="47"/>
  <c r="X50"/>
  <c r="E29" i="20"/>
  <c r="O27"/>
  <c r="D27" s="1"/>
  <c r="BK60" i="25"/>
  <c r="E19" i="50"/>
  <c r="E21" s="1"/>
  <c r="F21" s="1"/>
  <c r="BU54" i="25"/>
  <c r="BT55"/>
  <c r="BT56" s="1"/>
  <c r="BU89" i="24"/>
  <c r="BV30" i="47"/>
  <c r="BV32" s="1"/>
  <c r="BR32"/>
  <c r="BW17" i="42"/>
  <c r="BW19" s="1"/>
  <c r="BW53" s="1"/>
  <c r="BS19"/>
  <c r="BS53" s="1"/>
  <c r="H15" i="47"/>
  <c r="BR14"/>
  <c r="BO15"/>
  <c r="BV30" i="25"/>
  <c r="BQ66" i="46"/>
  <c r="I15" i="47"/>
  <c r="BR56" i="25"/>
  <c r="M18" i="20"/>
  <c r="BS20" i="43"/>
  <c r="BS62" s="1"/>
  <c r="BW16"/>
  <c r="BW20" s="1"/>
  <c r="BW62" s="1"/>
  <c r="F18" i="20"/>
  <c r="BV36" i="45"/>
  <c r="BV39" s="1"/>
  <c r="BV103" s="1"/>
  <c r="BV104" s="1"/>
  <c r="BR39"/>
  <c r="BR103" s="1"/>
  <c r="BR104" s="1"/>
  <c r="E23" i="20"/>
  <c r="O22"/>
  <c r="E15" i="50"/>
  <c r="D22" i="39"/>
  <c r="O64" i="43"/>
  <c r="O65" s="1"/>
  <c r="E17" i="20"/>
  <c r="O17" s="1"/>
  <c r="D17" s="1"/>
  <c r="E10" i="50"/>
  <c r="D16" i="39"/>
  <c r="AR16" s="1"/>
  <c r="AR15"/>
  <c r="O15" i="20"/>
  <c r="AD12" i="39"/>
  <c r="AP11"/>
  <c r="AR11" s="1"/>
  <c r="BQ20" i="41"/>
  <c r="BQ46" s="1"/>
  <c r="BU13"/>
  <c r="BU20" s="1"/>
  <c r="BU46" s="1"/>
  <c r="BS91" i="44"/>
  <c r="BS93" s="1"/>
  <c r="AE42" i="47"/>
  <c r="AE44" s="1"/>
  <c r="AC50"/>
  <c r="H10" i="39" s="1"/>
  <c r="H12" s="1"/>
  <c r="BW91" i="44"/>
  <c r="BW93" s="1"/>
  <c r="M48" i="24" l="1"/>
  <c r="M89" s="1"/>
  <c r="J26" i="20" s="1"/>
  <c r="J29" s="1"/>
  <c r="J30" s="1"/>
  <c r="E34" i="50" s="1"/>
  <c r="F34" s="1"/>
  <c r="N42" i="24"/>
  <c r="D29" i="39"/>
  <c r="F19" i="50"/>
  <c r="BV54" i="25"/>
  <c r="BV55" s="1"/>
  <c r="BV56" s="1"/>
  <c r="BU55"/>
  <c r="BU56" s="1"/>
  <c r="J7" i="50"/>
  <c r="K7" s="1"/>
  <c r="BV14" i="47"/>
  <c r="BV15" s="1"/>
  <c r="BR15"/>
  <c r="E16" i="50"/>
  <c r="F15"/>
  <c r="E12"/>
  <c r="J5" s="1"/>
  <c r="K5" s="1"/>
  <c r="F10"/>
  <c r="E18" i="20"/>
  <c r="AR22" i="39"/>
  <c r="D23"/>
  <c r="AR23" s="1"/>
  <c r="D22" i="20"/>
  <c r="O23"/>
  <c r="D23" s="1"/>
  <c r="D18" i="39"/>
  <c r="AR18" s="1"/>
  <c r="D15" i="20"/>
  <c r="O18"/>
  <c r="D18" s="1"/>
  <c r="AG42" i="47"/>
  <c r="AG44" s="1"/>
  <c r="AE50"/>
  <c r="J10" i="39" s="1"/>
  <c r="J12" s="1"/>
  <c r="O42" i="24" l="1"/>
  <c r="N48"/>
  <c r="N89" s="1"/>
  <c r="K26" i="20" s="1"/>
  <c r="K29" s="1"/>
  <c r="K30" s="1"/>
  <c r="E36" i="50" s="1"/>
  <c r="F36" s="1"/>
  <c r="F12"/>
  <c r="J6"/>
  <c r="K6" s="1"/>
  <c r="F16"/>
  <c r="AG50" i="47"/>
  <c r="L10" i="39" s="1"/>
  <c r="L12" s="1"/>
  <c r="AI42" i="47"/>
  <c r="O48" i="24" l="1"/>
  <c r="O89" s="1"/>
  <c r="L26" i="20" s="1"/>
  <c r="L29" s="1"/>
  <c r="L30" s="1"/>
  <c r="P42" i="24"/>
  <c r="AI44" i="47"/>
  <c r="AI50" s="1"/>
  <c r="BK42"/>
  <c r="BK44" s="1"/>
  <c r="BK50" s="1"/>
  <c r="Q42" i="24" l="1"/>
  <c r="P48"/>
  <c r="P89" s="1"/>
  <c r="M26" i="20" s="1"/>
  <c r="M29" s="1"/>
  <c r="M30" s="1"/>
  <c r="N10" i="39"/>
  <c r="N12" s="1"/>
  <c r="G42" i="47"/>
  <c r="G44" s="1"/>
  <c r="G50" s="1"/>
  <c r="BO42"/>
  <c r="BO44" s="1"/>
  <c r="BO50" s="1"/>
  <c r="H42"/>
  <c r="I42"/>
  <c r="F38" i="20" l="1"/>
  <c r="E37" i="50"/>
  <c r="F37" s="1"/>
  <c r="R42" i="24"/>
  <c r="Q48"/>
  <c r="Q89" s="1"/>
  <c r="N26" i="20" s="1"/>
  <c r="N29" s="1"/>
  <c r="O26"/>
  <c r="D26" s="1"/>
  <c r="AP10" i="39"/>
  <c r="AP12" s="1"/>
  <c r="I44" i="47"/>
  <c r="I50" s="1"/>
  <c r="F10" i="20" s="1"/>
  <c r="F12" s="1"/>
  <c r="F30" s="1"/>
  <c r="H44" i="47"/>
  <c r="H50" s="1"/>
  <c r="E10" i="20" s="1"/>
  <c r="BR42" i="47"/>
  <c r="BR44" s="1"/>
  <c r="BR50" s="1"/>
  <c r="G51"/>
  <c r="E5" i="50"/>
  <c r="D10" i="39"/>
  <c r="BJ62" i="47"/>
  <c r="BV42" l="1"/>
  <c r="N30" i="20"/>
  <c r="O29"/>
  <c r="D29" s="1"/>
  <c r="S42" i="24"/>
  <c r="R48"/>
  <c r="R89" s="1"/>
  <c r="D49" i="20"/>
  <c r="E49"/>
  <c r="F49"/>
  <c r="G49"/>
  <c r="O10"/>
  <c r="D10" s="1"/>
  <c r="E43"/>
  <c r="F43"/>
  <c r="D43"/>
  <c r="E30" i="50"/>
  <c r="F30" s="1"/>
  <c r="G43" i="20"/>
  <c r="E12"/>
  <c r="E30" s="1"/>
  <c r="G45" s="1"/>
  <c r="BV44" i="47"/>
  <c r="BV50" s="1"/>
  <c r="E7" i="50"/>
  <c r="F5"/>
  <c r="D12" i="39"/>
  <c r="AR10"/>
  <c r="S48" i="24" l="1"/>
  <c r="S89" s="1"/>
  <c r="T42"/>
  <c r="H49" i="20"/>
  <c r="F50" s="1"/>
  <c r="D50"/>
  <c r="E35" i="50"/>
  <c r="F35" s="1"/>
  <c r="F37" i="20"/>
  <c r="O12"/>
  <c r="D12" s="1"/>
  <c r="D45"/>
  <c r="E29" i="50"/>
  <c r="H43" i="20"/>
  <c r="E44" s="1"/>
  <c r="F34"/>
  <c r="F39" s="1"/>
  <c r="E45"/>
  <c r="F45"/>
  <c r="E23" i="50"/>
  <c r="F23" s="1"/>
  <c r="F7"/>
  <c r="J4"/>
  <c r="AR12" i="39"/>
  <c r="D31"/>
  <c r="E38" i="50" l="1"/>
  <c r="F38" s="1"/>
  <c r="G50" i="20"/>
  <c r="D47"/>
  <c r="D51" s="1"/>
  <c r="E50"/>
  <c r="F46"/>
  <c r="F47" s="1"/>
  <c r="F51" s="1"/>
  <c r="G46"/>
  <c r="G47" s="1"/>
  <c r="G51" s="1"/>
  <c r="D46"/>
  <c r="E46"/>
  <c r="E47" s="1"/>
  <c r="E51" s="1"/>
  <c r="U42" i="24"/>
  <c r="T48"/>
  <c r="T89" s="1"/>
  <c r="O30" i="20"/>
  <c r="D30" s="1"/>
  <c r="G44"/>
  <c r="F29" i="50"/>
  <c r="F44" i="20"/>
  <c r="D44"/>
  <c r="H45"/>
  <c r="J8" i="50"/>
  <c r="K8" s="1"/>
  <c r="K4"/>
  <c r="V42" i="24" l="1"/>
  <c r="U48"/>
  <c r="U89" s="1"/>
  <c r="H46" i="20"/>
  <c r="H47" s="1"/>
  <c r="F48" l="1"/>
  <c r="G48"/>
  <c r="E48"/>
  <c r="D48"/>
  <c r="H51"/>
  <c r="W42" i="24"/>
  <c r="V48"/>
  <c r="V89" s="1"/>
  <c r="X42" l="1"/>
  <c r="W48"/>
  <c r="W89" s="1"/>
  <c r="Y42" l="1"/>
  <c r="X48"/>
  <c r="X89" s="1"/>
  <c r="Y48" l="1"/>
  <c r="Y89" s="1"/>
  <c r="Z42"/>
  <c r="Z48" l="1"/>
  <c r="Z89" s="1"/>
  <c r="E26" i="39" s="1"/>
  <c r="E29" s="1"/>
  <c r="E31" s="1"/>
  <c r="AA42" i="24"/>
  <c r="AA48" l="1"/>
  <c r="AA89" s="1"/>
  <c r="F26" i="39" s="1"/>
  <c r="F29" s="1"/>
  <c r="F31" s="1"/>
  <c r="C3" i="48" s="1"/>
  <c r="D3" s="1"/>
  <c r="AB42" i="24"/>
  <c r="AC42" l="1"/>
  <c r="AB48"/>
  <c r="AB89" s="1"/>
  <c r="G26" i="39" s="1"/>
  <c r="G29" s="1"/>
  <c r="G31" s="1"/>
  <c r="AC48" i="24" l="1"/>
  <c r="AC89" s="1"/>
  <c r="H26" i="39" s="1"/>
  <c r="H29" s="1"/>
  <c r="H31" s="1"/>
  <c r="C4" i="48" s="1"/>
  <c r="D4" s="1"/>
  <c r="AD42" i="24"/>
  <c r="AD48" l="1"/>
  <c r="AD89" s="1"/>
  <c r="I26" i="39" s="1"/>
  <c r="I29" s="1"/>
  <c r="I31" s="1"/>
  <c r="AE42" i="24"/>
  <c r="AF42" l="1"/>
  <c r="AE48"/>
  <c r="AE89" s="1"/>
  <c r="J26" i="39" s="1"/>
  <c r="J29" s="1"/>
  <c r="J31" s="1"/>
  <c r="C5" i="48" s="1"/>
  <c r="D5" s="1"/>
  <c r="AF48" i="24" l="1"/>
  <c r="AF89" s="1"/>
  <c r="K26" i="39" s="1"/>
  <c r="K29" s="1"/>
  <c r="K31" s="1"/>
  <c r="AG42" i="24"/>
  <c r="AG48" l="1"/>
  <c r="AG89" s="1"/>
  <c r="L26" i="39" s="1"/>
  <c r="L29" s="1"/>
  <c r="L31" s="1"/>
  <c r="C6" i="48" s="1"/>
  <c r="D6" s="1"/>
  <c r="AH42" i="24"/>
  <c r="AH48" l="1"/>
  <c r="AH89" s="1"/>
  <c r="M26" i="39" s="1"/>
  <c r="M29" s="1"/>
  <c r="M31" s="1"/>
  <c r="AI42" i="24"/>
  <c r="AJ42" l="1"/>
  <c r="AI48"/>
  <c r="AI89" s="1"/>
  <c r="N26" i="39" s="1"/>
  <c r="N29" s="1"/>
  <c r="N31" s="1"/>
  <c r="C7" i="48" s="1"/>
  <c r="D7" s="1"/>
  <c r="AK42" i="24" l="1"/>
  <c r="AJ48"/>
  <c r="AJ89" s="1"/>
  <c r="O26" i="39" s="1"/>
  <c r="O29" s="1"/>
  <c r="O31" s="1"/>
  <c r="AL42" i="24" l="1"/>
  <c r="AK48"/>
  <c r="AK89" s="1"/>
  <c r="P26" i="39" s="1"/>
  <c r="P29" s="1"/>
  <c r="P31" s="1"/>
  <c r="C8" i="48" s="1"/>
  <c r="D8" s="1"/>
  <c r="AL48" i="24" l="1"/>
  <c r="AL89" s="1"/>
  <c r="Q26" i="39" s="1"/>
  <c r="Q29" s="1"/>
  <c r="Q31" s="1"/>
  <c r="AM42" i="24"/>
  <c r="AN42" l="1"/>
  <c r="AM48"/>
  <c r="AM89" s="1"/>
  <c r="R26" i="39" s="1"/>
  <c r="R29" s="1"/>
  <c r="R31" s="1"/>
  <c r="C9" i="48" s="1"/>
  <c r="D9" s="1"/>
  <c r="AN48" i="24" l="1"/>
  <c r="AN89" s="1"/>
  <c r="S26" i="39" s="1"/>
  <c r="S29" s="1"/>
  <c r="S31" s="1"/>
  <c r="AO42" i="24"/>
  <c r="AO48" l="1"/>
  <c r="AO89" s="1"/>
  <c r="T26" i="39" s="1"/>
  <c r="T29" s="1"/>
  <c r="T31" s="1"/>
  <c r="C10" i="48" s="1"/>
  <c r="D10" s="1"/>
  <c r="AP42" i="24"/>
  <c r="AQ42" l="1"/>
  <c r="AP48"/>
  <c r="AP89" s="1"/>
  <c r="U26" i="39" s="1"/>
  <c r="U29" s="1"/>
  <c r="U31" s="1"/>
  <c r="AR42" i="24" l="1"/>
  <c r="AQ48"/>
  <c r="AQ89" s="1"/>
  <c r="V26" i="39" s="1"/>
  <c r="V29" s="1"/>
  <c r="V31" s="1"/>
  <c r="C11" i="48" s="1"/>
  <c r="D11" s="1"/>
  <c r="AR48" i="24" l="1"/>
  <c r="AR89" s="1"/>
  <c r="W26" i="39" s="1"/>
  <c r="W29" s="1"/>
  <c r="W31" s="1"/>
  <c r="AS42" i="24"/>
  <c r="AT42" l="1"/>
  <c r="AS48"/>
  <c r="AS89" s="1"/>
  <c r="X26" i="39" s="1"/>
  <c r="X29" s="1"/>
  <c r="X31" s="1"/>
  <c r="C12" i="48" s="1"/>
  <c r="D12" s="1"/>
  <c r="AU42" i="24" l="1"/>
  <c r="AT48"/>
  <c r="AT89" s="1"/>
  <c r="Y26" i="39" s="1"/>
  <c r="Y29" s="1"/>
  <c r="Y31" s="1"/>
  <c r="AU48" i="24" l="1"/>
  <c r="AU89" s="1"/>
  <c r="Z26" i="39" s="1"/>
  <c r="Z29" s="1"/>
  <c r="Z31" s="1"/>
  <c r="C13" i="48" s="1"/>
  <c r="D13" s="1"/>
  <c r="AV42" i="24"/>
  <c r="AV48" l="1"/>
  <c r="AV89" s="1"/>
  <c r="AA26" i="39" s="1"/>
  <c r="AA29" s="1"/>
  <c r="AA31" s="1"/>
  <c r="AW42" i="24"/>
  <c r="AW48" l="1"/>
  <c r="AW89" s="1"/>
  <c r="AB26" i="39" s="1"/>
  <c r="AB29" s="1"/>
  <c r="AB31" s="1"/>
  <c r="C14" i="48" s="1"/>
  <c r="D14" s="1"/>
  <c r="AX42" i="24"/>
  <c r="AY42" l="1"/>
  <c r="AX48"/>
  <c r="AX89" s="1"/>
  <c r="AC26" i="39" s="1"/>
  <c r="AC29" s="1"/>
  <c r="AC31" s="1"/>
  <c r="AZ42" i="24" l="1"/>
  <c r="AY48"/>
  <c r="AY89" s="1"/>
  <c r="AD26" i="39" s="1"/>
  <c r="AD29" s="1"/>
  <c r="AD31" s="1"/>
  <c r="C15" i="48" s="1"/>
  <c r="D15" s="1"/>
  <c r="BA42" i="24" l="1"/>
  <c r="AZ48"/>
  <c r="AZ89" s="1"/>
  <c r="AE26" i="39" s="1"/>
  <c r="AE29" s="1"/>
  <c r="AE31" s="1"/>
  <c r="BA48" i="24" l="1"/>
  <c r="BA89" s="1"/>
  <c r="AF26" i="39" s="1"/>
  <c r="AF29" s="1"/>
  <c r="AF31" s="1"/>
  <c r="C16" i="48" s="1"/>
  <c r="D16" s="1"/>
  <c r="BB42" i="24"/>
  <c r="BB48" l="1"/>
  <c r="BB89" s="1"/>
  <c r="AG26" i="39" s="1"/>
  <c r="BC42" i="24"/>
  <c r="BC48" s="1"/>
  <c r="BC89" s="1"/>
  <c r="AH26" i="39" s="1"/>
  <c r="AP26" l="1"/>
  <c r="AH29"/>
  <c r="AH31" s="1"/>
  <c r="C17" i="48" s="1"/>
  <c r="AO26" i="39"/>
  <c r="AO29" s="1"/>
  <c r="AO31" s="1"/>
  <c r="AG29"/>
  <c r="AG31" s="1"/>
  <c r="C21" i="48" l="1"/>
  <c r="D21" s="1"/>
  <c r="D17"/>
  <c r="AP29" i="39"/>
  <c r="AR26"/>
  <c r="AR29" l="1"/>
  <c r="AP31"/>
  <c r="AR31" s="1"/>
</calcChain>
</file>

<file path=xl/comments1.xml><?xml version="1.0" encoding="utf-8"?>
<comments xmlns="http://schemas.openxmlformats.org/spreadsheetml/2006/main">
  <authors>
    <author>PMU OPELIP</author>
  </authors>
  <commentList>
    <comment ref="AT31" authorId="0">
      <text>
        <r>
          <rPr>
            <b/>
            <sz val="9"/>
            <color indexed="81"/>
            <rFont val="Tahoma"/>
            <family val="2"/>
          </rPr>
          <t>PMU OPELIP:</t>
        </r>
        <r>
          <rPr>
            <sz val="9"/>
            <color indexed="81"/>
            <rFont val="Tahoma"/>
            <family val="2"/>
          </rPr>
          <t xml:space="preserve">
-Seed production support for LSDA pending payments 2020-21 Rs. 24000</t>
        </r>
      </text>
    </comment>
  </commentList>
</comments>
</file>

<file path=xl/comments2.xml><?xml version="1.0" encoding="utf-8"?>
<comments xmlns="http://schemas.openxmlformats.org/spreadsheetml/2006/main">
  <authors>
    <author>PMU OPELIP</author>
  </authors>
  <commentList>
    <comment ref="F12" authorId="0">
      <text>
        <r>
          <rPr>
            <b/>
            <sz val="9"/>
            <color indexed="81"/>
            <rFont val="Tahoma"/>
            <charset val="1"/>
          </rPr>
          <t>PMU OPELIP:</t>
        </r>
        <r>
          <rPr>
            <sz val="9"/>
            <color indexed="81"/>
            <rFont val="Tahoma"/>
            <charset val="1"/>
          </rPr>
          <t xml:space="preserve">
CSP attended training programme at BBSR cost may be met from this head</t>
        </r>
      </text>
    </comment>
    <comment ref="AT60" authorId="0">
      <text>
        <r>
          <rPr>
            <b/>
            <sz val="9"/>
            <color indexed="81"/>
            <rFont val="Tahoma"/>
            <family val="2"/>
          </rPr>
          <t>PMU OPELIP:</t>
        </r>
        <r>
          <rPr>
            <sz val="9"/>
            <color indexed="81"/>
            <rFont val="Tahoma"/>
            <family val="2"/>
          </rPr>
          <t xml:space="preserve">
Pending payments</t>
        </r>
      </text>
    </comment>
  </commentList>
</comments>
</file>

<file path=xl/comments3.xml><?xml version="1.0" encoding="utf-8"?>
<comments xmlns="http://schemas.openxmlformats.org/spreadsheetml/2006/main">
  <authors>
    <author>PMU OPELIP</author>
  </authors>
  <commentList>
    <comment ref="C24" authorId="0">
      <text>
        <r>
          <rPr>
            <b/>
            <sz val="9"/>
            <color indexed="81"/>
            <rFont val="Tahoma"/>
            <charset val="1"/>
          </rPr>
          <t>PMU OPELIP:</t>
        </r>
        <r>
          <rPr>
            <sz val="9"/>
            <color indexed="81"/>
            <rFont val="Tahoma"/>
            <charset val="1"/>
          </rPr>
          <t xml:space="preserve">
Multipurposes printer with,xerox, scanner.</t>
        </r>
      </text>
    </comment>
  </commentList>
</comments>
</file>

<file path=xl/sharedStrings.xml><?xml version="1.0" encoding="utf-8"?>
<sst xmlns="http://schemas.openxmlformats.org/spreadsheetml/2006/main" count="3189" uniqueCount="1026">
  <si>
    <t>COMMUNITY EMPOWERMENT</t>
  </si>
  <si>
    <t>Acct</t>
  </si>
  <si>
    <t>Code</t>
  </si>
  <si>
    <t>Sub Total</t>
  </si>
  <si>
    <t>GRAND TOTAL</t>
  </si>
  <si>
    <t>SUMMARY</t>
  </si>
  <si>
    <t>Quarterly planned expenditure (in Rs.)</t>
  </si>
  <si>
    <t>Q1</t>
  </si>
  <si>
    <t>Q2</t>
  </si>
  <si>
    <t>Q3</t>
  </si>
  <si>
    <t>Q4</t>
  </si>
  <si>
    <t>AWP&amp;B (in Rs.)</t>
  </si>
  <si>
    <t>Activity</t>
  </si>
  <si>
    <t>Component</t>
  </si>
  <si>
    <t>Unit</t>
  </si>
  <si>
    <t>Amount</t>
  </si>
  <si>
    <t>LS</t>
  </si>
  <si>
    <t>Total</t>
  </si>
  <si>
    <t>Unit cost (in Rs.)</t>
  </si>
  <si>
    <t xml:space="preserve">No. of Unit </t>
  </si>
  <si>
    <t>Acct. Code</t>
  </si>
  <si>
    <t xml:space="preserve">   AWP&amp;B </t>
  </si>
  <si>
    <t>Unit Cost (In Rs.)</t>
  </si>
  <si>
    <t>No. of Unit</t>
  </si>
  <si>
    <t xml:space="preserve">Acct code </t>
  </si>
  <si>
    <t>Amount               (In Rs.)</t>
  </si>
  <si>
    <t>No of Unit</t>
  </si>
  <si>
    <t xml:space="preserve">Amount (In Rs) </t>
  </si>
  <si>
    <t>unit Cost (In Rs.)</t>
  </si>
  <si>
    <t>Monitoring &amp; Knoweldge Management</t>
  </si>
  <si>
    <t xml:space="preserve">No. of unit </t>
  </si>
  <si>
    <t xml:space="preserve">Amount (In Rs.) </t>
  </si>
  <si>
    <t>village</t>
  </si>
  <si>
    <t>unit cost</t>
  </si>
  <si>
    <t>Internal audit</t>
  </si>
  <si>
    <t>Unit Cost</t>
  </si>
  <si>
    <t xml:space="preserve"> </t>
  </si>
  <si>
    <t>TOTAL</t>
  </si>
  <si>
    <t>Quarterly planned expenditure (in Rs)</t>
  </si>
  <si>
    <t>year</t>
  </si>
  <si>
    <t>SPMU</t>
  </si>
  <si>
    <t>Com-
ponent</t>
  </si>
  <si>
    <t>No. of unit</t>
  </si>
  <si>
    <t>Khunti</t>
  </si>
  <si>
    <t>Gumla</t>
  </si>
  <si>
    <t>Lohardaga</t>
  </si>
  <si>
    <t>Latehar</t>
  </si>
  <si>
    <t>Simdega</t>
  </si>
  <si>
    <t>East Singhbhum</t>
  </si>
  <si>
    <t>West Singhbhum</t>
  </si>
  <si>
    <t>Saraikhela Kharsawan</t>
  </si>
  <si>
    <t>Godda</t>
  </si>
  <si>
    <t>Dumka</t>
  </si>
  <si>
    <t>Jamtara</t>
  </si>
  <si>
    <t>Pakur</t>
  </si>
  <si>
    <t>Sahibgang</t>
  </si>
  <si>
    <t>Acct Code</t>
  </si>
  <si>
    <t>Amount (In Rs.)</t>
  </si>
  <si>
    <t>Sl. No.</t>
  </si>
  <si>
    <t>Community Empowerment</t>
  </si>
  <si>
    <t>Quarterly planned unit</t>
  </si>
  <si>
    <t>Quarterly planned Unit</t>
  </si>
  <si>
    <t>Quarterly planned  Unit</t>
  </si>
  <si>
    <t>Community Institutions Development</t>
  </si>
  <si>
    <t>MPA</t>
  </si>
  <si>
    <t>pers_month</t>
  </si>
  <si>
    <t>pers_days</t>
  </si>
  <si>
    <t>persons</t>
  </si>
  <si>
    <t>Stregthening SHGs and Rural Finance</t>
  </si>
  <si>
    <t>SHG</t>
  </si>
  <si>
    <t>CRP</t>
  </si>
  <si>
    <t>person</t>
  </si>
  <si>
    <t>study</t>
  </si>
  <si>
    <t>Late marriage incentives to girls</t>
  </si>
  <si>
    <t>lumpsum</t>
  </si>
  <si>
    <t xml:space="preserve">Land treatment /g </t>
  </si>
  <si>
    <t>ha</t>
  </si>
  <si>
    <t xml:space="preserve">Irrigation structures /h </t>
  </si>
  <si>
    <t>FSS</t>
  </si>
  <si>
    <t>farmers</t>
  </si>
  <si>
    <t>Nutrition needs assessment</t>
  </si>
  <si>
    <t>GP</t>
  </si>
  <si>
    <t>CSP</t>
  </si>
  <si>
    <t>pers_day</t>
  </si>
  <si>
    <t>Goat rearing unit (5+1) including shed</t>
  </si>
  <si>
    <t>Preparation of Feasibility Reports</t>
  </si>
  <si>
    <t>per MPA</t>
  </si>
  <si>
    <t>Collective</t>
  </si>
  <si>
    <t>Promotion of Livelihoods collectives</t>
  </si>
  <si>
    <t>collective</t>
  </si>
  <si>
    <t>Infrastructure and equipment</t>
  </si>
  <si>
    <t>Natural Resources Management and Livelihoods Improvement</t>
  </si>
  <si>
    <t xml:space="preserve"> Natural Resources Management and Livelihoods Improvement</t>
  </si>
  <si>
    <t>Community Infrastructure and Drudgery reduction.</t>
  </si>
  <si>
    <t>Toilets</t>
  </si>
  <si>
    <t>each</t>
  </si>
  <si>
    <t>Housing units</t>
  </si>
  <si>
    <t>CC road in villages /a</t>
  </si>
  <si>
    <t>km</t>
  </si>
  <si>
    <t>Multi-purpose community hall</t>
  </si>
  <si>
    <t>SHG worksheds</t>
  </si>
  <si>
    <t>set</t>
  </si>
  <si>
    <t>Drudgery Reduction</t>
  </si>
  <si>
    <t>Sacred Fencing /e</t>
  </si>
  <si>
    <t>Each</t>
  </si>
  <si>
    <t>Maintenance of Vehicles/Motor Cycles etc</t>
  </si>
  <si>
    <t>Air conditioners</t>
  </si>
  <si>
    <t>Genset, silent mode</t>
  </si>
  <si>
    <t>Invertors</t>
  </si>
  <si>
    <t>Furniture set</t>
  </si>
  <si>
    <t>1. Surveys and studies</t>
  </si>
  <si>
    <t>RIMS baseline, MTR and endline</t>
  </si>
  <si>
    <t>survey</t>
  </si>
  <si>
    <t>Annual outcome survey</t>
  </si>
  <si>
    <t>Subtotal Surveys and studies</t>
  </si>
  <si>
    <t/>
  </si>
  <si>
    <t>Statutory audits</t>
  </si>
  <si>
    <t>Subtotal Audits</t>
  </si>
  <si>
    <t>Staff recruitment expenses</t>
  </si>
  <si>
    <t>Subtotal Technical assistance</t>
  </si>
  <si>
    <t>State Programme Director</t>
  </si>
  <si>
    <t>Deputy Programme Director</t>
  </si>
  <si>
    <t>Senior Engineer</t>
  </si>
  <si>
    <t>Manager Finance</t>
  </si>
  <si>
    <t>Project Assistant MIS</t>
  </si>
  <si>
    <t>Executive Assistants</t>
  </si>
  <si>
    <t>Deputation Allowance</t>
  </si>
  <si>
    <t>House Rent Allowances(HRA)</t>
  </si>
  <si>
    <t>Medical/Health/Accident Insurance Allowances)</t>
  </si>
  <si>
    <t>Communication Allowances</t>
  </si>
  <si>
    <t>Statutory  provision(EPF)/f</t>
  </si>
  <si>
    <t>Insurance of Assets</t>
  </si>
  <si>
    <t>Arbitation Charges</t>
  </si>
  <si>
    <t>Hiring of Security Services</t>
  </si>
  <si>
    <t>Office operating expenses</t>
  </si>
  <si>
    <t>Ceiling fans</t>
  </si>
  <si>
    <t>Junior Agricultural Officer</t>
  </si>
  <si>
    <t>Travel allowance</t>
  </si>
  <si>
    <t>New Office buildings /a</t>
  </si>
  <si>
    <t>Renovation of existing buildings</t>
  </si>
  <si>
    <t>Camp offices /b</t>
  </si>
  <si>
    <t>No of units</t>
  </si>
  <si>
    <t>at state level</t>
  </si>
  <si>
    <t>meeting</t>
  </si>
  <si>
    <t>at MPA level /a</t>
  </si>
  <si>
    <t>Subtotal Monthly review meetings</t>
  </si>
  <si>
    <t>Subtotal Learning and sharing workshop</t>
  </si>
  <si>
    <t>PCR review workshop</t>
  </si>
  <si>
    <t>Subtotal Review workshop</t>
  </si>
  <si>
    <t>RIMS and M&amp;E state level training</t>
  </si>
  <si>
    <t>RIMS and M&amp;E training at MPA level</t>
  </si>
  <si>
    <t>Annual Outcome survey training</t>
  </si>
  <si>
    <t>Subtotal Training</t>
  </si>
  <si>
    <t>M&amp;E support</t>
  </si>
  <si>
    <t>PME consultants</t>
  </si>
  <si>
    <t>Participatory M&amp;E consultant</t>
  </si>
  <si>
    <t>Funding Source</t>
  </si>
  <si>
    <t>ST &amp; SC DEVELOPMENT DEPARTMENT, GOVERNMENT OF ODISHA</t>
  </si>
  <si>
    <t>ODISHA PVTG EMPOWERMENT AND LIVELIHOODS IMPROVEMENT PROGRAMME</t>
  </si>
  <si>
    <t xml:space="preserve">INDIA:      </t>
  </si>
  <si>
    <t xml:space="preserve">AWPB:  </t>
  </si>
  <si>
    <t>Component: 1</t>
  </si>
  <si>
    <t xml:space="preserve">Subcomponent:1.1 </t>
  </si>
  <si>
    <t>Department</t>
  </si>
  <si>
    <t>Programme Management</t>
  </si>
  <si>
    <t>INDIA:</t>
  </si>
  <si>
    <t>Component: 4</t>
  </si>
  <si>
    <t xml:space="preserve"> Project management Unit</t>
  </si>
  <si>
    <t xml:space="preserve">Subcomponent:4.1 </t>
  </si>
  <si>
    <t xml:space="preserve"> Drudgery Reduction</t>
  </si>
  <si>
    <t>Component: 3</t>
  </si>
  <si>
    <t xml:space="preserve">Subcomponent:3.1 </t>
  </si>
  <si>
    <t>Community Infrastructure</t>
  </si>
  <si>
    <t>Component: 2</t>
  </si>
  <si>
    <t xml:space="preserve"> Livelihoods Improvement</t>
  </si>
  <si>
    <t xml:space="preserve">Subcomponent:2.3 </t>
  </si>
  <si>
    <t>Component:2</t>
  </si>
  <si>
    <t xml:space="preserve">Subcomponent:2.2 </t>
  </si>
  <si>
    <t>Land &amp; Water Resources Development</t>
  </si>
  <si>
    <t xml:space="preserve">Subcomponent:2.1 </t>
  </si>
  <si>
    <t xml:space="preserve"> Natural Resource Management</t>
  </si>
  <si>
    <t xml:space="preserve">   Stregthening SHGs and Rural Finance</t>
  </si>
  <si>
    <t>Unit Cost 
 (In Rs.)</t>
  </si>
  <si>
    <t>Amount in INR</t>
  </si>
  <si>
    <t>BDA,Mudulipada</t>
  </si>
  <si>
    <t>CBDA,Sunabeda</t>
  </si>
  <si>
    <t>DDA,Kudumuluguma</t>
  </si>
  <si>
    <t>DKDA,Chatikona</t>
  </si>
  <si>
    <t>DKDA,parsali</t>
  </si>
  <si>
    <t>KKDA,Belghar</t>
  </si>
  <si>
    <t>KKDA,Lanjigarh</t>
  </si>
  <si>
    <t>LDA,Morada</t>
  </si>
  <si>
    <t>LSDA,Puttasing</t>
  </si>
  <si>
    <t>LSDA,Serango</t>
  </si>
  <si>
    <t>PBDA,Jamardihi</t>
  </si>
  <si>
    <t>PBDA,Khutungaon</t>
  </si>
  <si>
    <t>PBDA,Rugudakudar</t>
  </si>
  <si>
    <t>SDA,Chandragiri</t>
  </si>
  <si>
    <t>TDA,Tumba</t>
  </si>
  <si>
    <t>HKMDA,Jasipur</t>
  </si>
  <si>
    <t>JDA,Gonasika</t>
  </si>
  <si>
    <t>PMU</t>
  </si>
  <si>
    <t>AWPB</t>
  </si>
  <si>
    <t>Total : Eighty-eight  crore four lakh fifteen thousand and eight four rupees only..</t>
  </si>
  <si>
    <t>GoO %</t>
  </si>
  <si>
    <t>IFAD %</t>
  </si>
  <si>
    <t>SCA-TSP %</t>
  </si>
  <si>
    <t>Article 275 %</t>
  </si>
  <si>
    <t>CCD %</t>
  </si>
  <si>
    <t>MGNERGA%</t>
  </si>
  <si>
    <t>IAY%</t>
  </si>
  <si>
    <t>NHM%</t>
  </si>
  <si>
    <t>Benificiary%</t>
  </si>
  <si>
    <t>Other %</t>
  </si>
  <si>
    <t>Amount(INR)</t>
  </si>
  <si>
    <t>Source of Fund</t>
  </si>
  <si>
    <t>IFAD ( 80% )</t>
  </si>
  <si>
    <t>IFAD ( 100% )</t>
  </si>
  <si>
    <t>IFAD ( 50% )</t>
  </si>
  <si>
    <t>IFAD ( 80% ), BEN ( 10% )</t>
  </si>
  <si>
    <t>IFAD ( 80% ), BEN ( 20% )</t>
  </si>
  <si>
    <t>IFAD ( 80% ), BEN (10%)</t>
  </si>
  <si>
    <t>BEN ( 10% ), IFAD(80%)</t>
  </si>
  <si>
    <t>As per Cost Tab</t>
  </si>
  <si>
    <t>Operating cost to VDC</t>
  </si>
  <si>
    <t>Works</t>
  </si>
  <si>
    <t>Training &amp; Capacity Building</t>
  </si>
  <si>
    <t>Goods,Service ,Input</t>
  </si>
  <si>
    <t>Grants</t>
  </si>
  <si>
    <t>Total Investment Cost</t>
  </si>
  <si>
    <t>Salary &amp; Allowances</t>
  </si>
  <si>
    <t>Operating Cost</t>
  </si>
  <si>
    <t>Total Recurring Cost</t>
  </si>
  <si>
    <t>IFAD</t>
  </si>
  <si>
    <t xml:space="preserve"> Investment Cost</t>
  </si>
  <si>
    <t>Recurring Cost</t>
  </si>
  <si>
    <t>As Per Cost Tab</t>
  </si>
  <si>
    <t>NB:</t>
  </si>
  <si>
    <t>Funds already released for VDP</t>
  </si>
  <si>
    <t>Total VDA/VDP</t>
  </si>
  <si>
    <t>EPA Completed</t>
  </si>
  <si>
    <t>Field bunding</t>
  </si>
  <si>
    <t>Stone bunding</t>
  </si>
  <si>
    <t>SCT</t>
  </si>
  <si>
    <t>LBCD/LBS</t>
  </si>
  <si>
    <t>RMS/Earthen Bund</t>
  </si>
  <si>
    <t>Gully Control Structure</t>
  </si>
  <si>
    <t>ha.</t>
  </si>
  <si>
    <t>No</t>
  </si>
  <si>
    <t>rmt</t>
  </si>
  <si>
    <t>Mango Plantation</t>
  </si>
  <si>
    <t>Lemon Grass</t>
  </si>
  <si>
    <t>Hill Broom</t>
  </si>
  <si>
    <t>Litchi</t>
  </si>
  <si>
    <t>Orange</t>
  </si>
  <si>
    <t>Guava</t>
  </si>
  <si>
    <t>Onion</t>
  </si>
  <si>
    <t>Garlic</t>
  </si>
  <si>
    <t>Turmaric</t>
  </si>
  <si>
    <t>Ginger</t>
  </si>
  <si>
    <t>Horsegram</t>
  </si>
  <si>
    <t>DKDA,Parsali</t>
  </si>
  <si>
    <t>Brinjal</t>
  </si>
  <si>
    <t>Tomato</t>
  </si>
  <si>
    <t>Ivy guard</t>
  </si>
  <si>
    <t>Pointed Guard</t>
  </si>
  <si>
    <t>Spine Guard</t>
  </si>
  <si>
    <t>Check Dam</t>
  </si>
  <si>
    <t>Sweet Corn</t>
  </si>
  <si>
    <t>Brocoli</t>
  </si>
  <si>
    <t>Marigold</t>
  </si>
  <si>
    <t>Total village</t>
  </si>
  <si>
    <t>Earthen GC</t>
  </si>
  <si>
    <t>Community Tank Rennovation</t>
  </si>
  <si>
    <t>Micro-Project Agency  Unit</t>
  </si>
  <si>
    <t>Cow Shed</t>
  </si>
  <si>
    <t>Hill Broom Binding</t>
  </si>
  <si>
    <t>mds</t>
  </si>
  <si>
    <t>Sweet Potato</t>
  </si>
  <si>
    <t>Goatery Shed</t>
  </si>
  <si>
    <t>Cabbage</t>
  </si>
  <si>
    <t>cauli flower</t>
  </si>
  <si>
    <t>Pumpkin</t>
  </si>
  <si>
    <t>RMT</t>
  </si>
  <si>
    <t>Percolation Tank</t>
  </si>
  <si>
    <t>Other Misc.works</t>
  </si>
  <si>
    <t>Floricultutre,Mushroom &amp; Commercial Crop</t>
  </si>
  <si>
    <t>NADEP Compost Pit</t>
  </si>
  <si>
    <t>NREGS(100 %)</t>
  </si>
  <si>
    <t>Others</t>
  </si>
  <si>
    <t>Beans</t>
  </si>
  <si>
    <t>Cashew New plus Maintenance</t>
  </si>
  <si>
    <t>Sesamam</t>
  </si>
  <si>
    <t>Vermin Compost</t>
  </si>
  <si>
    <t>Sunhemp</t>
  </si>
  <si>
    <t>Rennovation of Irrigation canal</t>
  </si>
  <si>
    <t>Hiring of Vehicles including POL</t>
  </si>
  <si>
    <t>Village</t>
  </si>
  <si>
    <t>%</t>
  </si>
  <si>
    <t>PVTG</t>
  </si>
  <si>
    <t>Okra</t>
  </si>
  <si>
    <t>cow pea/gourd</t>
  </si>
  <si>
    <t>CCD ( 100% )</t>
  </si>
  <si>
    <t>IFAD ( 75% ), BEN ( 10% )</t>
  </si>
  <si>
    <t xml:space="preserve">Plantation </t>
  </si>
  <si>
    <t>Sl. No</t>
  </si>
  <si>
    <t xml:space="preserve">Name of MPA </t>
  </si>
  <si>
    <t>NREGA ( 100% )</t>
  </si>
  <si>
    <t>Mixed Plantation</t>
  </si>
  <si>
    <t>BDA, Mudulipada</t>
  </si>
  <si>
    <t>CBDA, Sunabeda</t>
  </si>
  <si>
    <t>DDA, Kudumuluguma</t>
  </si>
  <si>
    <t>DKDA, Chatikona</t>
  </si>
  <si>
    <t xml:space="preserve">Chilly </t>
  </si>
  <si>
    <t>GoO</t>
  </si>
  <si>
    <t>Awareness Programme at Village level /f</t>
  </si>
  <si>
    <t>300,000</t>
  </si>
  <si>
    <t>45,000</t>
  </si>
  <si>
    <t>10,000</t>
  </si>
  <si>
    <t>household</t>
  </si>
  <si>
    <t>5,000</t>
  </si>
  <si>
    <t>Hiring of Vehicles</t>
  </si>
  <si>
    <t>Laptop computers</t>
  </si>
  <si>
    <t>Desktop computers</t>
  </si>
  <si>
    <t>Printer, scanner, photocopier</t>
  </si>
  <si>
    <t>360 degree Camera with aceesories</t>
  </si>
  <si>
    <t>Mobile Phone / tablet /a</t>
  </si>
  <si>
    <t xml:space="preserve"> I. Investment Costs</t>
  </si>
  <si>
    <t>A. Buildings</t>
  </si>
  <si>
    <t>Subtotal Buildings</t>
  </si>
  <si>
    <t>Total Investment Costs</t>
  </si>
  <si>
    <t>II. Recurrent Costs</t>
  </si>
  <si>
    <t>A. Staff salary</t>
  </si>
  <si>
    <t>1. Contractual staff</t>
  </si>
  <si>
    <t>Project Managers</t>
  </si>
  <si>
    <t>Asst Engineer (Civil/Agricultural)</t>
  </si>
  <si>
    <t>Accountants Officer</t>
  </si>
  <si>
    <t>Social Mobiliser</t>
  </si>
  <si>
    <t>Data entry operators -MIS</t>
  </si>
  <si>
    <t>Peons-cum-Watchman (daily wage basis)</t>
  </si>
  <si>
    <t>Hardship Allowances</t>
  </si>
  <si>
    <t>Subtotal Contractual staff</t>
  </si>
  <si>
    <t>B. Office operating costs</t>
  </si>
  <si>
    <t>Advertisement / Publicity/documentation/photography</t>
  </si>
  <si>
    <t>Meetings</t>
  </si>
  <si>
    <t xml:space="preserve"> B. Vehicles and Equipment</t>
  </si>
  <si>
    <t xml:space="preserve">Total </t>
  </si>
  <si>
    <t>Per month</t>
  </si>
  <si>
    <t>4,000,000</t>
  </si>
  <si>
    <t>1,000,000</t>
  </si>
  <si>
    <t>500,000</t>
  </si>
  <si>
    <t>50,000</t>
  </si>
  <si>
    <t>1,500</t>
  </si>
  <si>
    <t>40,000</t>
  </si>
  <si>
    <t>20,000</t>
  </si>
  <si>
    <t>150,000</t>
  </si>
  <si>
    <t>200,000</t>
  </si>
  <si>
    <t>160,000</t>
  </si>
  <si>
    <t>60,000</t>
  </si>
  <si>
    <t>30,000</t>
  </si>
  <si>
    <t>25,000</t>
  </si>
  <si>
    <t>14,000</t>
  </si>
  <si>
    <t>100,000</t>
  </si>
  <si>
    <t>Sub Total Vehicles and Equipment</t>
  </si>
  <si>
    <t>sub total Office operating costs</t>
  </si>
  <si>
    <t>A. Monthly review meetings</t>
  </si>
  <si>
    <t>B. Learning and sharing workshop</t>
  </si>
  <si>
    <t>Quality workshop at MPA level /b</t>
  </si>
  <si>
    <t>Quality workshop at PMU level /c</t>
  </si>
  <si>
    <t>C. Review workshop</t>
  </si>
  <si>
    <t>D. Training</t>
  </si>
  <si>
    <t>E. Technical assistance</t>
  </si>
  <si>
    <t>Designing  &amp; functioning of web site &amp; WEB GIS /d</t>
  </si>
  <si>
    <t>F. Concurrent monitoring /f</t>
  </si>
  <si>
    <t>UNIT</t>
  </si>
  <si>
    <t>75,000</t>
  </si>
  <si>
    <t>120,000</t>
  </si>
  <si>
    <t>5,000,000</t>
  </si>
  <si>
    <t>A. Drugery reduction interventions</t>
  </si>
  <si>
    <t>Support to SHG for refilling  mechanism RF</t>
  </si>
  <si>
    <t>Subtotal Drugery reduction interventions</t>
  </si>
  <si>
    <t>B. Tribal culture and values</t>
  </si>
  <si>
    <t>Subtotal Tribal culture and values</t>
  </si>
  <si>
    <t>A. Vehicles and Equipment</t>
  </si>
  <si>
    <t>Subtotal Vehicles and Equipment</t>
  </si>
  <si>
    <t>B. Surveys, audits and TA</t>
  </si>
  <si>
    <t>Mid-line survey /c</t>
  </si>
  <si>
    <t>Other studies</t>
  </si>
  <si>
    <t>2. Audits</t>
  </si>
  <si>
    <t>Audits of VDC</t>
  </si>
  <si>
    <t>Preparation of Finance Manual /d</t>
  </si>
  <si>
    <t>Tally software (Renewal)</t>
  </si>
  <si>
    <t>3. Technical assistance</t>
  </si>
  <si>
    <t>National consultants</t>
  </si>
  <si>
    <t>NGO recruitment expenses</t>
  </si>
  <si>
    <t xml:space="preserve">Seminar/Conference </t>
  </si>
  <si>
    <t>Subtotal Surveys, audits and TA</t>
  </si>
  <si>
    <t>Programme Officer ( NRM)</t>
  </si>
  <si>
    <t>Manager (MIS and M&amp;E)</t>
  </si>
  <si>
    <t>Programme Officer(M&amp;E)</t>
  </si>
  <si>
    <t>Programme Officer ( CI &amp; RF)</t>
  </si>
  <si>
    <t>Manager GIS</t>
  </si>
  <si>
    <t>Accounts Assistants (2)</t>
  </si>
  <si>
    <t>GIS Operator</t>
  </si>
  <si>
    <t>MPW 2</t>
  </si>
  <si>
    <t>Subtotal Staff salary</t>
  </si>
  <si>
    <t>Office rent</t>
  </si>
  <si>
    <t>2,500,000</t>
  </si>
  <si>
    <t>3,000</t>
  </si>
  <si>
    <t>180,000</t>
  </si>
  <si>
    <t>15,000</t>
  </si>
  <si>
    <t>1,580,000</t>
  </si>
  <si>
    <t>A. Drinking water &amp; sanitation</t>
  </si>
  <si>
    <t>Subtotal Drinking water &amp; sanitation</t>
  </si>
  <si>
    <t>B. Housing &amp; habitat development</t>
  </si>
  <si>
    <t>Subtotal Housing &amp; habitat development</t>
  </si>
  <si>
    <t>C. Roads, electricity &amp; solar lighting</t>
  </si>
  <si>
    <t>Subtotal Roads, electricity &amp; solar lighting</t>
  </si>
  <si>
    <t>D. Social  infrastructure</t>
  </si>
  <si>
    <t>Subtotal Social  infrastructure</t>
  </si>
  <si>
    <t>E. Economic Infrastructure</t>
  </si>
  <si>
    <t>F. Agricultural machinery &amp; tools /b</t>
  </si>
  <si>
    <t>Seed storage bins</t>
  </si>
  <si>
    <t>Subtotal Agricultural machinery &amp; tools</t>
  </si>
  <si>
    <t>IFAD(80%), BEN ( 20% )</t>
  </si>
  <si>
    <t>PMAY/BPGY ( 100% )</t>
  </si>
  <si>
    <t>CCD (100% )</t>
  </si>
  <si>
    <t>ART275 ( 100% )</t>
  </si>
  <si>
    <t>Subtotal Training CSP</t>
  </si>
  <si>
    <t>B. Support to CSPs in upscaling</t>
  </si>
  <si>
    <t>C. Livestock demonstrations</t>
  </si>
  <si>
    <t>Poultry mother units /e</t>
  </si>
  <si>
    <t>Subtotal Livestock demonstrations</t>
  </si>
  <si>
    <t>D. Household production support</t>
  </si>
  <si>
    <t>Subtotal Household production support</t>
  </si>
  <si>
    <t>E. Setting up of Producers Collectives</t>
  </si>
  <si>
    <t>Hand-holding support</t>
  </si>
  <si>
    <t>Subtotal Setting up of Producers Collectives</t>
  </si>
  <si>
    <t>G. Support for Other Livelihood</t>
  </si>
  <si>
    <t>High value commercial agriculture and allied</t>
  </si>
  <si>
    <t>600</t>
  </si>
  <si>
    <t>400,000</t>
  </si>
  <si>
    <t>A. Food security</t>
  </si>
  <si>
    <t>1. PTG Food production system</t>
  </si>
  <si>
    <t>Subtotal PTG Food production system</t>
  </si>
  <si>
    <t>2. Farmers Field Schools, FFS</t>
  </si>
  <si>
    <t>Subtotal Food security</t>
  </si>
  <si>
    <t>B. Nutrition security</t>
  </si>
  <si>
    <t>1. Nutrition-dense crop diversification</t>
  </si>
  <si>
    <t>Horticulture /d</t>
  </si>
  <si>
    <t>Subtotal Agriculture Training</t>
  </si>
  <si>
    <t>Training,workshop, review meetings /f</t>
  </si>
  <si>
    <t>Subtotal Land Rights Allocation: LANDESA</t>
  </si>
  <si>
    <t>C. Natural Resource Management</t>
  </si>
  <si>
    <t>Farmers share for PVTG/STs for various items /k</t>
  </si>
  <si>
    <t>1. SHG mapping &amp; promotion</t>
  </si>
  <si>
    <t>Subtotal SHG mapping &amp; promotion</t>
  </si>
  <si>
    <t>Subtotal SHG formation &amp; strengthening</t>
  </si>
  <si>
    <t>B. Training programme on SHG Led institutions</t>
  </si>
  <si>
    <t>1. SHG functioning</t>
  </si>
  <si>
    <t>Subtotal SHG functioning</t>
  </si>
  <si>
    <t>State level Training to staff of MPA &amp; NGO /e</t>
  </si>
  <si>
    <t>GPLF level Training to SHG members on Financial management etc /g</t>
  </si>
  <si>
    <t>GPLF level Training to Leaders on Financial management /h</t>
  </si>
  <si>
    <t>Training materials</t>
  </si>
  <si>
    <t>Subtotal Financial management with financial literacy</t>
  </si>
  <si>
    <t>3. Gender and Nutrition training</t>
  </si>
  <si>
    <t>Subtotal Training programme on SHG Led institutions</t>
  </si>
  <si>
    <t>1. Functioning of CLF/GPLF /i</t>
  </si>
  <si>
    <t>State level Training to staff of MPA &amp; NGO</t>
  </si>
  <si>
    <t>MPA/NGO level Accounting training to book keeper &amp; 3 office bearer of each GPLF /j</t>
  </si>
  <si>
    <t>MIS support to MPA</t>
  </si>
  <si>
    <t>Subtotal Functioning of CLF/GPLF</t>
  </si>
  <si>
    <t>2. GPLF building &amp; strenthening</t>
  </si>
  <si>
    <t xml:space="preserve">  training for the leaders /l</t>
  </si>
  <si>
    <t>Training to GPLF memebrs on vision building etc /m</t>
  </si>
  <si>
    <t>Subtotal GPLF building &amp; strenthening</t>
  </si>
  <si>
    <t>Revolving Funds at GPLF Level</t>
  </si>
  <si>
    <t>Subtotal Rural Finance support to SHG led Institutions</t>
  </si>
  <si>
    <t>D. Nutrition and social issues</t>
  </si>
  <si>
    <t>1. Dal Poshak banks</t>
  </si>
  <si>
    <t>Dal Bank equipment /q</t>
  </si>
  <si>
    <t>Supply of Dal /r</t>
  </si>
  <si>
    <t>Supply of pulses seed for multiplication /s</t>
  </si>
  <si>
    <t>Subtotal Dal Poshak banks</t>
  </si>
  <si>
    <t>2. Marriage incentives /t</t>
  </si>
  <si>
    <t>Person _days</t>
  </si>
  <si>
    <t>PL S</t>
  </si>
  <si>
    <t>Lumpsum</t>
  </si>
  <si>
    <t>500</t>
  </si>
  <si>
    <t>650</t>
  </si>
  <si>
    <t>2,000</t>
  </si>
  <si>
    <t>5,250</t>
  </si>
  <si>
    <t>A. Service provider contracts (NGO) /a</t>
  </si>
  <si>
    <t>B. PMU Level Training &amp; Exposure visit</t>
  </si>
  <si>
    <t xml:space="preserve">Exposure visit to Outside state on different themes for 5 days	</t>
  </si>
  <si>
    <t>Exposure visit to inside state on different themes for 3 days	 /b</t>
  </si>
  <si>
    <t>Subtotal PMU Level Training &amp; Exposure visit</t>
  </si>
  <si>
    <t>D. CRP training</t>
  </si>
  <si>
    <t>Subtotal CRP training</t>
  </si>
  <si>
    <t>E. TOT Training module</t>
  </si>
  <si>
    <t>1. Hiring of Resource Agency</t>
  </si>
  <si>
    <t>Imparting ToT &amp; developing training Modules</t>
  </si>
  <si>
    <t>Knowledge Management &amp; IGA</t>
  </si>
  <si>
    <t>Arrangement of training &amp; other related Expd.</t>
  </si>
  <si>
    <t>Subtotal Hiring of Resource Agency</t>
  </si>
  <si>
    <t>F. Training VDA / VDC members</t>
  </si>
  <si>
    <t>VDA General body Meetings /Social Audit</t>
  </si>
  <si>
    <t>Thematic Training including AWPB, Leadership, VDP,Book Keeping, Audit etc</t>
  </si>
  <si>
    <t>Subtotal Training VDA / VDC members</t>
  </si>
  <si>
    <t>G. Village development</t>
  </si>
  <si>
    <t>Subtotal Village development</t>
  </si>
  <si>
    <t>IFAD ( 80%)</t>
  </si>
  <si>
    <t xml:space="preserve">person/Group </t>
  </si>
  <si>
    <t xml:space="preserve">Person days </t>
  </si>
  <si>
    <t>water melon</t>
  </si>
  <si>
    <t>Mixed Plantation mentainnance</t>
  </si>
  <si>
    <t>Mango Plantation Mentainance 1ST YR</t>
  </si>
  <si>
    <t>Mango Plantation Mentainance 2ND YR</t>
  </si>
  <si>
    <t>Cashew Plantation Mentainance 1ST YR</t>
  </si>
  <si>
    <t>Cashew Plantation Mentainance 2nd YR</t>
  </si>
  <si>
    <t>Sub Total Floricultutre</t>
  </si>
  <si>
    <t xml:space="preserve">Sub Total NRM </t>
  </si>
  <si>
    <t>Entry Point activity</t>
  </si>
  <si>
    <t>Sub Total Late marriage incentives</t>
  </si>
  <si>
    <t>CCD-(100 % )</t>
  </si>
  <si>
    <t>IFAD ( 80 % )</t>
  </si>
  <si>
    <t xml:space="preserve">Study </t>
  </si>
  <si>
    <t xml:space="preserve">Subtotal Nutrition Security </t>
  </si>
  <si>
    <t>Sub Total Office operating costs</t>
  </si>
  <si>
    <t>GPLF level Training to Leaders on various themes /k</t>
  </si>
  <si>
    <t>person_days</t>
  </si>
  <si>
    <t>CLF level Training to Leaders on varous themes etc /o</t>
  </si>
  <si>
    <t>Programme Officer ( CB, Gender &amp; Nutrition)</t>
  </si>
  <si>
    <t>System analyst</t>
  </si>
  <si>
    <t>VDC</t>
  </si>
  <si>
    <t>Accountants- 1 Nos</t>
  </si>
  <si>
    <t>Hiring of HR agency for PMU &amp; MPA /consultant</t>
  </si>
  <si>
    <t>Obligatory provisions (Annual Cash incentive , leave encashment etc.)</t>
  </si>
  <si>
    <t>Workshop/Speciallised Meeting/Training etc. /e</t>
  </si>
  <si>
    <t>Ceiling/wall mounting  fans</t>
  </si>
  <si>
    <t>Livelihoods Improvement</t>
  </si>
  <si>
    <t>Food &amp; Nutrition Security</t>
  </si>
  <si>
    <t>Programme Management Unit</t>
  </si>
  <si>
    <t>Micro Project Agency Unit</t>
  </si>
  <si>
    <t>Monitoring, Evaluation and KM</t>
  </si>
  <si>
    <t>IFAD ( 80% ), BEN (20%)</t>
  </si>
  <si>
    <t>C. Policy initiatives &amp; Social Security</t>
  </si>
  <si>
    <t>Pradhan Mantri Jeeban Jyoti Bima Yojana (PMJJBY)</t>
  </si>
  <si>
    <t>Pradhan Mantri Jeeban Surakshya Bima Yojana (PMJSBY)</t>
  </si>
  <si>
    <t>Pradhan Mantri Sishu Vikash Yojana (PMSVY)</t>
  </si>
  <si>
    <t>CCD (100%)</t>
  </si>
  <si>
    <t>SCA (100%)</t>
  </si>
  <si>
    <t>Subtotal Policy initiatives &amp; Social Security</t>
  </si>
  <si>
    <t xml:space="preserve">SCA (100 %) </t>
  </si>
  <si>
    <t xml:space="preserve">No </t>
  </si>
  <si>
    <t xml:space="preserve">sprinkler beneficiary contribution CCD </t>
  </si>
  <si>
    <t xml:space="preserve">Drip Beneficiary contribution CCD </t>
  </si>
  <si>
    <t xml:space="preserve">MGNREGA (100 %) </t>
  </si>
  <si>
    <t xml:space="preserve">Ghat Cutting roads CCD </t>
  </si>
  <si>
    <t xml:space="preserve">Provisioning of Boat CCD </t>
  </si>
  <si>
    <t xml:space="preserve">Mobile Tower CCD </t>
  </si>
  <si>
    <t>SCA (100 %)</t>
  </si>
  <si>
    <t>Sub Total Economic Infrastructure</t>
  </si>
  <si>
    <t xml:space="preserve">Creche-cum-NRC Fixed Cost </t>
  </si>
  <si>
    <t>Incentives to Mothers Group /SHGs for cooking , serving , cleaning</t>
  </si>
  <si>
    <t>Utensil set for Spot Feeding Centre</t>
  </si>
  <si>
    <t>Fuelwoods/Gas othewrs'</t>
  </si>
  <si>
    <t>Engagement of temporary contractual Nutrition Cordinator in MPAs</t>
  </si>
  <si>
    <t>Other provisions /Salary Enhancement/arrear salary  etc. /h</t>
  </si>
  <si>
    <t>IFAD (80 %)</t>
  </si>
  <si>
    <t>Adult Literacy Unit</t>
  </si>
  <si>
    <t>VDP preparation /m</t>
  </si>
  <si>
    <t>vdc</t>
  </si>
  <si>
    <t>Working shed for Producer Groups and business activity centre for NTFP/MFP/SAP etc.  /k</t>
  </si>
  <si>
    <t>Information-cum-Culture  Centre IFAD</t>
  </si>
  <si>
    <t>Information-cum-Culture  Centre CCD</t>
  </si>
  <si>
    <t>Budget</t>
  </si>
  <si>
    <t>Solar Grid CCD</t>
  </si>
  <si>
    <t>CCD (100 %)</t>
  </si>
  <si>
    <t>Installation of Travis for Veterinary Treatment</t>
  </si>
  <si>
    <t>IFAD (80%)</t>
  </si>
  <si>
    <t xml:space="preserve">F. Support for NTFP marketing/Cluster Development </t>
  </si>
  <si>
    <t xml:space="preserve">Sub Total Support for NTFP marketing/Cluster Development </t>
  </si>
  <si>
    <t>Culvert/Cause Weir/Cdworks ART</t>
  </si>
  <si>
    <t>PM/BPAY%</t>
  </si>
  <si>
    <t xml:space="preserve">Lac Cultivation </t>
  </si>
  <si>
    <t>MGNRGA(100 %)</t>
  </si>
  <si>
    <t>Other Vegetables/Crops</t>
  </si>
  <si>
    <t>OLM Meetings</t>
  </si>
  <si>
    <t xml:space="preserve">Office operating expenses/printing Stationery etc </t>
  </si>
  <si>
    <t>Interpretation Centre &amp; culture Complex CCD</t>
  </si>
  <si>
    <t>Additonal funding over rural housing for preservation of traditional architecture CCD</t>
  </si>
  <si>
    <t>Gravity/Borewell water supply CCD</t>
  </si>
  <si>
    <t>OTH (100 %)</t>
  </si>
  <si>
    <t xml:space="preserve">Education infrastructure </t>
  </si>
  <si>
    <t>Office Furnishing /Renovation</t>
  </si>
  <si>
    <t>.</t>
  </si>
  <si>
    <t>Total Budget in Crore</t>
  </si>
  <si>
    <t xml:space="preserve">Printer, scanner, photocopier / Xerox </t>
  </si>
  <si>
    <t>V sat with broadband connection &amp; Moneky cage</t>
  </si>
  <si>
    <t>Earthen Canal/Field chamnnel etc.</t>
  </si>
  <si>
    <t>Rennovation/ New  WHS</t>
  </si>
  <si>
    <t xml:space="preserve">Dug well </t>
  </si>
  <si>
    <t xml:space="preserve">Farm Pond </t>
  </si>
  <si>
    <t xml:space="preserve">Rennovation &amp; New of diversion wire/Check dam </t>
  </si>
  <si>
    <t>Other equipment /TV/etc. b</t>
  </si>
  <si>
    <t xml:space="preserve">person </t>
  </si>
  <si>
    <t xml:space="preserve">Sub total Other Livelihood </t>
  </si>
  <si>
    <t>Diversion drain</t>
  </si>
  <si>
    <t>Ha</t>
  </si>
  <si>
    <t>RKVY(100 %)</t>
  </si>
  <si>
    <t>RKVY</t>
  </si>
  <si>
    <t>RKVY (100%)</t>
  </si>
  <si>
    <t>MIS/GIS design, softwares, development, geo mapping,etc /e</t>
  </si>
  <si>
    <t>4.1.C</t>
  </si>
  <si>
    <t>4.1.A</t>
  </si>
  <si>
    <t>4.1.B</t>
  </si>
  <si>
    <t>4.1.D.i</t>
  </si>
  <si>
    <t>4.1.D.ii</t>
  </si>
  <si>
    <t>4.1.E</t>
  </si>
  <si>
    <t xml:space="preserve">RKVY training </t>
  </si>
  <si>
    <t xml:space="preserve">Earthen road </t>
  </si>
  <si>
    <t xml:space="preserve">Ghat Cutting </t>
  </si>
  <si>
    <t xml:space="preserve">km </t>
  </si>
  <si>
    <t>CCD(100)</t>
  </si>
  <si>
    <t xml:space="preserve">Mo bagicha </t>
  </si>
  <si>
    <t xml:space="preserve">SMC / Boundary trench </t>
  </si>
  <si>
    <t xml:space="preserve">WAT </t>
  </si>
  <si>
    <t xml:space="preserve">Gabion </t>
  </si>
  <si>
    <t xml:space="preserve">earthen Morum road </t>
  </si>
  <si>
    <t>HH</t>
  </si>
  <si>
    <t>Duckery Cluster 10 bird unit/HH)</t>
  </si>
  <si>
    <t>Support for SHG, Equipment for NTFP/MFP/SAP collection</t>
  </si>
  <si>
    <t>C. MPA &amp; NGO staff including CRP exposure / Training</t>
  </si>
  <si>
    <t>Vermin Compost-making /MGNREGS</t>
  </si>
  <si>
    <t>MPA level Training to CRPs on CLF/GPLF</t>
  </si>
  <si>
    <t>Desktop / Laptop/GPS Camera</t>
  </si>
  <si>
    <t>IFAD ( 80% ), GoO (20%</t>
  </si>
  <si>
    <t>IFAD ( 80% ), GoO (10%), BEN ( 10% )</t>
  </si>
  <si>
    <t>IFAD ( 80% ), CCD (20%)</t>
  </si>
  <si>
    <t>Revised (GoO &amp; IFAD)</t>
  </si>
  <si>
    <t>Collaboration with ICRISAT</t>
  </si>
  <si>
    <t>Ref.</t>
  </si>
  <si>
    <t>Promotion of Goatery Cluster in 1  villages ( 5 goats per HH and total 20 HH  in one cluster with 1 bucks ) SCA</t>
  </si>
  <si>
    <t xml:space="preserve">Convergecne </t>
  </si>
  <si>
    <t>Beneficiary</t>
  </si>
  <si>
    <t>Convergecne</t>
  </si>
  <si>
    <t>Sl No</t>
  </si>
  <si>
    <t>Scheme</t>
  </si>
  <si>
    <t>SCA-TSS</t>
  </si>
  <si>
    <t>Article-275 (1)</t>
  </si>
  <si>
    <t>CCD</t>
  </si>
  <si>
    <t>MGNREGS</t>
  </si>
  <si>
    <t xml:space="preserve">GPLF level Training to SHG members on many  subjects </t>
  </si>
  <si>
    <t xml:space="preserve">GPLF level Training to SHG Leaders on different themes </t>
  </si>
  <si>
    <t>GPLF level Training to SHG Book-keepers including CRPs</t>
  </si>
  <si>
    <t xml:space="preserve">Exposure visit of GPLF leaders to the best performing GPLF </t>
  </si>
  <si>
    <t>Exposure cum training visit of CLF leaders to the best performing CLF/GPLF</t>
  </si>
  <si>
    <t>Litchi Maintenance 1 st Year</t>
  </si>
  <si>
    <t>Wheat</t>
  </si>
  <si>
    <t>Sericulture</t>
  </si>
  <si>
    <t>Vocational Training</t>
  </si>
  <si>
    <t>Dugwell with solar lifting</t>
  </si>
  <si>
    <t>no</t>
  </si>
  <si>
    <t>Power tillers based custom hiring/agro service centre /c</t>
  </si>
  <si>
    <t>POL for  Motor Cycles @Rs.2500/vehicle/month max.</t>
  </si>
  <si>
    <t xml:space="preserve">Airconditioner </t>
  </si>
  <si>
    <t xml:space="preserve">Pickup Van /Cold Store  Van CCD </t>
  </si>
  <si>
    <t>Small Vegtable  Cold Chamber</t>
  </si>
  <si>
    <t>Integrated farming / Integrated Pisciculture</t>
  </si>
  <si>
    <t>Bamboo Plantation backyard</t>
  </si>
  <si>
    <t>Handpounding rice unit with Motor fitted</t>
  </si>
  <si>
    <t>Mechanised Bambo &amp; sabai Craft suport unit</t>
  </si>
  <si>
    <t>Value addition of lemon grass oil (Extraction Unit)</t>
  </si>
  <si>
    <t>Community Fuelwood reserves</t>
  </si>
  <si>
    <t>Sunflower / Turmeric processing unit/Puffed Rice unit/ Oil Extraction Unit/ Food processing Unit</t>
  </si>
  <si>
    <t>K Lime / Sweet Lime</t>
  </si>
  <si>
    <t>Yam / Elephant Foot Yam</t>
  </si>
  <si>
    <t>Establishment of processing unit/ Khajuri/ Rice flour mills/ Honey Processing Unit</t>
  </si>
  <si>
    <t xml:space="preserve"> land allocation (Geo Enabled Device)</t>
  </si>
  <si>
    <t xml:space="preserve"> Livelihoods linked Innovative activities </t>
  </si>
  <si>
    <t xml:space="preserve">VDC Members training at MPA level Quartely </t>
  </si>
  <si>
    <t>Exposure visit on different themes including VDC members to other programme (inter district)</t>
  </si>
  <si>
    <t>5-T initiatives (display of AWPB-2021-22) 10ftx8Ft-VDC level</t>
  </si>
  <si>
    <t>Mo-sarakar cell (2 Nos of DEO)</t>
  </si>
  <si>
    <t>Promotion/Revival of SHG (incentives to CRP) (800)</t>
  </si>
  <si>
    <t>Organising meeting with defunct SHG members</t>
  </si>
  <si>
    <t>Nos</t>
  </si>
  <si>
    <t>Thematic exposure visits ofSHG members + CINO, RFO SM &amp; CRPs on SHG (5 visit x 17MPA x 15 members)</t>
  </si>
  <si>
    <t>2. SHG equipment: A/c books as per OLM format (Cash book, member pass book &amp; Minutes book) (delete)</t>
  </si>
  <si>
    <t>State/ Cluster level Training to staff of MPA &amp; NGO including CRPs for 3 days</t>
  </si>
  <si>
    <t>MPA level Training of CRPs SHG book keeping (on field demonstration)</t>
  </si>
  <si>
    <t>C. Gender Rural Finance support to SHG led Institutions</t>
  </si>
  <si>
    <t xml:space="preserve">Sustainable livelihoods and its management (IGA ) at MPA level on field training </t>
  </si>
  <si>
    <t xml:space="preserve">Transportaion cost &amp; other miscallaneous cost for Sustainable livelihoods and its management (IGA ) at MPA level on field training </t>
  </si>
  <si>
    <t>3. Gender Funding support to CLF/GPLF</t>
  </si>
  <si>
    <t>State level training programme on different theme/aspects</t>
  </si>
  <si>
    <t>SUMMARY OF AWPB 2021-22</t>
  </si>
  <si>
    <t>AWP&amp;B (in Rs.) Apr 21 to March 22</t>
  </si>
  <si>
    <t>Comparision of Annual Work Plan &amp; Budget of OPELIP for the FY 2021-22 Amount (INR)</t>
  </si>
  <si>
    <t>Scheme wise fund provisioning for OPELIP for the FY 2021-22 Amount (INR)</t>
  </si>
  <si>
    <t>AWPB 2021-22</t>
  </si>
  <si>
    <t>Transportation &amp; other cost for orgnasing agriculture exposure (Rs.15000*34Unit)</t>
  </si>
  <si>
    <t>Human resources costs- field level (20.00lakhs)</t>
  </si>
  <si>
    <t>A. Agriculture on farm Demonstration (Exposure visit)-IFAD</t>
  </si>
  <si>
    <t xml:space="preserve">Cereal crops SRI for rice, millet </t>
  </si>
  <si>
    <t xml:space="preserve">Pulses, oilseeds, tuber crops </t>
  </si>
  <si>
    <t>B. Land Rights Allocation- IFAD</t>
  </si>
  <si>
    <t>Pine Apple IFAD</t>
  </si>
  <si>
    <t>Banana-IFAD</t>
  </si>
  <si>
    <t>Amla-IFAD</t>
  </si>
  <si>
    <t>Sabai grass -IFAD</t>
  </si>
  <si>
    <t>Drumstick-IFAD</t>
  </si>
  <si>
    <t>Apple ber -IFAD</t>
  </si>
  <si>
    <t>Formation/organisation of FFS-IFAD</t>
  </si>
  <si>
    <t>Assessment of use and  nutrient value  of uncultivated foods - IFAD</t>
  </si>
  <si>
    <t>Cereal / millets crops development -IFAD</t>
  </si>
  <si>
    <t xml:space="preserve">Pulses, oilseeds, tubers development -IFAD  </t>
  </si>
  <si>
    <t>Vegetables-IFAD</t>
  </si>
  <si>
    <t>Mushroom Revival</t>
  </si>
  <si>
    <t>Mushroom New</t>
  </si>
  <si>
    <t>2. Behavioural Change in COVID, Health, Nutrition, sanitation &amp; hygeine -89</t>
  </si>
  <si>
    <t>A. Training CSP - IFAD</t>
  </si>
  <si>
    <t>IGA training - 15 days training</t>
  </si>
  <si>
    <t>Backyard Poultry (20 bird unit) to 10 members in a VDC</t>
  </si>
  <si>
    <t xml:space="preserve">Goat rearing unit (5 does+1 buck)-low cost sheds </t>
  </si>
  <si>
    <t>Producer collectives</t>
  </si>
  <si>
    <t>Model Nursery/ Nursery/Nursery management - Working capital</t>
  </si>
  <si>
    <t>Support for Agril and allied cluster development, Processing &amp; Marketing</t>
  </si>
  <si>
    <t>Water Purification pilot-IFAD</t>
  </si>
  <si>
    <t>Community Solar light / street light</t>
  </si>
  <si>
    <t>Household Solar lanterns/ Solar light</t>
  </si>
  <si>
    <t>Household drinking Water (Only material cost)</t>
  </si>
  <si>
    <t>Support to Traditional Costumes/Cultural Equipments</t>
  </si>
  <si>
    <t>Piped water conveyance : Water Harvesting Structure /Irrigation structure/Irrigation conveyance SCA</t>
  </si>
  <si>
    <t>Small cold storage IFAD</t>
  </si>
  <si>
    <t>Social Security for PVTG HH</t>
  </si>
  <si>
    <t>HHs</t>
  </si>
  <si>
    <t>Social Security for vulnerable HH</t>
  </si>
  <si>
    <t>Studies and surveys/ documentary</t>
  </si>
  <si>
    <t>High end Photo copier</t>
  </si>
  <si>
    <t>Supervision Mission/ISM</t>
  </si>
  <si>
    <t>I.1</t>
  </si>
  <si>
    <t>I.2</t>
  </si>
  <si>
    <t>I.3</t>
  </si>
  <si>
    <t>I.4</t>
  </si>
  <si>
    <t>I.10</t>
  </si>
  <si>
    <t>I.5</t>
  </si>
  <si>
    <t>I.6</t>
  </si>
  <si>
    <t>I.7</t>
  </si>
  <si>
    <t>I.8</t>
  </si>
  <si>
    <t>I.9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</si>
  <si>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</si>
  <si>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</si>
  <si>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</si>
  <si>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</si>
  <si>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</si>
  <si>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</si>
  <si>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</si>
  <si>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</si>
  <si>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</si>
  <si>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</si>
  <si>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</si>
  <si>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</si>
  <si>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</si>
  <si>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</si>
  <si>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</si>
  <si>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</si>
  <si>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Training CRPs for 1 days (Zero)</t>
  </si>
  <si>
    <t>I.27</t>
  </si>
  <si>
    <t>I.28</t>
  </si>
  <si>
    <t>I.29</t>
  </si>
  <si>
    <t>I.30</t>
  </si>
  <si>
    <t>I.31</t>
  </si>
  <si>
    <t>I.32</t>
  </si>
  <si>
    <t>I.33</t>
  </si>
  <si>
    <t>I.34</t>
  </si>
  <si>
    <t>I.35</t>
  </si>
  <si>
    <t>I.36</t>
  </si>
  <si>
    <t>I.37</t>
  </si>
  <si>
    <t>I.38</t>
  </si>
  <si>
    <t>I.39</t>
  </si>
  <si>
    <t>I.40</t>
  </si>
  <si>
    <t>I.41</t>
  </si>
  <si>
    <t>I.42</t>
  </si>
  <si>
    <t>I.43</t>
  </si>
  <si>
    <t>I.44</t>
  </si>
  <si>
    <t>I.45</t>
  </si>
  <si>
    <t>I.46</t>
  </si>
  <si>
    <t>I.47</t>
  </si>
  <si>
    <t>I.48</t>
  </si>
  <si>
    <t>I.49</t>
  </si>
  <si>
    <t>I.50</t>
  </si>
  <si>
    <t>I.51</t>
  </si>
  <si>
    <t>I.52</t>
  </si>
  <si>
    <t>I.53</t>
  </si>
  <si>
    <t>I.54</t>
  </si>
  <si>
    <t>I.55</t>
  </si>
  <si>
    <t>I.56</t>
  </si>
  <si>
    <t>I.57</t>
  </si>
  <si>
    <t>I.58</t>
  </si>
  <si>
    <t>I.59</t>
  </si>
  <si>
    <t>I.60</t>
  </si>
  <si>
    <t>I.61</t>
  </si>
  <si>
    <t>I.62</t>
  </si>
  <si>
    <t>I.63</t>
  </si>
  <si>
    <t>I.64</t>
  </si>
  <si>
    <t>I.65</t>
  </si>
  <si>
    <t>I.66</t>
  </si>
  <si>
    <t>I.67</t>
  </si>
  <si>
    <t>I.68</t>
  </si>
  <si>
    <t>I.69</t>
  </si>
  <si>
    <t>I.70</t>
  </si>
  <si>
    <t>I.71</t>
  </si>
  <si>
    <t>I.72</t>
  </si>
  <si>
    <t>SCA(100%)</t>
  </si>
  <si>
    <t>Source Creation-Water Harvesting Structure/Irrigation structure/Irrigation conveyance SCA</t>
  </si>
  <si>
    <t>RKVY %</t>
  </si>
  <si>
    <t>Land Levelling/development  - IFAD</t>
  </si>
  <si>
    <t>M.1</t>
  </si>
  <si>
    <t>M.3</t>
  </si>
  <si>
    <t>M.2</t>
  </si>
  <si>
    <t>M.4</t>
  </si>
  <si>
    <t>I.141</t>
  </si>
  <si>
    <t>Account Code</t>
  </si>
  <si>
    <t>Maize</t>
  </si>
  <si>
    <t>Ragi /smaller millets</t>
  </si>
  <si>
    <t>Paddy (Line Sowing, Critical Intervention)/ SRI</t>
  </si>
  <si>
    <t>Black Rice/Sala Phula /Aromatic</t>
  </si>
  <si>
    <t>Mustard</t>
  </si>
  <si>
    <t>Ground Nut</t>
  </si>
  <si>
    <t>Sun Flower</t>
  </si>
  <si>
    <t>Arhar</t>
  </si>
  <si>
    <t>Black Gram</t>
  </si>
  <si>
    <t>Green Gram</t>
  </si>
  <si>
    <t>Potato</t>
  </si>
  <si>
    <t>Pigeon  Pea(Chana)/Chick Pea</t>
  </si>
  <si>
    <t>Dangar Rani(Kating</t>
  </si>
  <si>
    <t>Tapioca</t>
  </si>
  <si>
    <t xml:space="preserve">Nursery </t>
  </si>
  <si>
    <t>I.73</t>
  </si>
  <si>
    <t>I.74</t>
  </si>
  <si>
    <t>I.75</t>
  </si>
  <si>
    <t>I.76</t>
  </si>
  <si>
    <t>I.77</t>
  </si>
  <si>
    <t>I.78</t>
  </si>
  <si>
    <t>I.79</t>
  </si>
  <si>
    <t>I.80</t>
  </si>
  <si>
    <t>I.81</t>
  </si>
  <si>
    <t>I.82</t>
  </si>
  <si>
    <t>I.83</t>
  </si>
  <si>
    <t>I.85</t>
  </si>
  <si>
    <t>I.84</t>
  </si>
  <si>
    <t>I.86</t>
  </si>
  <si>
    <t>I.87</t>
  </si>
  <si>
    <t>I.88</t>
  </si>
  <si>
    <t>I.89</t>
  </si>
  <si>
    <t>I.90</t>
  </si>
  <si>
    <t>I.91</t>
  </si>
  <si>
    <t>I.92</t>
  </si>
  <si>
    <t>I.93</t>
  </si>
  <si>
    <t>I.94</t>
  </si>
  <si>
    <t>I.95</t>
  </si>
  <si>
    <t>I.96</t>
  </si>
  <si>
    <t>I.97</t>
  </si>
  <si>
    <t>I.98</t>
  </si>
  <si>
    <t>I.99</t>
  </si>
  <si>
    <t>I.100</t>
  </si>
  <si>
    <t>I.101</t>
  </si>
  <si>
    <t>I.102</t>
  </si>
  <si>
    <t>I.103</t>
  </si>
  <si>
    <t>I.104</t>
  </si>
  <si>
    <t>I.105</t>
  </si>
  <si>
    <t>I.106</t>
  </si>
  <si>
    <t>I.107</t>
  </si>
  <si>
    <t>I.108</t>
  </si>
  <si>
    <t>I.109</t>
  </si>
  <si>
    <t>I.110</t>
  </si>
  <si>
    <t>I.111</t>
  </si>
  <si>
    <t>I.112</t>
  </si>
  <si>
    <t>I.113</t>
  </si>
  <si>
    <t>I.114</t>
  </si>
  <si>
    <t>I.115</t>
  </si>
  <si>
    <t>I.116</t>
  </si>
  <si>
    <t>I.117</t>
  </si>
  <si>
    <t>I.118</t>
  </si>
  <si>
    <t>I.119</t>
  </si>
  <si>
    <t>I.120</t>
  </si>
  <si>
    <t>I.121</t>
  </si>
  <si>
    <t>I.122</t>
  </si>
  <si>
    <t>I.123</t>
  </si>
  <si>
    <t>I.124</t>
  </si>
  <si>
    <t>I.125</t>
  </si>
  <si>
    <t>I.126</t>
  </si>
  <si>
    <t>I.127</t>
  </si>
  <si>
    <t>I.128</t>
  </si>
  <si>
    <t>I.129</t>
  </si>
  <si>
    <t>I.130</t>
  </si>
  <si>
    <t>I.131</t>
  </si>
  <si>
    <t>I.132</t>
  </si>
  <si>
    <t>I.133</t>
  </si>
  <si>
    <t>I.134</t>
  </si>
  <si>
    <t>I.135</t>
  </si>
  <si>
    <t>I.136</t>
  </si>
  <si>
    <t>I.137</t>
  </si>
  <si>
    <t>I.138</t>
  </si>
  <si>
    <t>I.139</t>
  </si>
  <si>
    <t>I.140</t>
  </si>
  <si>
    <t>I.142</t>
  </si>
  <si>
    <t>I.143</t>
  </si>
  <si>
    <t>I.144</t>
  </si>
  <si>
    <t>I.145</t>
  </si>
  <si>
    <t>I.146</t>
  </si>
  <si>
    <t>I.147</t>
  </si>
  <si>
    <t>I.148</t>
  </si>
  <si>
    <t xml:space="preserve">Animal health camps /User charges vaccine /fist aid mrdicine </t>
  </si>
  <si>
    <t xml:space="preserve">Small farm implements </t>
  </si>
  <si>
    <t>Extension of Household drinking water from existing sources (only material cost) 170</t>
  </si>
  <si>
    <t xml:space="preserve">Community Solar light / street light-Revival / Maintenace </t>
  </si>
  <si>
    <t>1 day Training to VDC Members on various Govt. Schemes / Programmes at MPA level</t>
  </si>
  <si>
    <t>Education Aids</t>
  </si>
  <si>
    <t xml:space="preserve">Sports &amp; Yoga </t>
  </si>
  <si>
    <t>DBI</t>
  </si>
  <si>
    <t>Banana -SCA</t>
  </si>
  <si>
    <t>Pine Apple SCA</t>
  </si>
  <si>
    <t>Developing Market Yard/Weighing scale / Vending Zone / New Haat SCA</t>
  </si>
  <si>
    <t>Promotion of SHG  Artisian and Micro Enterprise  SCA</t>
  </si>
  <si>
    <t>Promotion of agril /Horticulture production storage cum value addition center - SCA</t>
  </si>
  <si>
    <t>Household kitchen garden SCA</t>
  </si>
  <si>
    <t xml:space="preserve">IEC/ counciling/ </t>
  </si>
  <si>
    <t xml:space="preserve">Extension of Piped water conveyance system </t>
  </si>
  <si>
    <t>Piped water Source &amp;  conveyance system</t>
  </si>
  <si>
    <t>Ls</t>
  </si>
  <si>
    <t>5-T initiatives (display of signage) 10ftx8Ft- activity wise at VDC level (last 2017-18 to 2020-21) 1012</t>
  </si>
  <si>
    <t xml:space="preserve">each </t>
  </si>
  <si>
    <t>NTFP / SAP Drying Yard IFAD</t>
  </si>
  <si>
    <t>IFAD (50% ), GO (50%)</t>
  </si>
  <si>
    <t xml:space="preserve">Confidence Building Measures PVTG Villages </t>
  </si>
  <si>
    <t>Confidence Building Measures diffcult areas</t>
  </si>
  <si>
    <t>Papeya-SCA</t>
  </si>
  <si>
    <t>Land Reclamation</t>
  </si>
  <si>
    <t>Soil Testing</t>
  </si>
  <si>
    <t>ls</t>
  </si>
  <si>
    <t>IFAD ( 80% ),</t>
  </si>
  <si>
    <r>
      <t xml:space="preserve">A. </t>
    </r>
    <r>
      <rPr>
        <b/>
        <sz val="12"/>
        <color indexed="8"/>
        <rFont val="Calibri"/>
        <family val="2"/>
      </rPr>
      <t>Gender Mainstream (SHG formation, strengthening)</t>
    </r>
  </si>
  <si>
    <r>
      <t xml:space="preserve">MPA level Training of CRPs </t>
    </r>
    <r>
      <rPr>
        <sz val="12"/>
        <color indexed="8"/>
        <rFont val="Calibri"/>
        <family val="2"/>
      </rPr>
      <t>(SHG &amp; Gender) for  2 days</t>
    </r>
  </si>
  <si>
    <r>
      <t xml:space="preserve">2. Gender Financial management with financial </t>
    </r>
    <r>
      <rPr>
        <b/>
        <sz val="12"/>
        <color indexed="8"/>
        <rFont val="Calibri"/>
        <family val="2"/>
      </rPr>
      <t>literacy/awreness on RF</t>
    </r>
  </si>
  <si>
    <t>Drying Mat</t>
  </si>
  <si>
    <t xml:space="preserve"> Annual Work Plan and Budget- From April 2021 to March 2022</t>
  </si>
  <si>
    <t>April 2021 to March 2022</t>
  </si>
  <si>
    <t xml:space="preserve">Subcomponent:4.2 </t>
  </si>
  <si>
    <t xml:space="preserve"> Micro Project Agency</t>
  </si>
  <si>
    <t xml:space="preserve">Component: 4 </t>
  </si>
  <si>
    <t xml:space="preserve">Subcomponent:4.3 </t>
  </si>
  <si>
    <t>Maintenance of computers system (AMC)</t>
  </si>
  <si>
    <t>Insurance of Assets/AMC</t>
  </si>
  <si>
    <t>Nutrition Resource Centre  -IFAD</t>
  </si>
  <si>
    <t>Total of Conv. &amp; Goo</t>
  </si>
  <si>
    <t>Funding sources</t>
  </si>
  <si>
    <t>Quarterly Plan</t>
  </si>
  <si>
    <t xml:space="preserve"> Budegt</t>
  </si>
  <si>
    <t>IGA units for poorest of poor households (Unit cost Ranging from 20,000 to 50,000 INR depending upon BDP Avg. 30,000</t>
  </si>
  <si>
    <t>study / Survey</t>
  </si>
  <si>
    <t>Revised Budget</t>
  </si>
  <si>
    <t xml:space="preserve">Exposure Visit programme of NCs after induction training at PMU to 4 different </t>
  </si>
  <si>
    <t>Orientation to Mothers group / SHG Members on SFC / MSFC management for 2 days</t>
  </si>
  <si>
    <t>Difference</t>
  </si>
  <si>
    <r>
      <t xml:space="preserve">Niger / </t>
    </r>
    <r>
      <rPr>
        <sz val="12"/>
        <color indexed="10"/>
        <rFont val="Calibri"/>
        <family val="2"/>
      </rPr>
      <t>Soyabean (Soyabean for Putasing)</t>
    </r>
  </si>
  <si>
    <t xml:space="preserve">Household crop development (Seeds, Plant (fruits ) &amp; Fencing) </t>
  </si>
  <si>
    <t>Exposure visit of VDC members on different themes</t>
  </si>
  <si>
    <t>Training to GPNA on different aspects including induction &amp;  Anthropometric for a period of 6 days</t>
  </si>
  <si>
    <t>Procurement Officer- Consultant</t>
  </si>
  <si>
    <t>Vetrinary Officer-Consultant</t>
  </si>
  <si>
    <t>PO Livelihoods &amp; convergene</t>
  </si>
  <si>
    <t>Various Thematic training to CRPS &amp; VDC members including AWPB, VDP, MGNREGS etc. /d</t>
  </si>
  <si>
    <t>Other provisions /Salary Enhancement/arrear salary  etc. / Obligatory provisions (Annual Cash incentive , leave encashment etc.)</t>
  </si>
  <si>
    <t>support incentive to Livestock CSP</t>
  </si>
  <si>
    <t>Veterinary tool kits for CSP &amp; LIs (vaccination career )</t>
  </si>
  <si>
    <t>CSP/LIs</t>
  </si>
  <si>
    <t>Youth Dormitory</t>
  </si>
  <si>
    <t>Advertisement / Publicity(IEC) /Video documentation/Video documentation &amp; Airing of videos/Tribal festival/Publication  etc /i</t>
  </si>
  <si>
    <t>Households</t>
  </si>
  <si>
    <t>FARD (100%)</t>
  </si>
  <si>
    <t>FARD%</t>
  </si>
  <si>
    <t>FARD</t>
  </si>
  <si>
    <t>Refresher Training for CSPs 3 days (TA)</t>
  </si>
  <si>
    <t>SCA</t>
  </si>
  <si>
    <t>Animal Husbandry: Matching support of Rs. 1.15 Lakhs for convergence with FARD 2.3 Lakhs SHG Goat Model ( 30 Does+2 Bucks ) CCD</t>
  </si>
  <si>
    <t xml:space="preserve">Irrigation source Development and DBI/Piped water conveyance system CCD </t>
  </si>
  <si>
    <t xml:space="preserve">Diversion Based Irrigation /Small Irrigation Structure/ Borewell Based CCD </t>
  </si>
  <si>
    <t>Farmers</t>
  </si>
  <si>
    <t xml:space="preserve">WHS / Check dam watershed approach CCD </t>
  </si>
  <si>
    <t xml:space="preserve">Earthen Check Dams/ Runoff Management Structures CCD </t>
  </si>
  <si>
    <t xml:space="preserve">CCD(100 %) </t>
  </si>
  <si>
    <t>Ghat Cutting small CCD</t>
  </si>
  <si>
    <t>Animal Husbandry: Matching support of Rs. 1.15 Lakhs for convergence with FARD 2.3 Lakhs SHG Goat Model ( 30 Does+2 Bucks ) FARD</t>
  </si>
  <si>
    <t>Backyard Poultry (25 + 25 bird unit) from FARD</t>
  </si>
  <si>
    <t xml:space="preserve">Each </t>
  </si>
  <si>
    <t>CCD(100%)</t>
  </si>
  <si>
    <t xml:space="preserve">Layer Desi Poultry -CCD </t>
  </si>
  <si>
    <t>CCD(100 %)</t>
  </si>
  <si>
    <t xml:space="preserve">Household Solar lanterns/ Solar light-CCD </t>
  </si>
  <si>
    <t>NTFP / SAP Drying Yard  CCD</t>
  </si>
  <si>
    <t>CCD  ( 100% )</t>
  </si>
  <si>
    <t>Land Development / Field Bunding/Diversion Bunds  @ 0.2 per ha CCD</t>
  </si>
  <si>
    <t>Traditional Costumes/Cultural Equipments/ Dharanigudi  CCD</t>
  </si>
  <si>
    <t>Ghat Cutting small SCA</t>
  </si>
  <si>
    <t xml:space="preserve">SCA(100 %) </t>
  </si>
  <si>
    <t xml:space="preserve">Running Capital Puffed Rice/stone grinding /  SCA </t>
  </si>
  <si>
    <t xml:space="preserve">Cultural cenre/Museum/Stair case/ MCU  CCD </t>
  </si>
  <si>
    <t xml:space="preserve">Rennovation of classroom / hostel / dinning/toilet &amp; bathroom/desk bench/ sports kit / coats  CCD </t>
  </si>
  <si>
    <t>Back Yard Poultry SCA</t>
  </si>
  <si>
    <t>Tractor based/Power tiller  costume hiring centre SCA</t>
  </si>
  <si>
    <t>Creche workers / SHGMembers-11 days for a year at MPA level</t>
  </si>
  <si>
    <t>Household crop development (Seeds, Plant (fruits ) &amp; Fencing) -CCD</t>
  </si>
  <si>
    <t>Millet Café /Shop / Café -SCA</t>
  </si>
  <si>
    <t>Engagement of temporary contractual GP Nutrition Assistant and NC in MPAs-CCD</t>
  </si>
  <si>
    <t>Operational cost of spot feeding centres from 3-6 years-CCD</t>
  </si>
  <si>
    <t>Operational cost of maternal Spot Feeding centres -CCD</t>
  </si>
  <si>
    <t>Creche Operational Cost-CCD</t>
  </si>
  <si>
    <r>
      <t xml:space="preserve">Human Health Camp </t>
    </r>
    <r>
      <rPr>
        <sz val="12"/>
        <rFont val="Calibri"/>
        <family val="2"/>
      </rPr>
      <t xml:space="preserve">(CCD) </t>
    </r>
  </si>
  <si>
    <t>Bike Ambulance -CCD</t>
  </si>
  <si>
    <t>Staff Quarter, office  new and Renovation -CCD</t>
  </si>
  <si>
    <t>PCR study / Census survey for 1138 Newly identified PVTG villages</t>
  </si>
  <si>
    <t>Animal Husbandry: Support to SHG Members @ Rs. 4000 per SHG Member ( 25 + 25 LIT 28 days Birds) -CCD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</si>
</sst>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0.0"/>
    <numFmt numFmtId="167" formatCode="#,##0.00_ ;\-#,##0.00\ "/>
    <numFmt numFmtId="168" formatCode="#,##0.00;[Red]#,##0.00"/>
    <numFmt numFmtId="169" formatCode="#,##0.0;\-#,##0.0;\-"/>
    <numFmt numFmtId="170" formatCode="#,##0.0"/>
    <numFmt numFmtId="171" formatCode="_ * #,##0_ ;_ * \-#,##0_ ;_ * &quot;-&quot;??_ ;_ @_ "/>
    <numFmt numFmtId="172" formatCode="#,##0.000"/>
  </numFmts>
  <fonts count="48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  <font>
      <sz val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4"/>
      <color rgb="FF000000"/>
      <name val="Calibri"/>
      <family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b/>
      <sz val="14"/>
      <name val="Calibri"/>
      <family val="2"/>
      <scheme val="minor"/>
    </font>
    <font>
      <b/>
      <sz val="11"/>
      <color rgb="FF000000"/>
      <name val="Leelawadee"/>
      <family val="2"/>
    </font>
    <font>
      <sz val="11"/>
      <color rgb="FF000000"/>
      <name val="Leelawadee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8">
    <xf numFmtId="0" fontId="0" fillId="0" borderId="0" xfId="0"/>
    <xf numFmtId="0" fontId="10" fillId="2" borderId="0" xfId="0" applyFont="1" applyFill="1"/>
    <xf numFmtId="0" fontId="11" fillId="0" borderId="0" xfId="0" applyFont="1"/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12" fillId="0" borderId="0" xfId="0" applyFont="1"/>
    <xf numFmtId="4" fontId="13" fillId="2" borderId="1" xfId="0" applyNumberFormat="1" applyFont="1" applyFill="1" applyBorder="1" applyAlignment="1">
      <alignment vertical="center"/>
    </xf>
    <xf numFmtId="4" fontId="13" fillId="2" borderId="1" xfId="0" applyNumberFormat="1" applyFont="1" applyFill="1" applyBorder="1"/>
    <xf numFmtId="0" fontId="13" fillId="2" borderId="1" xfId="0" applyFont="1" applyFill="1" applyBorder="1"/>
    <xf numFmtId="0" fontId="13" fillId="0" borderId="0" xfId="0" applyFont="1" applyAlignment="1">
      <alignment horizontal="right"/>
    </xf>
    <xf numFmtId="2" fontId="13" fillId="0" borderId="0" xfId="0" applyNumberFormat="1" applyFont="1" applyAlignment="1">
      <alignment horizontal="right"/>
    </xf>
    <xf numFmtId="4" fontId="14" fillId="2" borderId="1" xfId="0" applyNumberFormat="1" applyFont="1" applyFill="1" applyBorder="1"/>
    <xf numFmtId="0" fontId="11" fillId="0" borderId="1" xfId="0" applyFont="1" applyBorder="1"/>
    <xf numFmtId="4" fontId="11" fillId="0" borderId="0" xfId="0" applyNumberFormat="1" applyFont="1"/>
    <xf numFmtId="4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15" fillId="4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right"/>
    </xf>
    <xf numFmtId="4" fontId="12" fillId="2" borderId="2" xfId="0" applyNumberFormat="1" applyFont="1" applyFill="1" applyBorder="1" applyAlignment="1">
      <alignment horizontal="right"/>
    </xf>
    <xf numFmtId="0" fontId="12" fillId="2" borderId="0" xfId="0" applyFont="1" applyFill="1"/>
    <xf numFmtId="0" fontId="16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5" fillId="0" borderId="0" xfId="0" applyFont="1"/>
    <xf numFmtId="2" fontId="11" fillId="0" borderId="0" xfId="0" applyNumberFormat="1" applyFont="1"/>
    <xf numFmtId="0" fontId="14" fillId="2" borderId="1" xfId="0" applyFont="1" applyFill="1" applyBorder="1" applyAlignment="1">
      <alignment wrapText="1"/>
    </xf>
    <xf numFmtId="4" fontId="17" fillId="0" borderId="0" xfId="0" applyNumberFormat="1" applyFont="1" applyFill="1"/>
    <xf numFmtId="3" fontId="13" fillId="2" borderId="1" xfId="0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2" fillId="5" borderId="0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right"/>
    </xf>
    <xf numFmtId="4" fontId="13" fillId="2" borderId="2" xfId="0" applyNumberFormat="1" applyFont="1" applyFill="1" applyBorder="1" applyAlignment="1">
      <alignment horizontal="right"/>
    </xf>
    <xf numFmtId="0" fontId="18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left"/>
    </xf>
    <xf numFmtId="4" fontId="14" fillId="2" borderId="2" xfId="0" applyNumberFormat="1" applyFont="1" applyFill="1" applyBorder="1" applyAlignment="1">
      <alignment horizontal="right"/>
    </xf>
    <xf numFmtId="0" fontId="16" fillId="4" borderId="1" xfId="0" applyFont="1" applyFill="1" applyBorder="1" applyAlignment="1">
      <alignment horizontal="right"/>
    </xf>
    <xf numFmtId="0" fontId="19" fillId="4" borderId="1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0" fontId="16" fillId="4" borderId="1" xfId="0" applyFont="1" applyFill="1" applyBorder="1" applyAlignment="1">
      <alignment horizontal="right" wrapText="1"/>
    </xf>
    <xf numFmtId="4" fontId="16" fillId="4" borderId="1" xfId="0" applyNumberFormat="1" applyFont="1" applyFill="1" applyBorder="1" applyAlignment="1">
      <alignment horizontal="right"/>
    </xf>
    <xf numFmtId="0" fontId="15" fillId="4" borderId="0" xfId="0" applyFont="1" applyFill="1" applyAlignment="1">
      <alignment horizontal="right"/>
    </xf>
    <xf numFmtId="0" fontId="15" fillId="4" borderId="1" xfId="0" applyFont="1" applyFill="1" applyBorder="1" applyAlignment="1">
      <alignment horizontal="left" wrapText="1"/>
    </xf>
    <xf numFmtId="0" fontId="16" fillId="4" borderId="1" xfId="0" applyFont="1" applyFill="1" applyBorder="1" applyAlignment="1">
      <alignment horizontal="left" wrapText="1"/>
    </xf>
    <xf numFmtId="0" fontId="15" fillId="4" borderId="0" xfId="0" applyFont="1" applyFill="1" applyAlignment="1">
      <alignment horizontal="left" wrapText="1"/>
    </xf>
    <xf numFmtId="0" fontId="19" fillId="4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2" fillId="5" borderId="0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right" wrapText="1"/>
    </xf>
    <xf numFmtId="0" fontId="18" fillId="4" borderId="2" xfId="0" applyFont="1" applyFill="1" applyBorder="1" applyAlignment="1">
      <alignment horizontal="left"/>
    </xf>
    <xf numFmtId="0" fontId="19" fillId="4" borderId="2" xfId="0" applyFont="1" applyFill="1" applyBorder="1" applyAlignment="1">
      <alignment horizontal="left" wrapText="1"/>
    </xf>
    <xf numFmtId="4" fontId="15" fillId="4" borderId="2" xfId="0" applyNumberFormat="1" applyFont="1" applyFill="1" applyBorder="1" applyAlignment="1">
      <alignment horizontal="left" wrapText="1"/>
    </xf>
    <xf numFmtId="4" fontId="15" fillId="4" borderId="2" xfId="0" applyNumberFormat="1" applyFont="1" applyFill="1" applyBorder="1" applyAlignment="1">
      <alignment horizontal="left"/>
    </xf>
    <xf numFmtId="0" fontId="13" fillId="2" borderId="0" xfId="0" applyFont="1" applyFill="1" applyAlignment="1">
      <alignment vertical="center"/>
    </xf>
    <xf numFmtId="164" fontId="13" fillId="2" borderId="1" xfId="1" applyNumberFormat="1" applyFont="1" applyFill="1" applyBorder="1" applyAlignment="1">
      <alignment vertical="center"/>
    </xf>
    <xf numFmtId="0" fontId="20" fillId="0" borderId="0" xfId="0" applyFont="1"/>
    <xf numFmtId="0" fontId="21" fillId="4" borderId="0" xfId="0" applyFont="1" applyFill="1"/>
    <xf numFmtId="2" fontId="21" fillId="4" borderId="0" xfId="0" applyNumberFormat="1" applyFont="1" applyFill="1"/>
    <xf numFmtId="0" fontId="20" fillId="0" borderId="0" xfId="0" applyFont="1" applyAlignment="1">
      <alignment horizontal="center" vertical="center"/>
    </xf>
    <xf numFmtId="0" fontId="10" fillId="0" borderId="1" xfId="0" applyFont="1" applyBorder="1"/>
    <xf numFmtId="0" fontId="10" fillId="5" borderId="1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22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center" wrapText="1"/>
    </xf>
    <xf numFmtId="4" fontId="21" fillId="4" borderId="1" xfId="0" applyNumberFormat="1" applyFont="1" applyFill="1" applyBorder="1" applyAlignment="1">
      <alignment vertical="center"/>
    </xf>
    <xf numFmtId="4" fontId="20" fillId="2" borderId="1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 wrapText="1"/>
    </xf>
    <xf numFmtId="4" fontId="25" fillId="4" borderId="1" xfId="0" applyNumberFormat="1" applyFont="1" applyFill="1" applyBorder="1" applyAlignment="1">
      <alignment vertical="center"/>
    </xf>
    <xf numFmtId="4" fontId="22" fillId="4" borderId="1" xfId="0" applyNumberFormat="1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21" fillId="4" borderId="0" xfId="0" applyFont="1" applyFill="1" applyAlignment="1">
      <alignment vertical="center" wrapText="1"/>
    </xf>
    <xf numFmtId="4" fontId="21" fillId="4" borderId="0" xfId="0" applyNumberFormat="1" applyFont="1" applyFill="1" applyAlignment="1">
      <alignment vertical="center"/>
    </xf>
    <xf numFmtId="0" fontId="26" fillId="4" borderId="1" xfId="0" applyFont="1" applyFill="1" applyBorder="1" applyAlignment="1">
      <alignment horizontal="left" vertical="center"/>
    </xf>
    <xf numFmtId="4" fontId="24" fillId="4" borderId="1" xfId="0" applyNumberFormat="1" applyFont="1" applyFill="1" applyBorder="1" applyAlignment="1">
      <alignment vertical="center"/>
    </xf>
    <xf numFmtId="0" fontId="21" fillId="4" borderId="1" xfId="0" applyFont="1" applyFill="1" applyBorder="1" applyAlignment="1">
      <alignment horizontal="right"/>
    </xf>
    <xf numFmtId="0" fontId="21" fillId="4" borderId="1" xfId="0" applyFont="1" applyFill="1" applyBorder="1" applyAlignment="1">
      <alignment horizontal="left" vertical="center"/>
    </xf>
    <xf numFmtId="4" fontId="20" fillId="0" borderId="0" xfId="0" applyNumberFormat="1" applyFont="1"/>
    <xf numFmtId="4" fontId="10" fillId="2" borderId="1" xfId="0" applyNumberFormat="1" applyFont="1" applyFill="1" applyBorder="1" applyAlignment="1">
      <alignment horizontal="right" vertical="center"/>
    </xf>
    <xf numFmtId="4" fontId="27" fillId="2" borderId="1" xfId="0" applyNumberFormat="1" applyFont="1" applyFill="1" applyBorder="1" applyAlignment="1">
      <alignment horizontal="right" vertical="center"/>
    </xf>
    <xf numFmtId="0" fontId="22" fillId="4" borderId="0" xfId="0" applyFont="1" applyFill="1" applyAlignment="1">
      <alignment horizontal="left"/>
    </xf>
    <xf numFmtId="0" fontId="21" fillId="4" borderId="0" xfId="0" applyFont="1" applyFill="1" applyAlignment="1">
      <alignment horizontal="left"/>
    </xf>
    <xf numFmtId="2" fontId="21" fillId="4" borderId="0" xfId="0" applyNumberFormat="1" applyFont="1" applyFill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center"/>
    </xf>
    <xf numFmtId="2" fontId="21" fillId="0" borderId="0" xfId="0" applyNumberFormat="1" applyFont="1"/>
    <xf numFmtId="0" fontId="21" fillId="6" borderId="1" xfId="0" applyFont="1" applyFill="1" applyBorder="1"/>
    <xf numFmtId="0" fontId="10" fillId="5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left" wrapText="1" readingOrder="1"/>
    </xf>
    <xf numFmtId="0" fontId="29" fillId="0" borderId="1" xfId="0" applyFont="1" applyBorder="1" applyAlignment="1">
      <alignment horizontal="right" wrapText="1" readingOrder="1"/>
    </xf>
    <xf numFmtId="0" fontId="29" fillId="0" borderId="1" xfId="0" applyFont="1" applyBorder="1" applyAlignment="1">
      <alignment horizontal="left" wrapText="1" readingOrder="1"/>
    </xf>
    <xf numFmtId="4" fontId="29" fillId="0" borderId="1" xfId="0" applyNumberFormat="1" applyFont="1" applyBorder="1" applyAlignment="1">
      <alignment horizontal="right" wrapText="1" readingOrder="1"/>
    </xf>
    <xf numFmtId="4" fontId="28" fillId="0" borderId="1" xfId="0" applyNumberFormat="1" applyFont="1" applyBorder="1" applyAlignment="1">
      <alignment horizontal="right" wrapText="1" readingOrder="1"/>
    </xf>
    <xf numFmtId="165" fontId="29" fillId="0" borderId="1" xfId="1" applyFont="1" applyBorder="1" applyAlignment="1">
      <alignment horizontal="right" wrapText="1" readingOrder="1"/>
    </xf>
    <xf numFmtId="0" fontId="29" fillId="0" borderId="1" xfId="0" applyFont="1" applyBorder="1" applyAlignment="1">
      <alignment horizontal="center" wrapText="1" readingOrder="1"/>
    </xf>
    <xf numFmtId="3" fontId="28" fillId="0" borderId="1" xfId="0" applyNumberFormat="1" applyFont="1" applyBorder="1" applyAlignment="1">
      <alignment horizontal="right" wrapText="1" readingOrder="1"/>
    </xf>
    <xf numFmtId="0" fontId="28" fillId="0" borderId="1" xfId="0" applyFont="1" applyBorder="1" applyAlignment="1">
      <alignment horizontal="right" wrapText="1" readingOrder="1"/>
    </xf>
    <xf numFmtId="0" fontId="28" fillId="0" borderId="1" xfId="0" applyFont="1" applyBorder="1" applyAlignment="1">
      <alignment horizontal="left" wrapText="1" readingOrder="1"/>
    </xf>
    <xf numFmtId="4" fontId="21" fillId="6" borderId="2" xfId="0" applyNumberFormat="1" applyFont="1" applyFill="1" applyBorder="1"/>
    <xf numFmtId="0" fontId="21" fillId="7" borderId="7" xfId="0" applyFont="1" applyFill="1" applyBorder="1"/>
    <xf numFmtId="4" fontId="21" fillId="7" borderId="8" xfId="0" applyNumberFormat="1" applyFont="1" applyFill="1" applyBorder="1"/>
    <xf numFmtId="0" fontId="20" fillId="7" borderId="9" xfId="0" applyFont="1" applyFill="1" applyBorder="1"/>
    <xf numFmtId="165" fontId="20" fillId="7" borderId="0" xfId="1" applyFont="1" applyFill="1" applyBorder="1"/>
    <xf numFmtId="0" fontId="20" fillId="7" borderId="10" xfId="0" applyFont="1" applyFill="1" applyBorder="1"/>
    <xf numFmtId="2" fontId="21" fillId="7" borderId="11" xfId="0" applyNumberFormat="1" applyFont="1" applyFill="1" applyBorder="1"/>
    <xf numFmtId="0" fontId="30" fillId="4" borderId="0" xfId="0" applyFont="1" applyFill="1" applyAlignment="1">
      <alignment horizontal="center"/>
    </xf>
    <xf numFmtId="0" fontId="31" fillId="4" borderId="0" xfId="0" applyFont="1" applyFill="1" applyAlignment="1">
      <alignment horizontal="center"/>
    </xf>
    <xf numFmtId="0" fontId="30" fillId="4" borderId="0" xfId="0" applyFont="1" applyFill="1" applyAlignment="1"/>
    <xf numFmtId="0" fontId="31" fillId="4" borderId="0" xfId="0" applyFont="1" applyFill="1" applyAlignment="1"/>
    <xf numFmtId="0" fontId="11" fillId="0" borderId="0" xfId="0" applyFont="1" applyAlignment="1"/>
    <xf numFmtId="0" fontId="15" fillId="4" borderId="0" xfId="0" applyFont="1" applyFill="1" applyAlignment="1"/>
    <xf numFmtId="3" fontId="11" fillId="2" borderId="1" xfId="0" applyNumberFormat="1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13" fillId="2" borderId="1" xfId="3" applyFont="1" applyFill="1" applyBorder="1" applyAlignment="1">
      <alignment vertical="center" wrapText="1"/>
    </xf>
    <xf numFmtId="0" fontId="13" fillId="2" borderId="1" xfId="3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1" fillId="2" borderId="1" xfId="3" applyFont="1" applyFill="1" applyBorder="1" applyAlignment="1">
      <alignment wrapText="1"/>
    </xf>
    <xf numFmtId="0" fontId="11" fillId="2" borderId="1" xfId="3" applyFont="1" applyFill="1" applyBorder="1" applyAlignment="1">
      <alignment horizontal="right"/>
    </xf>
    <xf numFmtId="0" fontId="11" fillId="2" borderId="1" xfId="3" applyFont="1" applyFill="1" applyBorder="1" applyAlignment="1">
      <alignment horizontal="left"/>
    </xf>
    <xf numFmtId="4" fontId="14" fillId="2" borderId="12" xfId="0" applyNumberFormat="1" applyFont="1" applyFill="1" applyBorder="1" applyAlignment="1">
      <alignment vertical="center" wrapText="1"/>
    </xf>
    <xf numFmtId="0" fontId="12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2" fontId="11" fillId="2" borderId="0" xfId="0" applyNumberFormat="1" applyFont="1" applyFill="1" applyAlignment="1">
      <alignment horizontal="right"/>
    </xf>
    <xf numFmtId="4" fontId="12" fillId="2" borderId="12" xfId="0" applyNumberFormat="1" applyFont="1" applyFill="1" applyBorder="1" applyAlignment="1">
      <alignment horizontal="right" vertical="top" wrapText="1"/>
    </xf>
    <xf numFmtId="4" fontId="12" fillId="2" borderId="12" xfId="0" applyNumberFormat="1" applyFont="1" applyFill="1" applyBorder="1" applyAlignment="1">
      <alignment horizontal="center" vertical="top"/>
    </xf>
    <xf numFmtId="4" fontId="12" fillId="2" borderId="4" xfId="0" applyNumberFormat="1" applyFont="1" applyFill="1" applyBorder="1" applyAlignment="1">
      <alignment vertical="center" wrapText="1"/>
    </xf>
    <xf numFmtId="0" fontId="11" fillId="2" borderId="1" xfId="0" applyFont="1" applyFill="1" applyBorder="1"/>
    <xf numFmtId="4" fontId="12" fillId="2" borderId="12" xfId="0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vertical="center" wrapText="1"/>
    </xf>
    <xf numFmtId="4" fontId="12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center" vertical="top"/>
    </xf>
    <xf numFmtId="4" fontId="12" fillId="2" borderId="13" xfId="0" applyNumberFormat="1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vertical="center" wrapText="1"/>
    </xf>
    <xf numFmtId="4" fontId="12" fillId="2" borderId="1" xfId="4" applyNumberFormat="1" applyFont="1" applyFill="1" applyBorder="1" applyAlignment="1">
      <alignment horizontal="right"/>
    </xf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3" applyFont="1" applyFill="1" applyBorder="1"/>
    <xf numFmtId="0" fontId="11" fillId="2" borderId="1" xfId="3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vertical="center"/>
    </xf>
    <xf numFmtId="4" fontId="11" fillId="2" borderId="1" xfId="0" applyNumberFormat="1" applyFont="1" applyFill="1" applyBorder="1"/>
    <xf numFmtId="4" fontId="11" fillId="2" borderId="2" xfId="0" applyNumberFormat="1" applyFont="1" applyFill="1" applyBorder="1"/>
    <xf numFmtId="164" fontId="11" fillId="2" borderId="1" xfId="1" applyNumberFormat="1" applyFont="1" applyFill="1" applyBorder="1"/>
    <xf numFmtId="164" fontId="11" fillId="2" borderId="1" xfId="0" applyNumberFormat="1" applyFont="1" applyFill="1" applyBorder="1"/>
    <xf numFmtId="4" fontId="11" fillId="2" borderId="1" xfId="0" applyNumberFormat="1" applyFont="1" applyFill="1" applyBorder="1" applyAlignment="1">
      <alignment vertical="center"/>
    </xf>
    <xf numFmtId="0" fontId="11" fillId="2" borderId="1" xfId="3" applyFont="1" applyFill="1" applyBorder="1"/>
    <xf numFmtId="3" fontId="11" fillId="2" borderId="1" xfId="0" applyNumberFormat="1" applyFont="1" applyFill="1" applyBorder="1" applyAlignment="1">
      <alignment vertical="center"/>
    </xf>
    <xf numFmtId="0" fontId="12" fillId="2" borderId="1" xfId="3" applyFont="1" applyFill="1" applyBorder="1" applyAlignment="1">
      <alignment horizontal="center"/>
    </xf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right"/>
    </xf>
    <xf numFmtId="164" fontId="12" fillId="2" borderId="1" xfId="0" applyNumberFormat="1" applyFont="1" applyFill="1" applyBorder="1"/>
    <xf numFmtId="0" fontId="11" fillId="2" borderId="1" xfId="0" applyFont="1" applyFill="1" applyBorder="1" applyAlignment="1">
      <alignment vertical="center"/>
    </xf>
    <xf numFmtId="3" fontId="11" fillId="2" borderId="1" xfId="0" applyNumberFormat="1" applyFont="1" applyFill="1" applyBorder="1"/>
    <xf numFmtId="164" fontId="12" fillId="2" borderId="1" xfId="1" applyNumberFormat="1" applyFont="1" applyFill="1" applyBorder="1"/>
    <xf numFmtId="165" fontId="11" fillId="2" borderId="1" xfId="1" applyFont="1" applyFill="1" applyBorder="1"/>
    <xf numFmtId="0" fontId="12" fillId="2" borderId="1" xfId="3" applyFont="1" applyFill="1" applyBorder="1" applyAlignment="1">
      <alignment horizontal="left"/>
    </xf>
    <xf numFmtId="0" fontId="12" fillId="2" borderId="1" xfId="3" applyFont="1" applyFill="1" applyBorder="1" applyAlignment="1">
      <alignment horizontal="right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vertical="center"/>
    </xf>
    <xf numFmtId="3" fontId="11" fillId="2" borderId="1" xfId="0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/>
    </xf>
    <xf numFmtId="4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3" fontId="12" fillId="2" borderId="0" xfId="0" applyNumberFormat="1" applyFont="1" applyFill="1" applyAlignment="1">
      <alignment horizontal="right"/>
    </xf>
    <xf numFmtId="4" fontId="12" fillId="2" borderId="0" xfId="0" applyNumberFormat="1" applyFont="1" applyFill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14" xfId="0" applyFont="1" applyFill="1" applyBorder="1" applyAlignment="1">
      <alignment vertical="top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vertical="top" wrapText="1"/>
    </xf>
    <xf numFmtId="169" fontId="12" fillId="2" borderId="1" xfId="4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 vertical="top" wrapText="1"/>
    </xf>
    <xf numFmtId="4" fontId="12" fillId="2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right" vertical="center"/>
    </xf>
    <xf numFmtId="0" fontId="33" fillId="2" borderId="1" xfId="0" applyFont="1" applyFill="1" applyBorder="1" applyAlignment="1">
      <alignment horizontal="right" vertical="center"/>
    </xf>
    <xf numFmtId="0" fontId="32" fillId="2" borderId="1" xfId="0" applyFont="1" applyFill="1" applyBorder="1" applyAlignment="1">
      <alignment horizontal="right"/>
    </xf>
    <xf numFmtId="3" fontId="32" fillId="2" borderId="1" xfId="0" applyNumberFormat="1" applyFont="1" applyFill="1" applyBorder="1" applyAlignment="1">
      <alignment horizontal="right"/>
    </xf>
    <xf numFmtId="3" fontId="33" fillId="2" borderId="1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165" fontId="11" fillId="2" borderId="1" xfId="0" applyNumberFormat="1" applyFont="1" applyFill="1" applyBorder="1"/>
    <xf numFmtId="0" fontId="11" fillId="2" borderId="15" xfId="0" applyFont="1" applyFill="1" applyBorder="1" applyAlignment="1">
      <alignment vertical="center" textRotation="90" wrapText="1"/>
    </xf>
    <xf numFmtId="0" fontId="12" fillId="2" borderId="1" xfId="3" applyFont="1" applyFill="1" applyBorder="1" applyAlignment="1">
      <alignment wrapText="1"/>
    </xf>
    <xf numFmtId="3" fontId="11" fillId="2" borderId="1" xfId="0" applyNumberFormat="1" applyFont="1" applyFill="1" applyBorder="1" applyAlignment="1">
      <alignment horizontal="right" vertical="top" wrapText="1"/>
    </xf>
    <xf numFmtId="43" fontId="11" fillId="2" borderId="1" xfId="0" applyNumberFormat="1" applyFont="1" applyFill="1" applyBorder="1" applyAlignment="1">
      <alignment horizontal="right" vertical="center"/>
    </xf>
    <xf numFmtId="171" fontId="11" fillId="2" borderId="1" xfId="0" applyNumberFormat="1" applyFont="1" applyFill="1" applyBorder="1" applyAlignment="1">
      <alignment horizontal="right" vertical="center"/>
    </xf>
    <xf numFmtId="4" fontId="11" fillId="2" borderId="0" xfId="0" applyNumberFormat="1" applyFont="1" applyFill="1"/>
    <xf numFmtId="0" fontId="11" fillId="2" borderId="1" xfId="0" applyFont="1" applyFill="1" applyBorder="1" applyAlignment="1">
      <alignment horizontal="left" vertical="top"/>
    </xf>
    <xf numFmtId="4" fontId="11" fillId="2" borderId="1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top"/>
    </xf>
    <xf numFmtId="4" fontId="12" fillId="2" borderId="1" xfId="0" applyNumberFormat="1" applyFont="1" applyFill="1" applyBorder="1" applyAlignment="1">
      <alignment horizontal="right" vertical="center"/>
    </xf>
    <xf numFmtId="3" fontId="11" fillId="2" borderId="1" xfId="3" applyNumberFormat="1" applyFont="1" applyFill="1" applyBorder="1" applyAlignment="1">
      <alignment horizontal="right"/>
    </xf>
    <xf numFmtId="171" fontId="11" fillId="2" borderId="1" xfId="0" applyNumberFormat="1" applyFont="1" applyFill="1" applyBorder="1" applyAlignment="1">
      <alignment horizontal="right"/>
    </xf>
    <xf numFmtId="43" fontId="11" fillId="2" borderId="1" xfId="0" applyNumberFormat="1" applyFont="1" applyFill="1" applyBorder="1" applyAlignment="1">
      <alignment horizontal="right"/>
    </xf>
    <xf numFmtId="4" fontId="11" fillId="2" borderId="0" xfId="0" applyNumberFormat="1" applyFont="1" applyFill="1" applyAlignment="1"/>
    <xf numFmtId="164" fontId="11" fillId="2" borderId="1" xfId="1" applyNumberFormat="1" applyFont="1" applyFill="1" applyBorder="1" applyAlignment="1"/>
    <xf numFmtId="165" fontId="11" fillId="2" borderId="1" xfId="0" applyNumberFormat="1" applyFont="1" applyFill="1" applyBorder="1" applyAlignment="1"/>
    <xf numFmtId="0" fontId="11" fillId="2" borderId="0" xfId="0" applyFont="1" applyFill="1" applyAlignment="1"/>
    <xf numFmtId="0" fontId="12" fillId="2" borderId="15" xfId="0" applyFont="1" applyFill="1" applyBorder="1" applyAlignment="1">
      <alignment vertical="center" textRotation="90" wrapText="1"/>
    </xf>
    <xf numFmtId="0" fontId="12" fillId="2" borderId="1" xfId="0" applyFont="1" applyFill="1" applyBorder="1" applyAlignment="1">
      <alignment horizontal="left"/>
    </xf>
    <xf numFmtId="4" fontId="12" fillId="2" borderId="0" xfId="0" applyNumberFormat="1" applyFont="1" applyFill="1" applyAlignment="1"/>
    <xf numFmtId="165" fontId="12" fillId="2" borderId="1" xfId="0" applyNumberFormat="1" applyFont="1" applyFill="1" applyBorder="1"/>
    <xf numFmtId="3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top" wrapText="1"/>
    </xf>
    <xf numFmtId="43" fontId="11" fillId="2" borderId="1" xfId="0" applyNumberFormat="1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horizontal="left" vertical="center"/>
    </xf>
    <xf numFmtId="43" fontId="12" fillId="2" borderId="1" xfId="0" applyNumberFormat="1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horizontal="right" vertical="top" wrapText="1"/>
    </xf>
    <xf numFmtId="170" fontId="11" fillId="2" borderId="1" xfId="0" applyNumberFormat="1" applyFont="1" applyFill="1" applyBorder="1" applyAlignment="1">
      <alignment horizontal="right"/>
    </xf>
    <xf numFmtId="172" fontId="11" fillId="2" borderId="1" xfId="0" applyNumberFormat="1" applyFont="1" applyFill="1" applyBorder="1" applyAlignment="1">
      <alignment horizontal="right"/>
    </xf>
    <xf numFmtId="171" fontId="12" fillId="2" borderId="1" xfId="0" applyNumberFormat="1" applyFont="1" applyFill="1" applyBorder="1" applyAlignment="1">
      <alignment horizontal="right" vertical="top" wrapText="1"/>
    </xf>
    <xf numFmtId="0" fontId="11" fillId="2" borderId="1" xfId="5" applyFont="1" applyFill="1" applyBorder="1" applyAlignment="1">
      <alignment horizontal="center"/>
    </xf>
    <xf numFmtId="0" fontId="34" fillId="2" borderId="1" xfId="3" applyFont="1" applyFill="1" applyBorder="1" applyAlignment="1">
      <alignment horizontal="left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top"/>
    </xf>
    <xf numFmtId="3" fontId="12" fillId="2" borderId="0" xfId="0" applyNumberFormat="1" applyFont="1" applyFill="1" applyAlignment="1">
      <alignment horizontal="right" vertical="top"/>
    </xf>
    <xf numFmtId="4" fontId="12" fillId="2" borderId="0" xfId="0" applyNumberFormat="1" applyFont="1" applyFill="1" applyAlignment="1">
      <alignment horizontal="right" vertical="top"/>
    </xf>
    <xf numFmtId="0" fontId="11" fillId="2" borderId="0" xfId="0" applyFont="1" applyFill="1" applyAlignment="1">
      <alignment horizontal="right" vertical="top"/>
    </xf>
    <xf numFmtId="4" fontId="11" fillId="2" borderId="0" xfId="0" applyNumberFormat="1" applyFont="1" applyFill="1" applyAlignment="1">
      <alignment horizontal="right" vertical="top"/>
    </xf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right" vertical="top"/>
    </xf>
    <xf numFmtId="3" fontId="12" fillId="2" borderId="1" xfId="0" applyNumberFormat="1" applyFont="1" applyFill="1" applyBorder="1" applyAlignment="1">
      <alignment horizontal="right" vertical="top"/>
    </xf>
    <xf numFmtId="4" fontId="12" fillId="2" borderId="1" xfId="0" applyNumberFormat="1" applyFont="1" applyFill="1" applyBorder="1" applyAlignment="1">
      <alignment horizontal="right" vertical="top"/>
    </xf>
    <xf numFmtId="4" fontId="12" fillId="2" borderId="2" xfId="0" applyNumberFormat="1" applyFont="1" applyFill="1" applyBorder="1" applyAlignment="1">
      <alignment horizontal="right" vertical="top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top" textRotation="90" wrapText="1"/>
    </xf>
    <xf numFmtId="0" fontId="11" fillId="2" borderId="1" xfId="0" applyFont="1" applyFill="1" applyBorder="1" applyAlignment="1">
      <alignment horizontal="right" vertical="top"/>
    </xf>
    <xf numFmtId="164" fontId="11" fillId="2" borderId="1" xfId="1" applyNumberFormat="1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vertical="top"/>
    </xf>
    <xf numFmtId="0" fontId="11" fillId="2" borderId="15" xfId="0" applyFont="1" applyFill="1" applyBorder="1" applyAlignment="1">
      <alignment vertical="top" textRotation="90" wrapText="1"/>
    </xf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right" vertical="top" wrapText="1"/>
    </xf>
    <xf numFmtId="3" fontId="11" fillId="2" borderId="1" xfId="0" applyNumberFormat="1" applyFont="1" applyFill="1" applyBorder="1" applyAlignment="1">
      <alignment horizontal="right" vertical="top"/>
    </xf>
    <xf numFmtId="4" fontId="11" fillId="2" borderId="1" xfId="0" applyNumberFormat="1" applyFont="1" applyFill="1" applyBorder="1" applyAlignment="1">
      <alignment horizontal="right" vertical="top"/>
    </xf>
    <xf numFmtId="167" fontId="11" fillId="2" borderId="1" xfId="0" applyNumberFormat="1" applyFont="1" applyFill="1" applyBorder="1" applyAlignment="1">
      <alignment horizontal="right" vertical="top" wrapText="1"/>
    </xf>
    <xf numFmtId="4" fontId="11" fillId="2" borderId="1" xfId="0" applyNumberFormat="1" applyFont="1" applyFill="1" applyBorder="1" applyAlignment="1">
      <alignment vertical="top"/>
    </xf>
    <xf numFmtId="0" fontId="12" fillId="2" borderId="15" xfId="0" applyFont="1" applyFill="1" applyBorder="1" applyAlignment="1">
      <alignment vertical="top" textRotation="90" wrapText="1"/>
    </xf>
    <xf numFmtId="4" fontId="12" fillId="2" borderId="1" xfId="3" applyNumberFormat="1" applyFont="1" applyFill="1" applyBorder="1" applyAlignment="1">
      <alignment horizontal="left"/>
    </xf>
    <xf numFmtId="0" fontId="12" fillId="2" borderId="0" xfId="0" applyFont="1" applyFill="1" applyAlignment="1">
      <alignment vertical="top"/>
    </xf>
    <xf numFmtId="43" fontId="12" fillId="2" borderId="1" xfId="0" applyNumberFormat="1" applyFont="1" applyFill="1" applyBorder="1" applyAlignment="1">
      <alignment horizontal="right" vertical="top"/>
    </xf>
    <xf numFmtId="164" fontId="12" fillId="2" borderId="1" xfId="0" applyNumberFormat="1" applyFont="1" applyFill="1" applyBorder="1" applyAlignment="1">
      <alignment vertical="top"/>
    </xf>
    <xf numFmtId="0" fontId="33" fillId="2" borderId="1" xfId="0" applyFont="1" applyFill="1" applyBorder="1" applyAlignment="1">
      <alignment horizontal="right" vertical="top"/>
    </xf>
    <xf numFmtId="3" fontId="33" fillId="2" borderId="1" xfId="0" applyNumberFormat="1" applyFont="1" applyFill="1" applyBorder="1" applyAlignment="1">
      <alignment horizontal="right" vertical="top"/>
    </xf>
    <xf numFmtId="4" fontId="33" fillId="2" borderId="1" xfId="0" applyNumberFormat="1" applyFont="1" applyFill="1" applyBorder="1" applyAlignment="1">
      <alignment horizontal="right" vertical="top"/>
    </xf>
    <xf numFmtId="0" fontId="11" fillId="2" borderId="15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right" vertical="center"/>
    </xf>
    <xf numFmtId="0" fontId="11" fillId="2" borderId="1" xfId="3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 wrapText="1"/>
    </xf>
    <xf numFmtId="43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right" vertical="top"/>
    </xf>
    <xf numFmtId="1" fontId="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3" applyFont="1" applyFill="1" applyBorder="1" applyAlignment="1"/>
    <xf numFmtId="0" fontId="0" fillId="2" borderId="1" xfId="0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right" vertical="center" textRotation="90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5" applyFont="1" applyFill="1" applyBorder="1" applyAlignment="1">
      <alignment horizontal="right"/>
    </xf>
    <xf numFmtId="164" fontId="11" fillId="2" borderId="1" xfId="1" applyNumberFormat="1" applyFont="1" applyFill="1" applyBorder="1" applyAlignment="1">
      <alignment horizontal="right"/>
    </xf>
    <xf numFmtId="165" fontId="11" fillId="2" borderId="1" xfId="0" applyNumberFormat="1" applyFont="1" applyFill="1" applyBorder="1" applyAlignment="1">
      <alignment horizontal="right"/>
    </xf>
    <xf numFmtId="165" fontId="12" fillId="2" borderId="1" xfId="1" applyFont="1" applyFill="1" applyBorder="1" applyAlignment="1">
      <alignment horizontal="center" vertical="top" wrapText="1"/>
    </xf>
    <xf numFmtId="0" fontId="11" fillId="2" borderId="1" xfId="5" applyFont="1" applyFill="1" applyBorder="1"/>
    <xf numFmtId="164" fontId="12" fillId="2" borderId="1" xfId="1" applyNumberFormat="1" applyFont="1" applyFill="1" applyBorder="1" applyAlignment="1">
      <alignment vertical="top"/>
    </xf>
    <xf numFmtId="3" fontId="0" fillId="2" borderId="1" xfId="0" applyNumberFormat="1" applyFont="1" applyFill="1" applyBorder="1" applyAlignment="1">
      <alignment horizontal="right" vertical="center"/>
    </xf>
    <xf numFmtId="3" fontId="20" fillId="2" borderId="1" xfId="0" applyNumberFormat="1" applyFont="1" applyFill="1" applyBorder="1" applyAlignment="1">
      <alignment horizontal="right" vertical="top"/>
    </xf>
    <xf numFmtId="0" fontId="11" fillId="2" borderId="1" xfId="0" applyFont="1" applyFill="1" applyBorder="1" applyAlignment="1">
      <alignment horizontal="left" vertical="center"/>
    </xf>
    <xf numFmtId="4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vertical="top"/>
    </xf>
    <xf numFmtId="0" fontId="11" fillId="2" borderId="0" xfId="0" applyFont="1" applyFill="1" applyAlignment="1">
      <alignment horizontal="center" vertical="top"/>
    </xf>
    <xf numFmtId="3" fontId="11" fillId="2" borderId="0" xfId="0" applyNumberFormat="1" applyFont="1" applyFill="1" applyAlignment="1">
      <alignment horizontal="right" vertical="top"/>
    </xf>
    <xf numFmtId="4" fontId="11" fillId="2" borderId="0" xfId="0" applyNumberFormat="1" applyFont="1" applyFill="1" applyAlignment="1">
      <alignment vertical="top"/>
    </xf>
    <xf numFmtId="0" fontId="12" fillId="2" borderId="16" xfId="0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4" fontId="12" fillId="2" borderId="1" xfId="0" applyNumberFormat="1" applyFont="1" applyFill="1" applyBorder="1" applyAlignment="1">
      <alignment vertical="top"/>
    </xf>
    <xf numFmtId="0" fontId="12" fillId="2" borderId="13" xfId="0" applyFont="1" applyFill="1" applyBorder="1" applyAlignment="1">
      <alignment vertical="top"/>
    </xf>
    <xf numFmtId="1" fontId="11" fillId="2" borderId="1" xfId="0" applyNumberFormat="1" applyFont="1" applyFill="1" applyBorder="1" applyAlignment="1">
      <alignment horizontal="left" vertical="top"/>
    </xf>
    <xf numFmtId="43" fontId="11" fillId="2" borderId="1" xfId="0" applyNumberFormat="1" applyFont="1" applyFill="1" applyBorder="1" applyAlignment="1">
      <alignment horizontal="left" vertical="top"/>
    </xf>
    <xf numFmtId="0" fontId="33" fillId="2" borderId="1" xfId="0" applyFont="1" applyFill="1" applyBorder="1" applyAlignment="1">
      <alignment horizontal="left" vertical="top"/>
    </xf>
    <xf numFmtId="43" fontId="11" fillId="2" borderId="1" xfId="0" applyNumberFormat="1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right" vertical="top"/>
    </xf>
    <xf numFmtId="43" fontId="11" fillId="2" borderId="1" xfId="0" applyNumberFormat="1" applyFont="1" applyFill="1" applyBorder="1" applyAlignment="1">
      <alignment horizontal="right" vertical="top"/>
    </xf>
    <xf numFmtId="0" fontId="11" fillId="2" borderId="1" xfId="6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right"/>
    </xf>
    <xf numFmtId="43" fontId="12" fillId="2" borderId="1" xfId="0" applyNumberFormat="1" applyFont="1" applyFill="1" applyBorder="1" applyAlignment="1">
      <alignment horizontal="right"/>
    </xf>
    <xf numFmtId="165" fontId="11" fillId="2" borderId="1" xfId="1" applyFont="1" applyFill="1" applyBorder="1" applyAlignment="1">
      <alignment horizontal="right" vertical="top"/>
    </xf>
    <xf numFmtId="2" fontId="12" fillId="2" borderId="1" xfId="3" applyNumberFormat="1" applyFont="1" applyFill="1" applyBorder="1" applyAlignment="1">
      <alignment horizontal="right"/>
    </xf>
    <xf numFmtId="164" fontId="12" fillId="2" borderId="1" xfId="1" applyNumberFormat="1" applyFont="1" applyFill="1" applyBorder="1" applyAlignment="1">
      <alignment horizontal="right" vertical="top"/>
    </xf>
    <xf numFmtId="3" fontId="12" fillId="2" borderId="0" xfId="0" applyNumberFormat="1" applyFont="1" applyFill="1" applyAlignment="1">
      <alignment vertical="top"/>
    </xf>
    <xf numFmtId="4" fontId="12" fillId="2" borderId="0" xfId="0" applyNumberFormat="1" applyFont="1" applyFill="1" applyAlignment="1">
      <alignment vertical="top"/>
    </xf>
    <xf numFmtId="0" fontId="12" fillId="2" borderId="16" xfId="0" applyFont="1" applyFill="1" applyBorder="1" applyAlignment="1">
      <alignment horizontal="right" vertical="top"/>
    </xf>
    <xf numFmtId="0" fontId="11" fillId="2" borderId="0" xfId="0" applyFont="1" applyFill="1" applyAlignment="1">
      <alignment horizontal="left" vertical="top"/>
    </xf>
    <xf numFmtId="0" fontId="12" fillId="2" borderId="12" xfId="0" applyFont="1" applyFill="1" applyBorder="1" applyAlignment="1">
      <alignment horizontal="left" vertical="top"/>
    </xf>
    <xf numFmtId="0" fontId="12" fillId="2" borderId="13" xfId="0" applyFont="1" applyFill="1" applyBorder="1" applyAlignment="1">
      <alignment horizontal="left" vertical="top"/>
    </xf>
    <xf numFmtId="169" fontId="12" fillId="2" borderId="12" xfId="4" applyNumberFormat="1" applyFont="1" applyFill="1" applyBorder="1" applyAlignment="1">
      <alignment horizontal="right"/>
    </xf>
    <xf numFmtId="3" fontId="12" fillId="2" borderId="12" xfId="0" applyNumberFormat="1" applyFont="1" applyFill="1" applyBorder="1" applyAlignment="1">
      <alignment horizontal="left" vertical="top"/>
    </xf>
    <xf numFmtId="4" fontId="12" fillId="2" borderId="12" xfId="0" applyNumberFormat="1" applyFont="1" applyFill="1" applyBorder="1" applyAlignment="1">
      <alignment horizontal="left" vertical="top"/>
    </xf>
    <xf numFmtId="0" fontId="12" fillId="2" borderId="12" xfId="0" applyFont="1" applyFill="1" applyBorder="1" applyAlignment="1">
      <alignment horizontal="right" vertical="top"/>
    </xf>
    <xf numFmtId="0" fontId="12" fillId="2" borderId="12" xfId="0" applyFont="1" applyFill="1" applyBorder="1" applyAlignment="1">
      <alignment vertical="top"/>
    </xf>
    <xf numFmtId="0" fontId="12" fillId="2" borderId="12" xfId="0" applyFont="1" applyFill="1" applyBorder="1" applyAlignment="1">
      <alignment horizontal="left" vertical="top" wrapText="1"/>
    </xf>
    <xf numFmtId="4" fontId="11" fillId="2" borderId="1" xfId="0" applyNumberFormat="1" applyFont="1" applyFill="1" applyBorder="1" applyAlignment="1">
      <alignment horizontal="right" wrapText="1"/>
    </xf>
    <xf numFmtId="0" fontId="33" fillId="2" borderId="1" xfId="0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 wrapText="1"/>
    </xf>
    <xf numFmtId="4" fontId="12" fillId="2" borderId="1" xfId="0" applyNumberFormat="1" applyFont="1" applyFill="1" applyBorder="1" applyAlignment="1">
      <alignment horizontal="right" wrapText="1"/>
    </xf>
    <xf numFmtId="0" fontId="12" fillId="2" borderId="15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wrapText="1"/>
    </xf>
    <xf numFmtId="0" fontId="12" fillId="2" borderId="0" xfId="0" applyFont="1" applyFill="1" applyAlignment="1">
      <alignment horizontal="left" vertical="top"/>
    </xf>
    <xf numFmtId="0" fontId="11" fillId="2" borderId="1" xfId="0" applyFont="1" applyFill="1" applyBorder="1" applyAlignment="1">
      <alignment wrapText="1"/>
    </xf>
    <xf numFmtId="0" fontId="12" fillId="2" borderId="13" xfId="0" applyFont="1" applyFill="1" applyBorder="1"/>
    <xf numFmtId="1" fontId="12" fillId="2" borderId="1" xfId="0" applyNumberFormat="1" applyFont="1" applyFill="1" applyBorder="1" applyAlignment="1">
      <alignment horizontal="right" vertical="top"/>
    </xf>
    <xf numFmtId="0" fontId="11" fillId="2" borderId="13" xfId="0" applyFont="1" applyFill="1" applyBorder="1"/>
    <xf numFmtId="0" fontId="12" fillId="2" borderId="14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right" vertical="top" wrapText="1"/>
    </xf>
    <xf numFmtId="0" fontId="12" fillId="2" borderId="13" xfId="0" applyFont="1" applyFill="1" applyBorder="1" applyAlignment="1">
      <alignment horizontal="right"/>
    </xf>
    <xf numFmtId="0" fontId="12" fillId="2" borderId="0" xfId="0" applyFont="1" applyFill="1" applyAlignment="1">
      <alignment horizontal="right" vertical="top"/>
    </xf>
    <xf numFmtId="3" fontId="12" fillId="2" borderId="1" xfId="0" applyNumberFormat="1" applyFont="1" applyFill="1" applyBorder="1" applyAlignment="1">
      <alignment horizontal="right"/>
    </xf>
    <xf numFmtId="1" fontId="11" fillId="2" borderId="1" xfId="0" applyNumberFormat="1" applyFont="1" applyFill="1" applyBorder="1" applyAlignment="1">
      <alignment horizontal="right"/>
    </xf>
    <xf numFmtId="0" fontId="12" fillId="2" borderId="13" xfId="0" applyFont="1" applyFill="1" applyBorder="1" applyAlignment="1">
      <alignment wrapText="1"/>
    </xf>
    <xf numFmtId="1" fontId="12" fillId="2" borderId="1" xfId="0" applyNumberFormat="1" applyFont="1" applyFill="1" applyBorder="1" applyAlignment="1">
      <alignment horizontal="right" wrapText="1"/>
    </xf>
    <xf numFmtId="3" fontId="11" fillId="2" borderId="0" xfId="0" applyNumberFormat="1" applyFont="1" applyFill="1" applyAlignment="1">
      <alignment horizontal="left" vertical="top"/>
    </xf>
    <xf numFmtId="4" fontId="11" fillId="2" borderId="0" xfId="0" applyNumberFormat="1" applyFont="1" applyFill="1" applyAlignment="1">
      <alignment horizontal="left" vertical="top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" fontId="11" fillId="2" borderId="0" xfId="0" applyNumberFormat="1" applyFont="1" applyFill="1"/>
    <xf numFmtId="1" fontId="12" fillId="2" borderId="12" xfId="0" applyNumberFormat="1" applyFont="1" applyFill="1" applyBorder="1" applyAlignment="1">
      <alignment horizontal="center" vertical="top" wrapText="1"/>
    </xf>
    <xf numFmtId="1" fontId="12" fillId="2" borderId="13" xfId="0" applyNumberFormat="1" applyFont="1" applyFill="1" applyBorder="1" applyAlignment="1">
      <alignment horizontal="center" vertical="top" wrapText="1"/>
    </xf>
    <xf numFmtId="169" fontId="12" fillId="2" borderId="17" xfId="4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 vertical="top"/>
    </xf>
    <xf numFmtId="4" fontId="12" fillId="2" borderId="12" xfId="0" applyNumberFormat="1" applyFont="1" applyFill="1" applyBorder="1" applyAlignment="1">
      <alignment vertical="top"/>
    </xf>
    <xf numFmtId="0" fontId="12" fillId="2" borderId="4" xfId="0" applyFont="1" applyFill="1" applyBorder="1" applyAlignment="1">
      <alignment vertical="top"/>
    </xf>
    <xf numFmtId="0" fontId="12" fillId="2" borderId="2" xfId="0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left"/>
    </xf>
    <xf numFmtId="0" fontId="33" fillId="2" borderId="1" xfId="0" applyFont="1" applyFill="1" applyBorder="1" applyAlignment="1">
      <alignment horizontal="left"/>
    </xf>
    <xf numFmtId="4" fontId="33" fillId="2" borderId="1" xfId="0" applyNumberFormat="1" applyFont="1" applyFill="1" applyBorder="1" applyAlignment="1">
      <alignment horizontal="left" vertical="top"/>
    </xf>
    <xf numFmtId="4" fontId="12" fillId="2" borderId="1" xfId="0" applyNumberFormat="1" applyFont="1" applyFill="1" applyBorder="1" applyAlignment="1">
      <alignment horizontal="center" vertical="top"/>
    </xf>
    <xf numFmtId="4" fontId="12" fillId="2" borderId="2" xfId="0" applyNumberFormat="1" applyFont="1" applyFill="1" applyBorder="1" applyAlignment="1">
      <alignment horizontal="center" vertical="top"/>
    </xf>
    <xf numFmtId="1" fontId="11" fillId="2" borderId="1" xfId="0" applyNumberFormat="1" applyFont="1" applyFill="1" applyBorder="1"/>
    <xf numFmtId="2" fontId="33" fillId="2" borderId="1" xfId="0" applyNumberFormat="1" applyFont="1" applyFill="1" applyBorder="1" applyAlignment="1">
      <alignment horizontal="left"/>
    </xf>
    <xf numFmtId="2" fontId="11" fillId="2" borderId="1" xfId="0" applyNumberFormat="1" applyFont="1" applyFill="1" applyBorder="1" applyAlignment="1">
      <alignment horizontal="left" vertical="top"/>
    </xf>
    <xf numFmtId="4" fontId="11" fillId="2" borderId="1" xfId="0" applyNumberFormat="1" applyFont="1" applyFill="1" applyBorder="1" applyAlignment="1">
      <alignment horizontal="left" vertical="top"/>
    </xf>
    <xf numFmtId="43" fontId="11" fillId="2" borderId="1" xfId="0" applyNumberFormat="1" applyFont="1" applyFill="1" applyBorder="1" applyAlignment="1">
      <alignment horizontal="left"/>
    </xf>
    <xf numFmtId="0" fontId="12" fillId="2" borderId="2" xfId="0" applyFont="1" applyFill="1" applyBorder="1" applyAlignment="1">
      <alignment horizontal="left" wrapText="1"/>
    </xf>
    <xf numFmtId="0" fontId="11" fillId="2" borderId="2" xfId="0" applyFont="1" applyFill="1" applyBorder="1"/>
    <xf numFmtId="164" fontId="11" fillId="2" borderId="2" xfId="1" applyNumberFormat="1" applyFont="1" applyFill="1" applyBorder="1"/>
    <xf numFmtId="166" fontId="11" fillId="2" borderId="1" xfId="0" applyNumberFormat="1" applyFont="1" applyFill="1" applyBorder="1" applyAlignment="1">
      <alignment horizontal="left" vertical="top" wrapText="1"/>
    </xf>
    <xf numFmtId="1" fontId="12" fillId="2" borderId="1" xfId="0" applyNumberFormat="1" applyFont="1" applyFill="1" applyBorder="1" applyAlignment="1">
      <alignment vertical="top" wrapText="1"/>
    </xf>
    <xf numFmtId="0" fontId="11" fillId="2" borderId="1" xfId="3" applyFont="1" applyFill="1" applyBorder="1" applyAlignment="1">
      <alignment horizontal="center" wrapText="1"/>
    </xf>
    <xf numFmtId="0" fontId="12" fillId="2" borderId="1" xfId="6" applyFont="1" applyFill="1" applyBorder="1" applyAlignment="1">
      <alignment horizontal="center"/>
    </xf>
    <xf numFmtId="169" fontId="12" fillId="2" borderId="0" xfId="4" applyNumberFormat="1" applyFont="1" applyFill="1" applyAlignment="1">
      <alignment horizontal="right"/>
    </xf>
    <xf numFmtId="0" fontId="12" fillId="2" borderId="2" xfId="0" applyFont="1" applyFill="1" applyBorder="1" applyAlignment="1">
      <alignment wrapText="1"/>
    </xf>
    <xf numFmtId="1" fontId="32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>
      <alignment horizontal="right"/>
    </xf>
    <xf numFmtId="43" fontId="11" fillId="2" borderId="1" xfId="0" applyNumberFormat="1" applyFont="1" applyFill="1" applyBorder="1"/>
    <xf numFmtId="4" fontId="12" fillId="2" borderId="1" xfId="0" applyNumberFormat="1" applyFont="1" applyFill="1" applyBorder="1" applyAlignment="1">
      <alignment vertical="top" wrapText="1"/>
    </xf>
    <xf numFmtId="4" fontId="12" fillId="2" borderId="2" xfId="0" applyNumberFormat="1" applyFont="1" applyFill="1" applyBorder="1" applyAlignment="1">
      <alignment vertical="top" wrapText="1"/>
    </xf>
    <xf numFmtId="164" fontId="12" fillId="2" borderId="2" xfId="1" applyNumberFormat="1" applyFont="1" applyFill="1" applyBorder="1"/>
    <xf numFmtId="4" fontId="11" fillId="2" borderId="2" xfId="0" applyNumberFormat="1" applyFont="1" applyFill="1" applyBorder="1" applyAlignment="1">
      <alignment vertical="top" wrapText="1"/>
    </xf>
    <xf numFmtId="4" fontId="11" fillId="2" borderId="1" xfId="0" applyNumberFormat="1" applyFont="1" applyFill="1" applyBorder="1" applyAlignment="1">
      <alignment vertical="top" wrapText="1"/>
    </xf>
    <xf numFmtId="4" fontId="11" fillId="2" borderId="2" xfId="0" applyNumberFormat="1" applyFont="1" applyFill="1" applyBorder="1" applyAlignment="1">
      <alignment horizontal="right" vertical="top"/>
    </xf>
    <xf numFmtId="0" fontId="12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top" wrapText="1"/>
    </xf>
    <xf numFmtId="169" fontId="35" fillId="2" borderId="0" xfId="4" applyNumberFormat="1" applyFont="1" applyFill="1" applyAlignment="1">
      <alignment horizontal="right"/>
    </xf>
    <xf numFmtId="0" fontId="32" fillId="2" borderId="18" xfId="0" applyFont="1" applyFill="1" applyBorder="1" applyAlignment="1">
      <alignment horizontal="left"/>
    </xf>
    <xf numFmtId="4" fontId="32" fillId="2" borderId="1" xfId="0" applyNumberFormat="1" applyFont="1" applyFill="1" applyBorder="1" applyAlignment="1">
      <alignment horizontal="left"/>
    </xf>
    <xf numFmtId="0" fontId="11" fillId="2" borderId="18" xfId="0" applyFont="1" applyFill="1" applyBorder="1" applyAlignment="1">
      <alignment vertical="top" wrapText="1"/>
    </xf>
    <xf numFmtId="4" fontId="11" fillId="2" borderId="1" xfId="0" applyNumberFormat="1" applyFont="1" applyFill="1" applyBorder="1" applyAlignment="1"/>
    <xf numFmtId="43" fontId="11" fillId="2" borderId="1" xfId="0" applyNumberFormat="1" applyFont="1" applyFill="1" applyBorder="1" applyAlignment="1"/>
    <xf numFmtId="0" fontId="34" fillId="2" borderId="1" xfId="7" applyFont="1" applyFill="1" applyBorder="1" applyAlignment="1">
      <alignment horizontal="center"/>
    </xf>
    <xf numFmtId="0" fontId="11" fillId="2" borderId="1" xfId="0" applyFont="1" applyFill="1" applyBorder="1" applyAlignment="1"/>
    <xf numFmtId="164" fontId="11" fillId="2" borderId="1" xfId="0" applyNumberFormat="1" applyFont="1" applyFill="1" applyBorder="1" applyAlignment="1"/>
    <xf numFmtId="164" fontId="11" fillId="2" borderId="2" xfId="1" applyNumberFormat="1" applyFont="1" applyFill="1" applyBorder="1" applyAlignment="1"/>
    <xf numFmtId="43" fontId="12" fillId="2" borderId="1" xfId="0" applyNumberFormat="1" applyFont="1" applyFill="1" applyBorder="1" applyAlignment="1">
      <alignment vertical="top" wrapText="1"/>
    </xf>
    <xf numFmtId="0" fontId="12" fillId="2" borderId="18" xfId="0" applyFont="1" applyFill="1" applyBorder="1" applyAlignment="1">
      <alignment vertical="top" wrapText="1"/>
    </xf>
    <xf numFmtId="0" fontId="12" fillId="2" borderId="18" xfId="0" applyFont="1" applyFill="1" applyBorder="1"/>
    <xf numFmtId="0" fontId="11" fillId="2" borderId="18" xfId="0" applyFont="1" applyFill="1" applyBorder="1"/>
    <xf numFmtId="0" fontId="12" fillId="2" borderId="18" xfId="0" applyFont="1" applyFill="1" applyBorder="1" applyAlignment="1">
      <alignment horizontal="right" vertical="top"/>
    </xf>
    <xf numFmtId="4" fontId="12" fillId="2" borderId="2" xfId="0" applyNumberFormat="1" applyFont="1" applyFill="1" applyBorder="1"/>
    <xf numFmtId="3" fontId="11" fillId="2" borderId="0" xfId="0" applyNumberFormat="1" applyFont="1" applyFill="1" applyAlignment="1">
      <alignment vertical="top"/>
    </xf>
    <xf numFmtId="3" fontId="12" fillId="2" borderId="1" xfId="0" applyNumberFormat="1" applyFont="1" applyFill="1" applyBorder="1" applyAlignment="1">
      <alignment horizontal="center" vertical="top"/>
    </xf>
    <xf numFmtId="0" fontId="11" fillId="2" borderId="1" xfId="8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left" vertical="top"/>
    </xf>
    <xf numFmtId="0" fontId="36" fillId="2" borderId="1" xfId="3" applyFont="1" applyFill="1" applyBorder="1"/>
    <xf numFmtId="0" fontId="37" fillId="2" borderId="1" xfId="3" applyFont="1" applyFill="1" applyBorder="1" applyAlignment="1">
      <alignment horizontal="left"/>
    </xf>
    <xf numFmtId="0" fontId="36" fillId="2" borderId="1" xfId="3" applyFont="1" applyFill="1" applyBorder="1" applyAlignment="1">
      <alignment horizontal="center"/>
    </xf>
    <xf numFmtId="43" fontId="37" fillId="2" borderId="1" xfId="0" applyNumberFormat="1" applyFont="1" applyFill="1" applyBorder="1" applyAlignment="1">
      <alignment vertical="top" wrapText="1"/>
    </xf>
    <xf numFmtId="2" fontId="11" fillId="2" borderId="0" xfId="0" applyNumberFormat="1" applyFont="1" applyFill="1" applyAlignment="1">
      <alignment horizontal="left" vertical="top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4" fontId="14" fillId="2" borderId="12" xfId="0" applyNumberFormat="1" applyFont="1" applyFill="1" applyBorder="1" applyAlignment="1">
      <alignment horizontal="right" vertical="center" wrapText="1"/>
    </xf>
    <xf numFmtId="4" fontId="14" fillId="2" borderId="12" xfId="0" applyNumberFormat="1" applyFont="1" applyFill="1" applyBorder="1" applyAlignment="1">
      <alignment vertical="center"/>
    </xf>
    <xf numFmtId="4" fontId="13" fillId="2" borderId="12" xfId="0" applyNumberFormat="1" applyFont="1" applyFill="1" applyBorder="1" applyAlignment="1">
      <alignment vertical="center"/>
    </xf>
    <xf numFmtId="0" fontId="14" fillId="2" borderId="1" xfId="3" applyFont="1" applyFill="1" applyBorder="1" applyAlignment="1">
      <alignment vertical="center" wrapText="1"/>
    </xf>
    <xf numFmtId="4" fontId="14" fillId="2" borderId="1" xfId="4" applyNumberFormat="1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3" fontId="14" fillId="2" borderId="1" xfId="3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vertical="center"/>
    </xf>
    <xf numFmtId="164" fontId="14" fillId="2" borderId="1" xfId="1" applyNumberFormat="1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168" fontId="14" fillId="2" borderId="1" xfId="0" applyNumberFormat="1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vertical="center" wrapText="1"/>
    </xf>
    <xf numFmtId="0" fontId="14" fillId="2" borderId="1" xfId="3" applyFont="1" applyFill="1" applyBorder="1" applyAlignment="1">
      <alignment horizontal="right" vertical="center"/>
    </xf>
    <xf numFmtId="4" fontId="13" fillId="2" borderId="18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4" fillId="2" borderId="0" xfId="0" applyFont="1" applyFill="1" applyAlignment="1">
      <alignment horizontal="right" vertical="center"/>
    </xf>
    <xf numFmtId="1" fontId="14" fillId="2" borderId="0" xfId="0" applyNumberFormat="1" applyFont="1" applyFill="1" applyAlignment="1">
      <alignment vertical="center"/>
    </xf>
    <xf numFmtId="1" fontId="13" fillId="2" borderId="0" xfId="0" applyNumberFormat="1" applyFont="1" applyFill="1" applyAlignment="1">
      <alignment vertical="center"/>
    </xf>
    <xf numFmtId="2" fontId="13" fillId="2" borderId="0" xfId="0" applyNumberFormat="1" applyFont="1" applyFill="1" applyAlignment="1">
      <alignment vertical="center"/>
    </xf>
    <xf numFmtId="1" fontId="14" fillId="2" borderId="1" xfId="0" applyNumberFormat="1" applyFont="1" applyFill="1" applyBorder="1" applyAlignment="1">
      <alignment vertical="center"/>
    </xf>
    <xf numFmtId="0" fontId="13" fillId="2" borderId="1" xfId="3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 wrapText="1"/>
    </xf>
    <xf numFmtId="0" fontId="14" fillId="2" borderId="1" xfId="3" applyFont="1" applyFill="1" applyBorder="1" applyAlignment="1">
      <alignment vertical="center"/>
    </xf>
    <xf numFmtId="3" fontId="14" fillId="2" borderId="1" xfId="3" applyNumberFormat="1" applyFont="1" applyFill="1" applyBorder="1" applyAlignment="1">
      <alignment vertical="center"/>
    </xf>
    <xf numFmtId="1" fontId="14" fillId="2" borderId="1" xfId="0" applyNumberFormat="1" applyFont="1" applyFill="1" applyBorder="1" applyAlignment="1">
      <alignment vertical="center" wrapText="1"/>
    </xf>
    <xf numFmtId="4" fontId="13" fillId="2" borderId="1" xfId="3" applyNumberFormat="1" applyFont="1" applyFill="1" applyBorder="1" applyAlignment="1">
      <alignment vertical="center"/>
    </xf>
    <xf numFmtId="1" fontId="13" fillId="2" borderId="1" xfId="0" applyNumberFormat="1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vertical="top"/>
    </xf>
    <xf numFmtId="4" fontId="11" fillId="2" borderId="0" xfId="0" applyNumberFormat="1" applyFont="1" applyFill="1" applyAlignment="1">
      <alignment vertical="center"/>
    </xf>
    <xf numFmtId="43" fontId="11" fillId="2" borderId="0" xfId="0" applyNumberFormat="1" applyFont="1" applyFill="1" applyAlignment="1">
      <alignment horizontal="right" vertical="top"/>
    </xf>
    <xf numFmtId="164" fontId="11" fillId="2" borderId="0" xfId="0" applyNumberFormat="1" applyFont="1" applyFill="1" applyAlignment="1">
      <alignment horizontal="right" vertical="top"/>
    </xf>
    <xf numFmtId="0" fontId="38" fillId="3" borderId="0" xfId="0" applyFont="1" applyFill="1"/>
    <xf numFmtId="0" fontId="39" fillId="0" borderId="0" xfId="0" applyFont="1"/>
    <xf numFmtId="4" fontId="39" fillId="0" borderId="0" xfId="0" applyNumberFormat="1" applyFont="1"/>
    <xf numFmtId="0" fontId="38" fillId="0" borderId="0" xfId="0" applyFont="1"/>
    <xf numFmtId="1" fontId="38" fillId="0" borderId="0" xfId="0" applyNumberFormat="1" applyFont="1"/>
    <xf numFmtId="1" fontId="39" fillId="0" borderId="0" xfId="0" applyNumberFormat="1" applyFont="1"/>
    <xf numFmtId="4" fontId="0" fillId="0" borderId="0" xfId="0" applyNumberFormat="1"/>
    <xf numFmtId="0" fontId="12" fillId="2" borderId="17" xfId="0" applyFont="1" applyFill="1" applyBorder="1" applyAlignment="1"/>
    <xf numFmtId="0" fontId="28" fillId="0" borderId="0" xfId="0" applyFont="1" applyBorder="1" applyAlignment="1">
      <alignment horizontal="center" wrapText="1" readingOrder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15" xfId="0" applyFont="1" applyFill="1" applyBorder="1" applyAlignment="1">
      <alignment horizontal="center" vertical="center" textRotation="90" wrapText="1"/>
    </xf>
    <xf numFmtId="4" fontId="12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left" vertical="top"/>
    </xf>
    <xf numFmtId="0" fontId="12" fillId="2" borderId="1" xfId="0" applyFont="1" applyFill="1" applyBorder="1" applyAlignment="1">
      <alignment horizontal="right" vertical="top"/>
    </xf>
    <xf numFmtId="0" fontId="12" fillId="2" borderId="15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1" fontId="14" fillId="8" borderId="1" xfId="0" applyNumberFormat="1" applyFont="1" applyFill="1" applyBorder="1" applyAlignment="1">
      <alignment vertical="center" wrapText="1"/>
    </xf>
    <xf numFmtId="0" fontId="13" fillId="8" borderId="1" xfId="3" applyFont="1" applyFill="1" applyBorder="1" applyAlignment="1">
      <alignment vertical="center" wrapText="1"/>
    </xf>
    <xf numFmtId="0" fontId="13" fillId="8" borderId="1" xfId="3" applyFont="1" applyFill="1" applyBorder="1" applyAlignment="1">
      <alignment vertical="center"/>
    </xf>
    <xf numFmtId="0" fontId="13" fillId="8" borderId="1" xfId="3" applyFont="1" applyFill="1" applyBorder="1" applyAlignment="1">
      <alignment horizontal="right" vertical="center"/>
    </xf>
    <xf numFmtId="4" fontId="13" fillId="8" borderId="1" xfId="3" applyNumberFormat="1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4" fontId="14" fillId="8" borderId="1" xfId="0" applyNumberFormat="1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 wrapText="1"/>
    </xf>
    <xf numFmtId="3" fontId="13" fillId="8" borderId="1" xfId="0" applyNumberFormat="1" applyFont="1" applyFill="1" applyBorder="1" applyAlignment="1">
      <alignment vertical="center"/>
    </xf>
    <xf numFmtId="0" fontId="13" fillId="8" borderId="0" xfId="0" applyFont="1" applyFill="1" applyAlignment="1">
      <alignment vertical="center"/>
    </xf>
    <xf numFmtId="164" fontId="13" fillId="8" borderId="1" xfId="1" applyNumberFormat="1" applyFont="1" applyFill="1" applyBorder="1" applyAlignment="1">
      <alignment vertical="center"/>
    </xf>
    <xf numFmtId="165" fontId="13" fillId="8" borderId="1" xfId="0" applyNumberFormat="1" applyFont="1" applyFill="1" applyBorder="1" applyAlignment="1">
      <alignment vertical="center"/>
    </xf>
    <xf numFmtId="1" fontId="13" fillId="8" borderId="1" xfId="0" applyNumberFormat="1" applyFont="1" applyFill="1" applyBorder="1" applyAlignment="1">
      <alignment vertical="center" wrapText="1"/>
    </xf>
    <xf numFmtId="0" fontId="11" fillId="8" borderId="1" xfId="3" applyFont="1" applyFill="1" applyBorder="1"/>
    <xf numFmtId="0" fontId="13" fillId="8" borderId="1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right"/>
    </xf>
    <xf numFmtId="0" fontId="11" fillId="8" borderId="1" xfId="3" applyFont="1" applyFill="1" applyBorder="1" applyAlignment="1">
      <alignment horizontal="center"/>
    </xf>
    <xf numFmtId="0" fontId="11" fillId="8" borderId="1" xfId="3" applyFont="1" applyFill="1" applyBorder="1" applyAlignment="1">
      <alignment horizontal="right"/>
    </xf>
    <xf numFmtId="0" fontId="12" fillId="8" borderId="1" xfId="0" applyFont="1" applyFill="1" applyBorder="1"/>
    <xf numFmtId="4" fontId="11" fillId="8" borderId="1" xfId="0" applyNumberFormat="1" applyFont="1" applyFill="1" applyBorder="1" applyAlignment="1">
      <alignment vertical="center"/>
    </xf>
    <xf numFmtId="3" fontId="11" fillId="8" borderId="1" xfId="0" applyNumberFormat="1" applyFont="1" applyFill="1" applyBorder="1"/>
    <xf numFmtId="4" fontId="11" fillId="8" borderId="1" xfId="0" applyNumberFormat="1" applyFont="1" applyFill="1" applyBorder="1"/>
    <xf numFmtId="0" fontId="11" fillId="8" borderId="0" xfId="0" applyFont="1" applyFill="1"/>
    <xf numFmtId="164" fontId="11" fillId="8" borderId="1" xfId="1" applyNumberFormat="1" applyFont="1" applyFill="1" applyBorder="1"/>
    <xf numFmtId="164" fontId="11" fillId="8" borderId="1" xfId="0" applyNumberFormat="1" applyFont="1" applyFill="1" applyBorder="1"/>
    <xf numFmtId="3" fontId="13" fillId="2" borderId="1" xfId="3" applyNumberFormat="1" applyFont="1" applyFill="1" applyBorder="1" applyAlignment="1">
      <alignment horizontal="right" vertical="center"/>
    </xf>
    <xf numFmtId="4" fontId="12" fillId="2" borderId="0" xfId="0" applyNumberFormat="1" applyFont="1" applyFill="1"/>
    <xf numFmtId="3" fontId="11" fillId="8" borderId="1" xfId="0" applyNumberFormat="1" applyFont="1" applyFill="1" applyBorder="1" applyAlignment="1">
      <alignment horizontal="right" vertical="center"/>
    </xf>
    <xf numFmtId="0" fontId="11" fillId="8" borderId="1" xfId="0" applyFont="1" applyFill="1" applyBorder="1" applyAlignment="1">
      <alignment horizontal="center" vertical="top" wrapText="1"/>
    </xf>
    <xf numFmtId="3" fontId="11" fillId="8" borderId="1" xfId="0" applyNumberFormat="1" applyFont="1" applyFill="1" applyBorder="1" applyAlignment="1">
      <alignment horizontal="right" vertical="top" wrapText="1"/>
    </xf>
    <xf numFmtId="43" fontId="11" fillId="8" borderId="1" xfId="0" applyNumberFormat="1" applyFont="1" applyFill="1" applyBorder="1" applyAlignment="1">
      <alignment horizontal="right" vertical="center"/>
    </xf>
    <xf numFmtId="171" fontId="11" fillId="8" borderId="1" xfId="0" applyNumberFormat="1" applyFont="1" applyFill="1" applyBorder="1" applyAlignment="1">
      <alignment horizontal="right" vertical="center"/>
    </xf>
    <xf numFmtId="4" fontId="11" fillId="8" borderId="1" xfId="0" applyNumberFormat="1" applyFont="1" applyFill="1" applyBorder="1" applyAlignment="1">
      <alignment horizontal="right" vertical="center"/>
    </xf>
    <xf numFmtId="4" fontId="11" fillId="8" borderId="1" xfId="0" applyNumberFormat="1" applyFont="1" applyFill="1" applyBorder="1" applyAlignment="1">
      <alignment horizontal="right"/>
    </xf>
    <xf numFmtId="3" fontId="11" fillId="8" borderId="1" xfId="0" applyNumberFormat="1" applyFont="1" applyFill="1" applyBorder="1" applyAlignment="1">
      <alignment horizontal="right"/>
    </xf>
    <xf numFmtId="4" fontId="11" fillId="8" borderId="0" xfId="0" applyNumberFormat="1" applyFont="1" applyFill="1" applyAlignment="1"/>
    <xf numFmtId="165" fontId="11" fillId="8" borderId="1" xfId="0" applyNumberFormat="1" applyFont="1" applyFill="1" applyBorder="1"/>
    <xf numFmtId="0" fontId="11" fillId="8" borderId="1" xfId="0" applyFont="1" applyFill="1" applyBorder="1" applyAlignment="1">
      <alignment vertical="top" wrapText="1"/>
    </xf>
    <xf numFmtId="3" fontId="11" fillId="8" borderId="1" xfId="0" applyNumberFormat="1" applyFont="1" applyFill="1" applyBorder="1" applyAlignment="1">
      <alignment horizontal="right" vertical="top"/>
    </xf>
    <xf numFmtId="1" fontId="13" fillId="8" borderId="1" xfId="0" applyNumberFormat="1" applyFont="1" applyFill="1" applyBorder="1" applyAlignment="1">
      <alignment vertical="center"/>
    </xf>
    <xf numFmtId="4" fontId="11" fillId="8" borderId="1" xfId="0" applyNumberFormat="1" applyFont="1" applyFill="1" applyBorder="1" applyAlignment="1">
      <alignment horizontal="right" vertical="top"/>
    </xf>
    <xf numFmtId="0" fontId="11" fillId="2" borderId="1" xfId="0" applyFont="1" applyFill="1" applyBorder="1" applyAlignment="1">
      <alignment horizontal="right" vertical="center"/>
    </xf>
    <xf numFmtId="0" fontId="11" fillId="2" borderId="1" xfId="3" applyFont="1" applyFill="1" applyBorder="1" applyAlignment="1">
      <alignment horizontal="left" vertical="center" wrapText="1"/>
    </xf>
    <xf numFmtId="43" fontId="11" fillId="2" borderId="1" xfId="0" applyNumberFormat="1" applyFont="1" applyFill="1" applyBorder="1" applyAlignment="1">
      <alignment horizontal="right" vertical="center" wrapText="1"/>
    </xf>
    <xf numFmtId="167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164" fontId="11" fillId="2" borderId="1" xfId="1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11" fillId="2" borderId="1" xfId="3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right" vertical="center"/>
    </xf>
    <xf numFmtId="43" fontId="11" fillId="2" borderId="1" xfId="0" applyNumberFormat="1" applyFont="1" applyFill="1" applyBorder="1" applyAlignment="1">
      <alignment horizontal="left" vertical="center"/>
    </xf>
    <xf numFmtId="164" fontId="11" fillId="2" borderId="1" xfId="1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right" vertical="top"/>
    </xf>
    <xf numFmtId="0" fontId="11" fillId="2" borderId="1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wrapText="1"/>
    </xf>
    <xf numFmtId="0" fontId="11" fillId="8" borderId="1" xfId="3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vertical="top"/>
    </xf>
    <xf numFmtId="0" fontId="11" fillId="8" borderId="1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right" vertical="center" wrapText="1"/>
    </xf>
    <xf numFmtId="0" fontId="11" fillId="8" borderId="2" xfId="0" applyFont="1" applyFill="1" applyBorder="1"/>
    <xf numFmtId="0" fontId="17" fillId="8" borderId="2" xfId="0" applyFont="1" applyFill="1" applyBorder="1"/>
    <xf numFmtId="4" fontId="17" fillId="8" borderId="1" xfId="0" applyNumberFormat="1" applyFont="1" applyFill="1" applyBorder="1" applyAlignment="1">
      <alignment horizontal="right"/>
    </xf>
    <xf numFmtId="1" fontId="11" fillId="8" borderId="1" xfId="0" applyNumberFormat="1" applyFont="1" applyFill="1" applyBorder="1" applyAlignment="1">
      <alignment horizontal="right" vertical="top"/>
    </xf>
    <xf numFmtId="0" fontId="11" fillId="8" borderId="1" xfId="0" applyFont="1" applyFill="1" applyBorder="1"/>
    <xf numFmtId="4" fontId="12" fillId="2" borderId="1" xfId="0" applyNumberFormat="1" applyFont="1" applyFill="1" applyBorder="1" applyAlignment="1">
      <alignment horizontal="right"/>
    </xf>
    <xf numFmtId="4" fontId="11" fillId="8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right" vertical="top"/>
    </xf>
    <xf numFmtId="4" fontId="17" fillId="2" borderId="1" xfId="0" applyNumberFormat="1" applyFont="1" applyFill="1" applyBorder="1" applyAlignment="1">
      <alignment horizontal="right"/>
    </xf>
    <xf numFmtId="0" fontId="17" fillId="2" borderId="1" xfId="3" applyFont="1" applyFill="1" applyBorder="1" applyAlignment="1">
      <alignment horizontal="right"/>
    </xf>
    <xf numFmtId="3" fontId="20" fillId="8" borderId="1" xfId="0" applyNumberFormat="1" applyFont="1" applyFill="1" applyBorder="1" applyAlignment="1">
      <alignment horizontal="right" vertical="top"/>
    </xf>
    <xf numFmtId="43" fontId="17" fillId="2" borderId="1" xfId="0" applyNumberFormat="1" applyFont="1" applyFill="1" applyBorder="1" applyAlignment="1">
      <alignment horizontal="right" vertical="top" wrapText="1"/>
    </xf>
    <xf numFmtId="165" fontId="20" fillId="8" borderId="1" xfId="1" applyFont="1" applyFill="1" applyBorder="1" applyAlignment="1">
      <alignment horizontal="right" vertical="top"/>
    </xf>
    <xf numFmtId="165" fontId="11" fillId="8" borderId="1" xfId="1" applyFont="1" applyFill="1" applyBorder="1" applyAlignment="1">
      <alignment horizontal="right" vertical="top"/>
    </xf>
    <xf numFmtId="0" fontId="11" fillId="8" borderId="1" xfId="3" applyFont="1" applyFill="1" applyBorder="1" applyAlignment="1">
      <alignment wrapText="1"/>
    </xf>
    <xf numFmtId="43" fontId="11" fillId="8" borderId="1" xfId="0" applyNumberFormat="1" applyFont="1" applyFill="1" applyBorder="1" applyAlignment="1">
      <alignment horizontal="right" vertical="top" wrapText="1"/>
    </xf>
    <xf numFmtId="43" fontId="11" fillId="8" borderId="1" xfId="0" applyNumberFormat="1" applyFont="1" applyFill="1" applyBorder="1" applyAlignment="1">
      <alignment horizontal="left" vertical="top"/>
    </xf>
    <xf numFmtId="4" fontId="11" fillId="8" borderId="1" xfId="0" applyNumberFormat="1" applyFont="1" applyFill="1" applyBorder="1" applyAlignment="1">
      <alignment vertical="top"/>
    </xf>
    <xf numFmtId="164" fontId="11" fillId="8" borderId="1" xfId="0" applyNumberFormat="1" applyFont="1" applyFill="1" applyBorder="1" applyAlignment="1">
      <alignment vertical="top"/>
    </xf>
    <xf numFmtId="0" fontId="11" fillId="8" borderId="0" xfId="0" applyFont="1" applyFill="1" applyAlignment="1">
      <alignment vertical="top"/>
    </xf>
    <xf numFmtId="164" fontId="11" fillId="8" borderId="1" xfId="1" applyNumberFormat="1" applyFont="1" applyFill="1" applyBorder="1" applyAlignment="1">
      <alignment vertical="top"/>
    </xf>
    <xf numFmtId="4" fontId="14" fillId="2" borderId="1" xfId="0" applyNumberFormat="1" applyFont="1" applyFill="1" applyBorder="1" applyAlignment="1">
      <alignment vertical="center"/>
    </xf>
    <xf numFmtId="164" fontId="11" fillId="2" borderId="0" xfId="0" applyNumberFormat="1" applyFont="1" applyFill="1" applyAlignment="1">
      <alignment vertical="top"/>
    </xf>
    <xf numFmtId="1" fontId="11" fillId="2" borderId="0" xfId="0" applyNumberFormat="1" applyFont="1" applyFill="1" applyAlignment="1">
      <alignment vertical="top"/>
    </xf>
    <xf numFmtId="0" fontId="28" fillId="0" borderId="1" xfId="0" applyFont="1" applyFill="1" applyBorder="1" applyAlignment="1">
      <alignment horizontal="left" wrapText="1" readingOrder="1"/>
    </xf>
    <xf numFmtId="164" fontId="0" fillId="0" borderId="1" xfId="0" applyNumberFormat="1" applyBorder="1"/>
    <xf numFmtId="0" fontId="11" fillId="11" borderId="1" xfId="3" applyFont="1" applyFill="1" applyBorder="1" applyAlignment="1">
      <alignment wrapText="1"/>
    </xf>
    <xf numFmtId="0" fontId="28" fillId="0" borderId="1" xfId="0" applyFont="1" applyBorder="1" applyAlignment="1">
      <alignment horizontal="center" wrapText="1" readingOrder="1"/>
    </xf>
    <xf numFmtId="0" fontId="12" fillId="2" borderId="0" xfId="0" applyFont="1" applyFill="1" applyAlignment="1">
      <alignment horizontal="center"/>
    </xf>
    <xf numFmtId="0" fontId="28" fillId="0" borderId="0" xfId="0" applyFont="1" applyFill="1" applyBorder="1" applyAlignment="1">
      <alignment horizontal="left" wrapText="1" readingOrder="1"/>
    </xf>
    <xf numFmtId="164" fontId="0" fillId="0" borderId="0" xfId="0" applyNumberFormat="1" applyBorder="1"/>
    <xf numFmtId="0" fontId="0" fillId="0" borderId="1" xfId="0" applyBorder="1"/>
    <xf numFmtId="4" fontId="0" fillId="0" borderId="1" xfId="0" applyNumberFormat="1" applyBorder="1"/>
    <xf numFmtId="4" fontId="13" fillId="12" borderId="1" xfId="0" applyNumberFormat="1" applyFont="1" applyFill="1" applyBorder="1" applyAlignment="1">
      <alignment vertical="center"/>
    </xf>
    <xf numFmtId="1" fontId="13" fillId="12" borderId="1" xfId="0" applyNumberFormat="1" applyFont="1" applyFill="1" applyBorder="1" applyAlignment="1">
      <alignment vertical="center"/>
    </xf>
    <xf numFmtId="0" fontId="13" fillId="12" borderId="1" xfId="3" applyFont="1" applyFill="1" applyBorder="1" applyAlignment="1">
      <alignment vertical="center" wrapText="1"/>
    </xf>
    <xf numFmtId="0" fontId="13" fillId="12" borderId="1" xfId="3" applyFont="1" applyFill="1" applyBorder="1" applyAlignment="1">
      <alignment horizontal="right" vertical="center"/>
    </xf>
    <xf numFmtId="4" fontId="13" fillId="12" borderId="1" xfId="3" applyNumberFormat="1" applyFont="1" applyFill="1" applyBorder="1" applyAlignment="1">
      <alignment vertical="center"/>
    </xf>
    <xf numFmtId="4" fontId="13" fillId="12" borderId="1" xfId="0" applyNumberFormat="1" applyFont="1" applyFill="1" applyBorder="1" applyAlignment="1">
      <alignment vertical="center" wrapText="1"/>
    </xf>
    <xf numFmtId="3" fontId="13" fillId="12" borderId="1" xfId="0" applyNumberFormat="1" applyFont="1" applyFill="1" applyBorder="1" applyAlignment="1">
      <alignment vertical="center"/>
    </xf>
    <xf numFmtId="0" fontId="13" fillId="12" borderId="1" xfId="3" applyFont="1" applyFill="1" applyBorder="1" applyAlignment="1">
      <alignment vertical="center"/>
    </xf>
    <xf numFmtId="0" fontId="13" fillId="12" borderId="0" xfId="0" applyFont="1" applyFill="1" applyAlignment="1">
      <alignment vertical="center"/>
    </xf>
    <xf numFmtId="164" fontId="13" fillId="12" borderId="1" xfId="1" applyNumberFormat="1" applyFont="1" applyFill="1" applyBorder="1" applyAlignment="1">
      <alignment vertical="center"/>
    </xf>
    <xf numFmtId="43" fontId="11" fillId="12" borderId="1" xfId="0" applyNumberFormat="1" applyFont="1" applyFill="1" applyBorder="1" applyAlignment="1">
      <alignment horizontal="right" vertical="top" wrapText="1"/>
    </xf>
    <xf numFmtId="0" fontId="17" fillId="12" borderId="1" xfId="3" applyFont="1" applyFill="1" applyBorder="1" applyAlignment="1">
      <alignment horizontal="right"/>
    </xf>
    <xf numFmtId="0" fontId="11" fillId="13" borderId="1" xfId="3" applyFont="1" applyFill="1" applyBorder="1" applyAlignment="1">
      <alignment wrapText="1"/>
    </xf>
    <xf numFmtId="0" fontId="11" fillId="13" borderId="1" xfId="3" applyFont="1" applyFill="1" applyBorder="1" applyAlignment="1">
      <alignment horizontal="center"/>
    </xf>
    <xf numFmtId="0" fontId="11" fillId="13" borderId="1" xfId="3" applyFont="1" applyFill="1" applyBorder="1" applyAlignment="1">
      <alignment horizontal="right"/>
    </xf>
    <xf numFmtId="4" fontId="11" fillId="13" borderId="1" xfId="0" applyNumberFormat="1" applyFont="1" applyFill="1" applyBorder="1" applyAlignment="1">
      <alignment horizontal="right" vertical="top"/>
    </xf>
    <xf numFmtId="1" fontId="11" fillId="13" borderId="1" xfId="0" applyNumberFormat="1" applyFont="1" applyFill="1" applyBorder="1" applyAlignment="1">
      <alignment horizontal="right" vertical="top"/>
    </xf>
    <xf numFmtId="0" fontId="12" fillId="13" borderId="2" xfId="0" applyFont="1" applyFill="1" applyBorder="1" applyAlignment="1">
      <alignment horizontal="left" wrapText="1"/>
    </xf>
    <xf numFmtId="1" fontId="11" fillId="13" borderId="1" xfId="0" applyNumberFormat="1" applyFont="1" applyFill="1" applyBorder="1" applyAlignment="1">
      <alignment vertical="top" wrapText="1"/>
    </xf>
    <xf numFmtId="43" fontId="11" fillId="13" borderId="1" xfId="0" applyNumberFormat="1" applyFont="1" applyFill="1" applyBorder="1" applyAlignment="1">
      <alignment horizontal="left"/>
    </xf>
    <xf numFmtId="43" fontId="11" fillId="13" borderId="1" xfId="0" applyNumberFormat="1" applyFont="1" applyFill="1" applyBorder="1" applyAlignment="1">
      <alignment horizontal="right" vertical="top"/>
    </xf>
    <xf numFmtId="166" fontId="11" fillId="13" borderId="1" xfId="0" applyNumberFormat="1" applyFont="1" applyFill="1" applyBorder="1" applyAlignment="1">
      <alignment horizontal="left" vertical="top" wrapText="1"/>
    </xf>
    <xf numFmtId="4" fontId="11" fillId="13" borderId="1" xfId="0" applyNumberFormat="1" applyFont="1" applyFill="1" applyBorder="1" applyAlignment="1">
      <alignment horizontal="right"/>
    </xf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0" xfId="0" applyFont="1" applyFill="1"/>
    <xf numFmtId="164" fontId="11" fillId="13" borderId="1" xfId="1" applyNumberFormat="1" applyFont="1" applyFill="1" applyBorder="1"/>
    <xf numFmtId="164" fontId="11" fillId="13" borderId="2" xfId="1" applyNumberFormat="1" applyFont="1" applyFill="1" applyBorder="1"/>
    <xf numFmtId="164" fontId="11" fillId="13" borderId="1" xfId="0" applyNumberFormat="1" applyFont="1" applyFill="1" applyBorder="1"/>
    <xf numFmtId="0" fontId="12" fillId="8" borderId="2" xfId="0" applyFont="1" applyFill="1" applyBorder="1" applyAlignment="1">
      <alignment horizontal="left" wrapText="1"/>
    </xf>
    <xf numFmtId="1" fontId="11" fillId="8" borderId="1" xfId="0" applyNumberFormat="1" applyFont="1" applyFill="1" applyBorder="1" applyAlignment="1">
      <alignment vertical="top" wrapText="1"/>
    </xf>
    <xf numFmtId="43" fontId="11" fillId="8" borderId="1" xfId="0" applyNumberFormat="1" applyFont="1" applyFill="1" applyBorder="1" applyAlignment="1">
      <alignment horizontal="left"/>
    </xf>
    <xf numFmtId="43" fontId="11" fillId="8" borderId="1" xfId="0" applyNumberFormat="1" applyFont="1" applyFill="1" applyBorder="1" applyAlignment="1">
      <alignment horizontal="right" vertical="top"/>
    </xf>
    <xf numFmtId="0" fontId="11" fillId="8" borderId="1" xfId="3" applyFont="1" applyFill="1" applyBorder="1" applyAlignment="1">
      <alignment horizontal="left"/>
    </xf>
    <xf numFmtId="0" fontId="11" fillId="8" borderId="18" xfId="0" applyFont="1" applyFill="1" applyBorder="1" applyAlignment="1">
      <alignment vertical="top" wrapText="1"/>
    </xf>
    <xf numFmtId="4" fontId="11" fillId="8" borderId="1" xfId="0" applyNumberFormat="1" applyFont="1" applyFill="1" applyBorder="1" applyAlignment="1"/>
    <xf numFmtId="43" fontId="11" fillId="8" borderId="1" xfId="0" applyNumberFormat="1" applyFont="1" applyFill="1" applyBorder="1"/>
    <xf numFmtId="0" fontId="34" fillId="8" borderId="1" xfId="7" applyFont="1" applyFill="1" applyBorder="1" applyAlignment="1">
      <alignment horizontal="center"/>
    </xf>
    <xf numFmtId="164" fontId="11" fillId="8" borderId="2" xfId="1" applyNumberFormat="1" applyFont="1" applyFill="1" applyBorder="1"/>
    <xf numFmtId="170" fontId="11" fillId="8" borderId="1" xfId="0" applyNumberFormat="1" applyFont="1" applyFill="1" applyBorder="1" applyAlignment="1">
      <alignment horizontal="right" vertical="top"/>
    </xf>
    <xf numFmtId="1" fontId="11" fillId="2" borderId="1" xfId="0" applyNumberFormat="1" applyFont="1" applyFill="1" applyBorder="1" applyAlignment="1">
      <alignment horizontal="left"/>
    </xf>
    <xf numFmtId="3" fontId="11" fillId="8" borderId="1" xfId="0" applyNumberFormat="1" applyFont="1" applyFill="1" applyBorder="1" applyAlignment="1">
      <alignment vertical="center"/>
    </xf>
    <xf numFmtId="1" fontId="0" fillId="8" borderId="1" xfId="0" applyNumberFormat="1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 textRotation="90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3" applyFont="1" applyFill="1" applyBorder="1" applyAlignment="1">
      <alignment horizontal="right" vertical="center"/>
    </xf>
    <xf numFmtId="4" fontId="11" fillId="8" borderId="1" xfId="3" applyNumberFormat="1" applyFont="1" applyFill="1" applyBorder="1" applyAlignment="1">
      <alignment horizontal="center" vertical="center"/>
    </xf>
    <xf numFmtId="167" fontId="11" fillId="8" borderId="1" xfId="0" applyNumberFormat="1" applyFont="1" applyFill="1" applyBorder="1" applyAlignment="1">
      <alignment horizontal="center" vertical="center" wrapText="1"/>
    </xf>
    <xf numFmtId="43" fontId="11" fillId="8" borderId="1" xfId="0" applyNumberFormat="1" applyFont="1" applyFill="1" applyBorder="1" applyAlignment="1">
      <alignment horizontal="center" vertical="center" wrapText="1"/>
    </xf>
    <xf numFmtId="3" fontId="11" fillId="8" borderId="1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164" fontId="11" fillId="8" borderId="1" xfId="1" applyNumberFormat="1" applyFont="1" applyFill="1" applyBorder="1" applyAlignment="1">
      <alignment horizontal="center" vertical="center"/>
    </xf>
    <xf numFmtId="164" fontId="11" fillId="8" borderId="1" xfId="0" applyNumberFormat="1" applyFont="1" applyFill="1" applyBorder="1" applyAlignment="1">
      <alignment horizontal="center" vertical="center"/>
    </xf>
    <xf numFmtId="165" fontId="11" fillId="2" borderId="18" xfId="1" applyFont="1" applyFill="1" applyBorder="1" applyAlignment="1">
      <alignment vertical="top" wrapText="1"/>
    </xf>
    <xf numFmtId="164" fontId="13" fillId="2" borderId="1" xfId="0" applyNumberFormat="1" applyFont="1" applyFill="1" applyBorder="1"/>
    <xf numFmtId="0" fontId="13" fillId="8" borderId="1" xfId="0" applyFont="1" applyFill="1" applyBorder="1" applyAlignment="1"/>
    <xf numFmtId="164" fontId="13" fillId="8" borderId="1" xfId="0" applyNumberFormat="1" applyFont="1" applyFill="1" applyBorder="1"/>
    <xf numFmtId="3" fontId="11" fillId="8" borderId="1" xfId="0" applyNumberFormat="1" applyFont="1" applyFill="1" applyBorder="1" applyAlignment="1">
      <alignment vertical="top"/>
    </xf>
    <xf numFmtId="170" fontId="11" fillId="2" borderId="1" xfId="0" applyNumberFormat="1" applyFont="1" applyFill="1" applyBorder="1" applyAlignment="1">
      <alignment horizontal="right" vertical="top"/>
    </xf>
    <xf numFmtId="4" fontId="13" fillId="8" borderId="1" xfId="0" applyNumberFormat="1" applyFont="1" applyFill="1" applyBorder="1" applyAlignment="1">
      <alignment horizontal="right"/>
    </xf>
    <xf numFmtId="165" fontId="11" fillId="2" borderId="1" xfId="1" applyFont="1" applyFill="1" applyBorder="1" applyAlignment="1">
      <alignment horizontal="right" vertical="top" wrapText="1"/>
    </xf>
    <xf numFmtId="0" fontId="13" fillId="8" borderId="1" xfId="0" applyFont="1" applyFill="1" applyBorder="1" applyAlignment="1">
      <alignment horizontal="right" vertical="top"/>
    </xf>
    <xf numFmtId="3" fontId="13" fillId="8" borderId="1" xfId="0" applyNumberFormat="1" applyFont="1" applyFill="1" applyBorder="1" applyAlignment="1">
      <alignment horizontal="right" vertical="center"/>
    </xf>
    <xf numFmtId="165" fontId="12" fillId="2" borderId="1" xfId="1" applyFont="1" applyFill="1" applyBorder="1"/>
    <xf numFmtId="0" fontId="12" fillId="8" borderId="1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1" fillId="8" borderId="1" xfId="3" applyFont="1" applyFill="1" applyBorder="1" applyAlignment="1">
      <alignment horizontal="left" vertical="center"/>
    </xf>
    <xf numFmtId="1" fontId="11" fillId="8" borderId="1" xfId="0" applyNumberFormat="1" applyFont="1" applyFill="1" applyBorder="1" applyAlignment="1">
      <alignment horizontal="center" vertical="center"/>
    </xf>
    <xf numFmtId="43" fontId="11" fillId="8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left" vertical="top"/>
    </xf>
    <xf numFmtId="0" fontId="12" fillId="2" borderId="1" xfId="0" applyFont="1" applyFill="1" applyBorder="1" applyAlignment="1">
      <alignment horizontal="center" vertical="top"/>
    </xf>
    <xf numFmtId="0" fontId="12" fillId="2" borderId="14" xfId="0" applyFont="1" applyFill="1" applyBorder="1" applyAlignment="1">
      <alignment horizontal="left" vertical="top" wrapText="1"/>
    </xf>
    <xf numFmtId="0" fontId="12" fillId="11" borderId="14" xfId="0" applyFont="1" applyFill="1" applyBorder="1" applyAlignment="1">
      <alignment horizontal="left" vertical="top" wrapText="1"/>
    </xf>
    <xf numFmtId="0" fontId="12" fillId="11" borderId="13" xfId="0" applyFont="1" applyFill="1" applyBorder="1"/>
    <xf numFmtId="0" fontId="11" fillId="11" borderId="1" xfId="3" applyFont="1" applyFill="1" applyBorder="1" applyAlignment="1">
      <alignment horizontal="center"/>
    </xf>
    <xf numFmtId="0" fontId="11" fillId="11" borderId="1" xfId="3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vertical="top"/>
    </xf>
    <xf numFmtId="4" fontId="11" fillId="11" borderId="1" xfId="0" applyNumberFormat="1" applyFont="1" applyFill="1" applyBorder="1" applyAlignment="1">
      <alignment horizontal="right" wrapText="1"/>
    </xf>
    <xf numFmtId="3" fontId="11" fillId="11" borderId="1" xfId="0" applyNumberFormat="1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/>
    </xf>
    <xf numFmtId="4" fontId="11" fillId="11" borderId="1" xfId="0" applyNumberFormat="1" applyFont="1" applyFill="1" applyBorder="1" applyAlignment="1">
      <alignment horizontal="right"/>
    </xf>
    <xf numFmtId="0" fontId="11" fillId="11" borderId="0" xfId="0" applyFont="1" applyFill="1" applyAlignment="1">
      <alignment vertical="top"/>
    </xf>
    <xf numFmtId="164" fontId="11" fillId="11" borderId="1" xfId="1" applyNumberFormat="1" applyFont="1" applyFill="1" applyBorder="1" applyAlignment="1">
      <alignment vertical="top"/>
    </xf>
    <xf numFmtId="164" fontId="11" fillId="11" borderId="1" xfId="0" applyNumberFormat="1" applyFont="1" applyFill="1" applyBorder="1" applyAlignment="1">
      <alignment vertical="top"/>
    </xf>
    <xf numFmtId="0" fontId="12" fillId="11" borderId="0" xfId="0" applyFont="1" applyFill="1" applyAlignment="1">
      <alignment horizontal="left" vertical="top"/>
    </xf>
    <xf numFmtId="0" fontId="11" fillId="11" borderId="1" xfId="3" applyFont="1" applyFill="1" applyBorder="1"/>
    <xf numFmtId="170" fontId="11" fillId="11" borderId="1" xfId="0" applyNumberFormat="1" applyFont="1" applyFill="1" applyBorder="1" applyAlignment="1">
      <alignment horizontal="right"/>
    </xf>
    <xf numFmtId="43" fontId="17" fillId="2" borderId="1" xfId="0" applyNumberFormat="1" applyFont="1" applyFill="1" applyBorder="1" applyAlignment="1">
      <alignment horizontal="right" vertical="center"/>
    </xf>
    <xf numFmtId="4" fontId="17" fillId="2" borderId="1" xfId="0" applyNumberFormat="1" applyFont="1" applyFill="1" applyBorder="1" applyAlignment="1">
      <alignment horizontal="right" vertical="center"/>
    </xf>
    <xf numFmtId="3" fontId="17" fillId="2" borderId="1" xfId="0" applyNumberFormat="1" applyFont="1" applyFill="1" applyBorder="1" applyAlignment="1">
      <alignment horizontal="right"/>
    </xf>
    <xf numFmtId="4" fontId="17" fillId="2" borderId="0" xfId="0" applyNumberFormat="1" applyFont="1" applyFill="1" applyAlignment="1"/>
    <xf numFmtId="164" fontId="17" fillId="2" borderId="1" xfId="1" applyNumberFormat="1" applyFont="1" applyFill="1" applyBorder="1"/>
    <xf numFmtId="0" fontId="17" fillId="2" borderId="0" xfId="0" applyFont="1" applyFill="1"/>
    <xf numFmtId="0" fontId="17" fillId="2" borderId="1" xfId="5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right"/>
    </xf>
    <xf numFmtId="164" fontId="17" fillId="2" borderId="1" xfId="1" applyNumberFormat="1" applyFont="1" applyFill="1" applyBorder="1" applyAlignment="1">
      <alignment vertical="top"/>
    </xf>
    <xf numFmtId="164" fontId="17" fillId="2" borderId="1" xfId="0" applyNumberFormat="1" applyFont="1" applyFill="1" applyBorder="1" applyAlignment="1">
      <alignment vertical="top"/>
    </xf>
    <xf numFmtId="0" fontId="43" fillId="2" borderId="1" xfId="0" applyFont="1" applyFill="1" applyBorder="1"/>
    <xf numFmtId="0" fontId="43" fillId="2" borderId="1" xfId="0" applyFont="1" applyFill="1" applyBorder="1" applyAlignment="1">
      <alignment horizontal="center" vertical="top"/>
    </xf>
    <xf numFmtId="43" fontId="17" fillId="2" borderId="1" xfId="0" applyNumberFormat="1" applyFont="1" applyFill="1" applyBorder="1" applyAlignment="1">
      <alignment horizontal="right"/>
    </xf>
    <xf numFmtId="43" fontId="43" fillId="2" borderId="1" xfId="0" applyNumberFormat="1" applyFont="1" applyFill="1" applyBorder="1" applyAlignment="1">
      <alignment horizontal="right"/>
    </xf>
    <xf numFmtId="0" fontId="44" fillId="2" borderId="1" xfId="0" applyFont="1" applyFill="1" applyBorder="1" applyAlignment="1">
      <alignment horizontal="center" vertical="top" wrapText="1"/>
    </xf>
    <xf numFmtId="0" fontId="44" fillId="2" borderId="1" xfId="0" applyFont="1" applyFill="1" applyBorder="1" applyAlignment="1">
      <alignment vertical="top" wrapText="1"/>
    </xf>
    <xf numFmtId="43" fontId="44" fillId="2" borderId="1" xfId="0" applyNumberFormat="1" applyFont="1" applyFill="1" applyBorder="1" applyAlignment="1">
      <alignment horizontal="right" vertical="top" wrapText="1"/>
    </xf>
    <xf numFmtId="3" fontId="44" fillId="2" borderId="1" xfId="0" applyNumberFormat="1" applyFont="1" applyFill="1" applyBorder="1" applyAlignment="1">
      <alignment horizontal="right" vertical="top" wrapText="1"/>
    </xf>
    <xf numFmtId="43" fontId="44" fillId="2" borderId="1" xfId="0" applyNumberFormat="1" applyFont="1" applyFill="1" applyBorder="1" applyAlignment="1">
      <alignment horizontal="right" vertical="center"/>
    </xf>
    <xf numFmtId="171" fontId="44" fillId="2" borderId="1" xfId="0" applyNumberFormat="1" applyFont="1" applyFill="1" applyBorder="1" applyAlignment="1">
      <alignment horizontal="right" vertical="center"/>
    </xf>
    <xf numFmtId="3" fontId="44" fillId="2" borderId="1" xfId="0" applyNumberFormat="1" applyFont="1" applyFill="1" applyBorder="1" applyAlignment="1">
      <alignment horizontal="right" vertical="center"/>
    </xf>
    <xf numFmtId="4" fontId="44" fillId="2" borderId="1" xfId="0" applyNumberFormat="1" applyFont="1" applyFill="1" applyBorder="1" applyAlignment="1">
      <alignment horizontal="right" vertical="center"/>
    </xf>
    <xf numFmtId="4" fontId="44" fillId="2" borderId="1" xfId="0" applyNumberFormat="1" applyFont="1" applyFill="1" applyBorder="1" applyAlignment="1">
      <alignment horizontal="right"/>
    </xf>
    <xf numFmtId="3" fontId="44" fillId="8" borderId="1" xfId="0" applyNumberFormat="1" applyFont="1" applyFill="1" applyBorder="1" applyAlignment="1">
      <alignment horizontal="right" vertical="center"/>
    </xf>
    <xf numFmtId="4" fontId="44" fillId="8" borderId="1" xfId="0" applyNumberFormat="1" applyFont="1" applyFill="1" applyBorder="1" applyAlignment="1">
      <alignment horizontal="right"/>
    </xf>
    <xf numFmtId="3" fontId="44" fillId="2" borderId="1" xfId="0" applyNumberFormat="1" applyFont="1" applyFill="1" applyBorder="1" applyAlignment="1">
      <alignment horizontal="right"/>
    </xf>
    <xf numFmtId="0" fontId="44" fillId="2" borderId="1" xfId="0" applyFont="1" applyFill="1" applyBorder="1" applyAlignment="1">
      <alignment horizontal="center"/>
    </xf>
    <xf numFmtId="4" fontId="44" fillId="2" borderId="0" xfId="0" applyNumberFormat="1" applyFont="1" applyFill="1" applyAlignment="1"/>
    <xf numFmtId="164" fontId="44" fillId="2" borderId="1" xfId="1" applyNumberFormat="1" applyFont="1" applyFill="1" applyBorder="1"/>
    <xf numFmtId="165" fontId="44" fillId="2" borderId="1" xfId="0" applyNumberFormat="1" applyFont="1" applyFill="1" applyBorder="1"/>
    <xf numFmtId="0" fontId="44" fillId="2" borderId="0" xfId="0" applyFont="1" applyFill="1"/>
    <xf numFmtId="4" fontId="44" fillId="8" borderId="1" xfId="0" applyNumberFormat="1" applyFont="1" applyFill="1" applyBorder="1" applyAlignment="1">
      <alignment horizontal="right" vertical="center"/>
    </xf>
    <xf numFmtId="3" fontId="44" fillId="8" borderId="1" xfId="0" applyNumberFormat="1" applyFont="1" applyFill="1" applyBorder="1" applyAlignment="1">
      <alignment horizontal="right"/>
    </xf>
    <xf numFmtId="0" fontId="44" fillId="2" borderId="1" xfId="0" applyFont="1" applyFill="1" applyBorder="1"/>
    <xf numFmtId="43" fontId="44" fillId="2" borderId="1" xfId="1" applyNumberFormat="1" applyFont="1" applyFill="1" applyBorder="1"/>
    <xf numFmtId="164" fontId="45" fillId="2" borderId="1" xfId="1" applyNumberFormat="1" applyFont="1" applyFill="1" applyBorder="1"/>
    <xf numFmtId="0" fontId="45" fillId="2" borderId="0" xfId="0" applyFont="1" applyFill="1"/>
    <xf numFmtId="170" fontId="44" fillId="2" borderId="1" xfId="0" applyNumberFormat="1" applyFont="1" applyFill="1" applyBorder="1" applyAlignment="1">
      <alignment horizontal="right"/>
    </xf>
    <xf numFmtId="0" fontId="44" fillId="2" borderId="1" xfId="5" applyFont="1" applyFill="1" applyBorder="1" applyAlignment="1">
      <alignment horizontal="center"/>
    </xf>
    <xf numFmtId="170" fontId="44" fillId="8" borderId="1" xfId="0" applyNumberFormat="1" applyFont="1" applyFill="1" applyBorder="1" applyAlignment="1">
      <alignment horizontal="right"/>
    </xf>
    <xf numFmtId="0" fontId="11" fillId="2" borderId="1" xfId="3" applyFont="1" applyFill="1" applyBorder="1" applyAlignment="1">
      <alignment vertical="top" wrapText="1"/>
    </xf>
    <xf numFmtId="0" fontId="11" fillId="2" borderId="1" xfId="3" applyFont="1" applyFill="1" applyBorder="1" applyAlignment="1">
      <alignment horizontal="center" vertical="top"/>
    </xf>
    <xf numFmtId="0" fontId="11" fillId="2" borderId="1" xfId="3" applyFont="1" applyFill="1" applyBorder="1" applyAlignment="1">
      <alignment horizontal="right" vertical="top"/>
    </xf>
    <xf numFmtId="164" fontId="11" fillId="2" borderId="1" xfId="0" applyNumberFormat="1" applyFont="1" applyFill="1" applyBorder="1" applyAlignment="1">
      <alignment horizontal="center" vertical="top"/>
    </xf>
    <xf numFmtId="0" fontId="13" fillId="2" borderId="15" xfId="0" applyFont="1" applyFill="1" applyBorder="1" applyAlignment="1">
      <alignment vertical="top" textRotation="90" wrapText="1"/>
    </xf>
    <xf numFmtId="0" fontId="13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top"/>
    </xf>
    <xf numFmtId="0" fontId="13" fillId="2" borderId="1" xfId="3" applyFont="1" applyFill="1" applyBorder="1" applyAlignment="1">
      <alignment wrapText="1"/>
    </xf>
    <xf numFmtId="0" fontId="13" fillId="2" borderId="1" xfId="3" applyFont="1" applyFill="1" applyBorder="1" applyAlignment="1">
      <alignment horizontal="right"/>
    </xf>
    <xf numFmtId="0" fontId="13" fillId="2" borderId="1" xfId="3" applyFont="1" applyFill="1" applyBorder="1" applyAlignment="1"/>
    <xf numFmtId="4" fontId="13" fillId="2" borderId="1" xfId="0" applyNumberFormat="1" applyFont="1" applyFill="1" applyBorder="1" applyAlignment="1">
      <alignment vertical="top"/>
    </xf>
    <xf numFmtId="0" fontId="13" fillId="2" borderId="1" xfId="0" applyFont="1" applyFill="1" applyBorder="1" applyAlignment="1">
      <alignment vertical="top"/>
    </xf>
    <xf numFmtId="43" fontId="13" fillId="2" borderId="1" xfId="0" applyNumberFormat="1" applyFont="1" applyFill="1" applyBorder="1" applyAlignment="1">
      <alignment horizontal="right" vertical="top" wrapText="1"/>
    </xf>
    <xf numFmtId="171" fontId="13" fillId="2" borderId="1" xfId="0" applyNumberFormat="1" applyFont="1" applyFill="1" applyBorder="1" applyAlignment="1">
      <alignment horizontal="right" vertical="top" wrapText="1"/>
    </xf>
    <xf numFmtId="167" fontId="13" fillId="2" borderId="1" xfId="0" applyNumberFormat="1" applyFont="1" applyFill="1" applyBorder="1" applyAlignment="1">
      <alignment horizontal="right" vertical="top" wrapText="1"/>
    </xf>
    <xf numFmtId="3" fontId="13" fillId="2" borderId="1" xfId="0" applyNumberFormat="1" applyFont="1" applyFill="1" applyBorder="1" applyAlignment="1">
      <alignment horizontal="right" vertical="top"/>
    </xf>
    <xf numFmtId="4" fontId="13" fillId="2" borderId="1" xfId="0" applyNumberFormat="1" applyFont="1" applyFill="1" applyBorder="1" applyAlignment="1">
      <alignment horizontal="right" vertical="top"/>
    </xf>
    <xf numFmtId="0" fontId="46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top" wrapText="1"/>
    </xf>
    <xf numFmtId="0" fontId="13" fillId="2" borderId="1" xfId="0" applyFont="1" applyFill="1" applyBorder="1" applyAlignment="1">
      <alignment horizontal="right" vertical="top"/>
    </xf>
    <xf numFmtId="4" fontId="13" fillId="2" borderId="1" xfId="0" applyNumberFormat="1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/>
    </xf>
    <xf numFmtId="0" fontId="13" fillId="2" borderId="0" xfId="0" applyFont="1" applyFill="1" applyAlignment="1">
      <alignment vertical="top"/>
    </xf>
    <xf numFmtId="164" fontId="13" fillId="2" borderId="1" xfId="1" applyNumberFormat="1" applyFont="1" applyFill="1" applyBorder="1" applyAlignment="1">
      <alignment vertical="top"/>
    </xf>
    <xf numFmtId="164" fontId="13" fillId="2" borderId="1" xfId="0" applyNumberFormat="1" applyFont="1" applyFill="1" applyBorder="1" applyAlignment="1">
      <alignment vertical="top"/>
    </xf>
    <xf numFmtId="0" fontId="13" fillId="2" borderId="1" xfId="0" applyFont="1" applyFill="1" applyBorder="1" applyAlignment="1">
      <alignment vertical="top" wrapText="1"/>
    </xf>
    <xf numFmtId="4" fontId="11" fillId="2" borderId="18" xfId="0" applyNumberFormat="1" applyFont="1" applyFill="1" applyBorder="1"/>
    <xf numFmtId="4" fontId="11" fillId="2" borderId="18" xfId="0" applyNumberFormat="1" applyFont="1" applyFill="1" applyBorder="1" applyAlignment="1"/>
    <xf numFmtId="43" fontId="11" fillId="2" borderId="18" xfId="0" applyNumberFormat="1" applyFont="1" applyFill="1" applyBorder="1"/>
    <xf numFmtId="164" fontId="11" fillId="2" borderId="18" xfId="0" applyNumberFormat="1" applyFont="1" applyFill="1" applyBorder="1"/>
    <xf numFmtId="0" fontId="34" fillId="2" borderId="18" xfId="7" applyFont="1" applyFill="1" applyBorder="1" applyAlignment="1">
      <alignment horizontal="center"/>
    </xf>
    <xf numFmtId="164" fontId="11" fillId="2" borderId="18" xfId="1" applyNumberFormat="1" applyFont="1" applyFill="1" applyBorder="1"/>
    <xf numFmtId="164" fontId="11" fillId="2" borderId="16" xfId="1" applyNumberFormat="1" applyFont="1" applyFill="1" applyBorder="1"/>
    <xf numFmtId="164" fontId="12" fillId="2" borderId="18" xfId="0" applyNumberFormat="1" applyFont="1" applyFill="1" applyBorder="1" applyAlignment="1">
      <alignment vertical="top" wrapText="1"/>
    </xf>
    <xf numFmtId="4" fontId="12" fillId="2" borderId="18" xfId="0" applyNumberFormat="1" applyFont="1" applyFill="1" applyBorder="1" applyAlignment="1">
      <alignment vertical="top" wrapText="1"/>
    </xf>
    <xf numFmtId="43" fontId="17" fillId="2" borderId="1" xfId="0" applyNumberFormat="1" applyFont="1" applyFill="1" applyBorder="1" applyAlignment="1">
      <alignment vertical="top" wrapText="1"/>
    </xf>
    <xf numFmtId="0" fontId="13" fillId="8" borderId="1" xfId="3" applyFont="1" applyFill="1" applyBorder="1" applyAlignment="1">
      <alignment wrapText="1"/>
    </xf>
    <xf numFmtId="0" fontId="14" fillId="8" borderId="13" xfId="0" applyFont="1" applyFill="1" applyBorder="1" applyAlignment="1">
      <alignment vertical="top"/>
    </xf>
    <xf numFmtId="0" fontId="13" fillId="8" borderId="1" xfId="3" applyFont="1" applyFill="1" applyBorder="1" applyAlignment="1">
      <alignment horizontal="center"/>
    </xf>
    <xf numFmtId="0" fontId="13" fillId="8" borderId="1" xfId="3" applyFont="1" applyFill="1" applyBorder="1" applyAlignment="1">
      <alignment horizontal="right"/>
    </xf>
    <xf numFmtId="0" fontId="13" fillId="8" borderId="1" xfId="0" applyFont="1" applyFill="1" applyBorder="1" applyAlignment="1">
      <alignment vertical="top"/>
    </xf>
    <xf numFmtId="43" fontId="13" fillId="8" borderId="1" xfId="0" applyNumberFormat="1" applyFont="1" applyFill="1" applyBorder="1" applyAlignment="1">
      <alignment horizontal="right" vertical="top" wrapText="1"/>
    </xf>
    <xf numFmtId="4" fontId="13" fillId="8" borderId="1" xfId="0" applyNumberFormat="1" applyFont="1" applyFill="1" applyBorder="1" applyAlignment="1">
      <alignment horizontal="right" vertical="top"/>
    </xf>
    <xf numFmtId="0" fontId="14" fillId="8" borderId="1" xfId="0" applyFont="1" applyFill="1" applyBorder="1" applyAlignment="1">
      <alignment horizontal="left" vertical="top"/>
    </xf>
    <xf numFmtId="1" fontId="13" fillId="8" borderId="1" xfId="0" applyNumberFormat="1" applyFont="1" applyFill="1" applyBorder="1" applyAlignment="1">
      <alignment horizontal="left" vertical="top"/>
    </xf>
    <xf numFmtId="0" fontId="13" fillId="8" borderId="1" xfId="0" applyFont="1" applyFill="1" applyBorder="1" applyAlignment="1">
      <alignment horizontal="left" vertical="top"/>
    </xf>
    <xf numFmtId="43" fontId="13" fillId="8" borderId="1" xfId="0" applyNumberFormat="1" applyFont="1" applyFill="1" applyBorder="1" applyAlignment="1">
      <alignment horizontal="left" vertical="top"/>
    </xf>
    <xf numFmtId="4" fontId="13" fillId="8" borderId="1" xfId="0" applyNumberFormat="1" applyFont="1" applyFill="1" applyBorder="1" applyAlignment="1">
      <alignment vertical="top"/>
    </xf>
    <xf numFmtId="164" fontId="13" fillId="8" borderId="1" xfId="0" applyNumberFormat="1" applyFont="1" applyFill="1" applyBorder="1" applyAlignment="1">
      <alignment vertical="top"/>
    </xf>
    <xf numFmtId="0" fontId="13" fillId="8" borderId="0" xfId="0" applyFont="1" applyFill="1" applyAlignment="1">
      <alignment vertical="top"/>
    </xf>
    <xf numFmtId="164" fontId="13" fillId="8" borderId="1" xfId="1" applyNumberFormat="1" applyFont="1" applyFill="1" applyBorder="1" applyAlignment="1">
      <alignment vertical="top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top" wrapText="1"/>
    </xf>
    <xf numFmtId="0" fontId="14" fillId="2" borderId="0" xfId="0" applyFont="1" applyFill="1"/>
    <xf numFmtId="169" fontId="14" fillId="2" borderId="12" xfId="4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 wrapText="1"/>
    </xf>
    <xf numFmtId="3" fontId="13" fillId="2" borderId="1" xfId="0" applyNumberFormat="1" applyFont="1" applyFill="1" applyBorder="1" applyAlignment="1">
      <alignment horizontal="right" wrapText="1"/>
    </xf>
    <xf numFmtId="4" fontId="14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 vertical="top"/>
    </xf>
    <xf numFmtId="1" fontId="14" fillId="2" borderId="1" xfId="0" applyNumberFormat="1" applyFont="1" applyFill="1" applyBorder="1" applyAlignment="1">
      <alignment horizontal="right" vertical="top"/>
    </xf>
    <xf numFmtId="0" fontId="13" fillId="2" borderId="1" xfId="0" applyFont="1" applyFill="1" applyBorder="1" applyAlignment="1">
      <alignment horizontal="right"/>
    </xf>
    <xf numFmtId="1" fontId="14" fillId="2" borderId="1" xfId="0" applyNumberFormat="1" applyFont="1" applyFill="1" applyBorder="1" applyAlignment="1">
      <alignment horizontal="right" wrapText="1"/>
    </xf>
    <xf numFmtId="4" fontId="13" fillId="2" borderId="0" xfId="0" applyNumberFormat="1" applyFont="1" applyFill="1" applyAlignment="1">
      <alignment horizontal="right" vertical="top"/>
    </xf>
    <xf numFmtId="0" fontId="13" fillId="2" borderId="1" xfId="3" applyFont="1" applyFill="1" applyBorder="1"/>
    <xf numFmtId="0" fontId="14" fillId="2" borderId="15" xfId="0" applyFont="1" applyFill="1" applyBorder="1" applyAlignment="1">
      <alignment horizontal="left" vertical="top" wrapText="1"/>
    </xf>
    <xf numFmtId="0" fontId="14" fillId="2" borderId="13" xfId="0" applyFont="1" applyFill="1" applyBorder="1"/>
    <xf numFmtId="3" fontId="13" fillId="2" borderId="1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left" vertical="top"/>
    </xf>
    <xf numFmtId="0" fontId="14" fillId="2" borderId="14" xfId="0" applyFont="1" applyFill="1" applyBorder="1" applyAlignment="1">
      <alignment horizontal="left" vertical="top" wrapText="1"/>
    </xf>
    <xf numFmtId="3" fontId="13" fillId="2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right" vertical="top"/>
    </xf>
    <xf numFmtId="0" fontId="13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0" fontId="14" fillId="2" borderId="1" xfId="3" applyFont="1" applyFill="1" applyBorder="1" applyAlignment="1">
      <alignment horizontal="left"/>
    </xf>
    <xf numFmtId="0" fontId="14" fillId="2" borderId="1" xfId="3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 wrapText="1"/>
    </xf>
    <xf numFmtId="0" fontId="14" fillId="2" borderId="2" xfId="0" applyFont="1" applyFill="1" applyBorder="1" applyAlignment="1">
      <alignment horizontal="left" wrapText="1"/>
    </xf>
    <xf numFmtId="1" fontId="13" fillId="2" borderId="1" xfId="0" applyNumberFormat="1" applyFont="1" applyFill="1" applyBorder="1" applyAlignment="1">
      <alignment vertical="top" wrapText="1"/>
    </xf>
    <xf numFmtId="43" fontId="13" fillId="2" borderId="1" xfId="0" applyNumberFormat="1" applyFont="1" applyFill="1" applyBorder="1" applyAlignment="1">
      <alignment horizontal="left"/>
    </xf>
    <xf numFmtId="43" fontId="13" fillId="2" borderId="1" xfId="0" applyNumberFormat="1" applyFont="1" applyFill="1" applyBorder="1" applyAlignment="1">
      <alignment horizontal="right" vertical="top"/>
    </xf>
    <xf numFmtId="166" fontId="13" fillId="2" borderId="1" xfId="0" applyNumberFormat="1" applyFont="1" applyFill="1" applyBorder="1" applyAlignment="1">
      <alignment horizontal="left" vertical="top" wrapText="1"/>
    </xf>
    <xf numFmtId="0" fontId="13" fillId="2" borderId="2" xfId="0" applyFont="1" applyFill="1" applyBorder="1"/>
    <xf numFmtId="4" fontId="13" fillId="2" borderId="2" xfId="0" applyNumberFormat="1" applyFont="1" applyFill="1" applyBorder="1"/>
    <xf numFmtId="0" fontId="13" fillId="2" borderId="0" xfId="0" applyFont="1" applyFill="1"/>
    <xf numFmtId="164" fontId="13" fillId="2" borderId="1" xfId="1" applyNumberFormat="1" applyFont="1" applyFill="1" applyBorder="1"/>
    <xf numFmtId="164" fontId="13" fillId="2" borderId="2" xfId="1" applyNumberFormat="1" applyFont="1" applyFill="1" applyBorder="1"/>
    <xf numFmtId="0" fontId="14" fillId="2" borderId="1" xfId="3" applyFont="1" applyFill="1" applyBorder="1"/>
    <xf numFmtId="0" fontId="14" fillId="2" borderId="1" xfId="3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vertical="top" wrapText="1"/>
    </xf>
    <xf numFmtId="164" fontId="14" fillId="2" borderId="1" xfId="1" applyNumberFormat="1" applyFont="1" applyFill="1" applyBorder="1"/>
    <xf numFmtId="0" fontId="14" fillId="8" borderId="2" xfId="0" applyFont="1" applyFill="1" applyBorder="1" applyAlignment="1">
      <alignment horizontal="left" wrapText="1"/>
    </xf>
    <xf numFmtId="0" fontId="13" fillId="8" borderId="1" xfId="3" applyFont="1" applyFill="1" applyBorder="1"/>
    <xf numFmtId="1" fontId="13" fillId="8" borderId="1" xfId="0" applyNumberFormat="1" applyFont="1" applyFill="1" applyBorder="1" applyAlignment="1">
      <alignment vertical="top" wrapText="1"/>
    </xf>
    <xf numFmtId="43" fontId="13" fillId="8" borderId="1" xfId="0" applyNumberFormat="1" applyFont="1" applyFill="1" applyBorder="1" applyAlignment="1">
      <alignment horizontal="left"/>
    </xf>
    <xf numFmtId="43" fontId="13" fillId="8" borderId="1" xfId="0" applyNumberFormat="1" applyFont="1" applyFill="1" applyBorder="1" applyAlignment="1">
      <alignment horizontal="right" vertical="top"/>
    </xf>
    <xf numFmtId="1" fontId="13" fillId="8" borderId="1" xfId="0" applyNumberFormat="1" applyFont="1" applyFill="1" applyBorder="1" applyAlignment="1">
      <alignment horizontal="right" vertical="top"/>
    </xf>
    <xf numFmtId="0" fontId="13" fillId="8" borderId="1" xfId="0" applyFont="1" applyFill="1" applyBorder="1"/>
    <xf numFmtId="0" fontId="13" fillId="8" borderId="2" xfId="0" applyFont="1" applyFill="1" applyBorder="1"/>
    <xf numFmtId="4" fontId="13" fillId="8" borderId="2" xfId="0" applyNumberFormat="1" applyFont="1" applyFill="1" applyBorder="1"/>
    <xf numFmtId="0" fontId="13" fillId="8" borderId="0" xfId="0" applyFont="1" applyFill="1"/>
    <xf numFmtId="164" fontId="13" fillId="8" borderId="1" xfId="1" applyNumberFormat="1" applyFont="1" applyFill="1" applyBorder="1"/>
    <xf numFmtId="164" fontId="13" fillId="8" borderId="2" xfId="1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43" fontId="13" fillId="2" borderId="1" xfId="0" applyNumberFormat="1" applyFont="1" applyFill="1" applyBorder="1" applyAlignment="1">
      <alignment horizontal="right" vertical="center"/>
    </xf>
    <xf numFmtId="171" fontId="13" fillId="2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/>
    </xf>
    <xf numFmtId="4" fontId="13" fillId="2" borderId="0" xfId="0" applyNumberFormat="1" applyFont="1" applyFill="1" applyAlignment="1"/>
    <xf numFmtId="165" fontId="13" fillId="2" borderId="1" xfId="0" applyNumberFormat="1" applyFont="1" applyFill="1" applyBorder="1"/>
    <xf numFmtId="4" fontId="13" fillId="2" borderId="1" xfId="3" applyNumberFormat="1" applyFont="1" applyFill="1" applyBorder="1" applyAlignment="1"/>
    <xf numFmtId="0" fontId="46" fillId="2" borderId="1" xfId="0" applyFont="1" applyFill="1" applyBorder="1" applyAlignment="1">
      <alignment horizontal="right" vertical="center"/>
    </xf>
    <xf numFmtId="0" fontId="13" fillId="2" borderId="1" xfId="3" applyFont="1" applyFill="1" applyBorder="1" applyAlignment="1">
      <alignment vertical="top" wrapText="1"/>
    </xf>
    <xf numFmtId="0" fontId="13" fillId="2" borderId="1" xfId="3" applyFont="1" applyFill="1" applyBorder="1" applyAlignment="1">
      <alignment horizontal="center" vertical="top"/>
    </xf>
    <xf numFmtId="0" fontId="13" fillId="2" borderId="1" xfId="3" applyFont="1" applyFill="1" applyBorder="1" applyAlignment="1">
      <alignment horizontal="right" vertical="top"/>
    </xf>
    <xf numFmtId="43" fontId="13" fillId="2" borderId="1" xfId="0" applyNumberFormat="1" applyFont="1" applyFill="1" applyBorder="1" applyAlignment="1">
      <alignment horizontal="left" vertical="top"/>
    </xf>
    <xf numFmtId="0" fontId="14" fillId="8" borderId="1" xfId="0" applyFont="1" applyFill="1" applyBorder="1" applyAlignment="1">
      <alignment horizontal="center" vertical="top"/>
    </xf>
    <xf numFmtId="164" fontId="13" fillId="8" borderId="1" xfId="0" applyNumberFormat="1" applyFont="1" applyFill="1" applyBorder="1" applyAlignment="1">
      <alignment horizontal="center" vertical="center"/>
    </xf>
    <xf numFmtId="0" fontId="13" fillId="8" borderId="1" xfId="3" applyFont="1" applyFill="1" applyBorder="1" applyAlignment="1">
      <alignment vertical="top" wrapText="1"/>
    </xf>
    <xf numFmtId="0" fontId="22" fillId="0" borderId="0" xfId="0" applyFont="1" applyAlignment="1">
      <alignment horizontal="center"/>
    </xf>
    <xf numFmtId="0" fontId="22" fillId="4" borderId="12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40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/>
    </xf>
    <xf numFmtId="0" fontId="22" fillId="4" borderId="18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wrapText="1" readingOrder="1"/>
    </xf>
    <xf numFmtId="0" fontId="16" fillId="0" borderId="0" xfId="0" applyFont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right"/>
    </xf>
    <xf numFmtId="0" fontId="16" fillId="4" borderId="15" xfId="0" applyFont="1" applyFill="1" applyBorder="1" applyAlignment="1">
      <alignment horizontal="right"/>
    </xf>
    <xf numFmtId="0" fontId="16" fillId="4" borderId="13" xfId="0" applyFont="1" applyFill="1" applyBorder="1" applyAlignment="1">
      <alignment horizontal="right"/>
    </xf>
    <xf numFmtId="0" fontId="16" fillId="4" borderId="2" xfId="0" applyFont="1" applyFill="1" applyBorder="1" applyAlignment="1">
      <alignment horizontal="right"/>
    </xf>
    <xf numFmtId="0" fontId="16" fillId="4" borderId="16" xfId="0" applyFont="1" applyFill="1" applyBorder="1" applyAlignment="1">
      <alignment horizontal="right"/>
    </xf>
    <xf numFmtId="0" fontId="16" fillId="4" borderId="18" xfId="0" applyFont="1" applyFill="1" applyBorder="1" applyAlignment="1">
      <alignment horizontal="right"/>
    </xf>
    <xf numFmtId="4" fontId="14" fillId="9" borderId="2" xfId="0" applyNumberFormat="1" applyFont="1" applyFill="1" applyBorder="1" applyAlignment="1">
      <alignment horizontal="center" vertical="center" wrapText="1"/>
    </xf>
    <xf numFmtId="4" fontId="14" fillId="9" borderId="18" xfId="0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top" wrapText="1"/>
    </xf>
    <xf numFmtId="4" fontId="14" fillId="0" borderId="18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4" fontId="13" fillId="2" borderId="12" xfId="0" applyNumberFormat="1" applyFont="1" applyFill="1" applyBorder="1" applyAlignment="1">
      <alignment vertical="center" textRotation="90"/>
    </xf>
    <xf numFmtId="4" fontId="13" fillId="2" borderId="15" xfId="0" applyNumberFormat="1" applyFont="1" applyFill="1" applyBorder="1" applyAlignment="1">
      <alignment vertical="center" textRotation="90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4" fontId="14" fillId="10" borderId="1" xfId="0" applyNumberFormat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/>
    </xf>
    <xf numFmtId="4" fontId="14" fillId="10" borderId="2" xfId="0" applyNumberFormat="1" applyFont="1" applyFill="1" applyBorder="1" applyAlignment="1">
      <alignment vertical="center" wrapText="1"/>
    </xf>
    <xf numFmtId="4" fontId="14" fillId="10" borderId="18" xfId="0" applyNumberFormat="1" applyFont="1" applyFill="1" applyBorder="1" applyAlignment="1">
      <alignment vertical="center" wrapText="1"/>
    </xf>
    <xf numFmtId="4" fontId="14" fillId="2" borderId="2" xfId="0" applyNumberFormat="1" applyFont="1" applyFill="1" applyBorder="1" applyAlignment="1">
      <alignment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18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" fontId="14" fillId="2" borderId="2" xfId="0" applyNumberFormat="1" applyFont="1" applyFill="1" applyBorder="1" applyAlignment="1">
      <alignment vertical="center" wrapText="1"/>
    </xf>
    <xf numFmtId="4" fontId="14" fillId="2" borderId="18" xfId="0" applyNumberFormat="1" applyFont="1" applyFill="1" applyBorder="1" applyAlignment="1">
      <alignment vertical="center" wrapText="1"/>
    </xf>
    <xf numFmtId="4" fontId="12" fillId="10" borderId="1" xfId="0" applyNumberFormat="1" applyFont="1" applyFill="1" applyBorder="1" applyAlignment="1">
      <alignment horizontal="center" vertical="center" wrapText="1"/>
    </xf>
    <xf numFmtId="4" fontId="12" fillId="10" borderId="4" xfId="0" applyNumberFormat="1" applyFont="1" applyFill="1" applyBorder="1" applyAlignment="1">
      <alignment horizontal="center" vertical="center" wrapText="1"/>
    </xf>
    <xf numFmtId="4" fontId="12" fillId="10" borderId="6" xfId="0" applyNumberFormat="1" applyFont="1" applyFill="1" applyBorder="1" applyAlignment="1">
      <alignment horizontal="center" vertical="center" wrapText="1"/>
    </xf>
    <xf numFmtId="4" fontId="12" fillId="10" borderId="3" xfId="0" applyNumberFormat="1" applyFont="1" applyFill="1" applyBorder="1" applyAlignment="1">
      <alignment horizontal="center" vertical="center" wrapText="1"/>
    </xf>
    <xf numFmtId="4" fontId="12" fillId="10" borderId="19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 wrapText="1"/>
    </xf>
    <xf numFmtId="4" fontId="12" fillId="2" borderId="6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19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/>
    </xf>
    <xf numFmtId="4" fontId="12" fillId="2" borderId="4" xfId="0" applyNumberFormat="1" applyFont="1" applyFill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/>
    </xf>
    <xf numFmtId="4" fontId="12" fillId="2" borderId="19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4" fontId="12" fillId="2" borderId="2" xfId="0" applyNumberFormat="1" applyFont="1" applyFill="1" applyBorder="1" applyAlignment="1">
      <alignment vertical="center" wrapText="1"/>
    </xf>
    <xf numFmtId="4" fontId="12" fillId="2" borderId="18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center" vertical="top"/>
    </xf>
    <xf numFmtId="4" fontId="12" fillId="2" borderId="16" xfId="0" applyNumberFormat="1" applyFont="1" applyFill="1" applyBorder="1" applyAlignment="1">
      <alignment horizontal="center" vertical="top"/>
    </xf>
    <xf numFmtId="4" fontId="12" fillId="2" borderId="18" xfId="0" applyNumberFormat="1" applyFont="1" applyFill="1" applyBorder="1" applyAlignment="1">
      <alignment horizontal="center" vertical="top"/>
    </xf>
    <xf numFmtId="4" fontId="12" fillId="2" borderId="5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center" vertical="center" textRotation="90" wrapText="1"/>
    </xf>
    <xf numFmtId="0" fontId="11" fillId="2" borderId="15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right"/>
    </xf>
    <xf numFmtId="10" fontId="12" fillId="2" borderId="2" xfId="0" applyNumberFormat="1" applyFont="1" applyFill="1" applyBorder="1" applyAlignment="1">
      <alignment horizontal="center" vertical="top"/>
    </xf>
    <xf numFmtId="10" fontId="12" fillId="2" borderId="16" xfId="0" applyNumberFormat="1" applyFont="1" applyFill="1" applyBorder="1" applyAlignment="1">
      <alignment horizontal="center" vertical="top"/>
    </xf>
    <xf numFmtId="10" fontId="12" fillId="2" borderId="18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top" wrapText="1"/>
    </xf>
    <xf numFmtId="3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/>
    </xf>
    <xf numFmtId="3" fontId="12" fillId="2" borderId="4" xfId="0" applyNumberFormat="1" applyFont="1" applyFill="1" applyBorder="1" applyAlignment="1">
      <alignment horizontal="right" vertical="top"/>
    </xf>
    <xf numFmtId="3" fontId="12" fillId="2" borderId="5" xfId="0" applyNumberFormat="1" applyFont="1" applyFill="1" applyBorder="1" applyAlignment="1">
      <alignment horizontal="right" vertical="top"/>
    </xf>
    <xf numFmtId="3" fontId="12" fillId="2" borderId="6" xfId="0" applyNumberFormat="1" applyFont="1" applyFill="1" applyBorder="1" applyAlignment="1">
      <alignment horizontal="right" vertical="top"/>
    </xf>
    <xf numFmtId="3" fontId="12" fillId="2" borderId="3" xfId="0" applyNumberFormat="1" applyFont="1" applyFill="1" applyBorder="1" applyAlignment="1">
      <alignment horizontal="right" vertical="top"/>
    </xf>
    <xf numFmtId="3" fontId="12" fillId="2" borderId="17" xfId="0" applyNumberFormat="1" applyFont="1" applyFill="1" applyBorder="1" applyAlignment="1">
      <alignment horizontal="right" vertical="top"/>
    </xf>
    <xf numFmtId="3" fontId="12" fillId="2" borderId="19" xfId="0" applyNumberFormat="1" applyFont="1" applyFill="1" applyBorder="1" applyAlignment="1">
      <alignment horizontal="right" vertical="top"/>
    </xf>
    <xf numFmtId="4" fontId="12" fillId="2" borderId="4" xfId="0" applyNumberFormat="1" applyFont="1" applyFill="1" applyBorder="1" applyAlignment="1">
      <alignment horizontal="right" vertical="top"/>
    </xf>
    <xf numFmtId="4" fontId="12" fillId="2" borderId="5" xfId="0" applyNumberFormat="1" applyFont="1" applyFill="1" applyBorder="1" applyAlignment="1">
      <alignment horizontal="right" vertical="top"/>
    </xf>
    <xf numFmtId="4" fontId="12" fillId="2" borderId="3" xfId="0" applyNumberFormat="1" applyFont="1" applyFill="1" applyBorder="1" applyAlignment="1">
      <alignment horizontal="right" vertical="top"/>
    </xf>
    <xf numFmtId="4" fontId="12" fillId="2" borderId="17" xfId="0" applyNumberFormat="1" applyFont="1" applyFill="1" applyBorder="1" applyAlignment="1">
      <alignment horizontal="right" vertical="top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left" vertical="top"/>
    </xf>
    <xf numFmtId="0" fontId="12" fillId="2" borderId="1" xfId="0" applyFont="1" applyFill="1" applyBorder="1" applyAlignment="1">
      <alignment horizontal="right" vertical="top"/>
    </xf>
    <xf numFmtId="0" fontId="12" fillId="2" borderId="15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/>
    </xf>
    <xf numFmtId="0" fontId="12" fillId="2" borderId="13" xfId="0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right" vertical="top" wrapText="1"/>
    </xf>
    <xf numFmtId="0" fontId="12" fillId="2" borderId="13" xfId="0" applyFont="1" applyFill="1" applyBorder="1" applyAlignment="1">
      <alignment horizontal="right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17" xfId="0" applyFont="1" applyFill="1" applyBorder="1" applyAlignment="1">
      <alignment horizontal="left" vertical="top" wrapText="1"/>
    </xf>
    <xf numFmtId="0" fontId="12" fillId="2" borderId="19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/>
    </xf>
    <xf numFmtId="0" fontId="12" fillId="2" borderId="16" xfId="0" applyFont="1" applyFill="1" applyBorder="1" applyAlignment="1">
      <alignment horizontal="center" vertical="top"/>
    </xf>
    <xf numFmtId="0" fontId="12" fillId="2" borderId="18" xfId="0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/>
    </xf>
    <xf numFmtId="0" fontId="12" fillId="2" borderId="13" xfId="0" applyFont="1" applyFill="1" applyBorder="1" applyAlignment="1">
      <alignment horizontal="left" vertical="top" wrapText="1"/>
    </xf>
    <xf numFmtId="3" fontId="12" fillId="2" borderId="4" xfId="0" applyNumberFormat="1" applyFont="1" applyFill="1" applyBorder="1" applyAlignment="1">
      <alignment horizontal="center" vertical="top" wrapText="1"/>
    </xf>
    <xf numFmtId="3" fontId="12" fillId="2" borderId="5" xfId="0" applyNumberFormat="1" applyFont="1" applyFill="1" applyBorder="1" applyAlignment="1">
      <alignment horizontal="center" vertical="top" wrapText="1"/>
    </xf>
    <xf numFmtId="3" fontId="12" fillId="2" borderId="6" xfId="0" applyNumberFormat="1" applyFont="1" applyFill="1" applyBorder="1" applyAlignment="1">
      <alignment horizontal="center" vertical="top" wrapText="1"/>
    </xf>
    <xf numFmtId="3" fontId="12" fillId="2" borderId="3" xfId="0" applyNumberFormat="1" applyFont="1" applyFill="1" applyBorder="1" applyAlignment="1">
      <alignment horizontal="center" vertical="top" wrapText="1"/>
    </xf>
    <xf numFmtId="3" fontId="12" fillId="2" borderId="17" xfId="0" applyNumberFormat="1" applyFont="1" applyFill="1" applyBorder="1" applyAlignment="1">
      <alignment horizontal="center" vertical="top" wrapText="1"/>
    </xf>
    <xf numFmtId="3" fontId="12" fillId="2" borderId="19" xfId="0" applyNumberFormat="1" applyFont="1" applyFill="1" applyBorder="1" applyAlignment="1">
      <alignment horizontal="center" vertical="top" wrapText="1"/>
    </xf>
    <xf numFmtId="4" fontId="12" fillId="2" borderId="4" xfId="0" applyNumberFormat="1" applyFont="1" applyFill="1" applyBorder="1" applyAlignment="1">
      <alignment horizontal="left" vertical="top" wrapText="1"/>
    </xf>
    <xf numFmtId="4" fontId="12" fillId="2" borderId="5" xfId="0" applyNumberFormat="1" applyFont="1" applyFill="1" applyBorder="1" applyAlignment="1">
      <alignment horizontal="left" vertical="top" wrapText="1"/>
    </xf>
    <xf numFmtId="4" fontId="12" fillId="2" borderId="6" xfId="0" applyNumberFormat="1" applyFont="1" applyFill="1" applyBorder="1" applyAlignment="1">
      <alignment horizontal="left" vertical="top" wrapText="1"/>
    </xf>
    <xf numFmtId="4" fontId="12" fillId="2" borderId="3" xfId="0" applyNumberFormat="1" applyFont="1" applyFill="1" applyBorder="1" applyAlignment="1">
      <alignment horizontal="left" vertical="top" wrapText="1"/>
    </xf>
    <xf numFmtId="4" fontId="12" fillId="2" borderId="17" xfId="0" applyNumberFormat="1" applyFont="1" applyFill="1" applyBorder="1" applyAlignment="1">
      <alignment horizontal="left" vertical="top" wrapText="1"/>
    </xf>
    <xf numFmtId="4" fontId="12" fillId="2" borderId="19" xfId="0" applyNumberFormat="1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right" vertical="top" wrapText="1"/>
    </xf>
    <xf numFmtId="4" fontId="11" fillId="2" borderId="12" xfId="0" applyNumberFormat="1" applyFont="1" applyFill="1" applyBorder="1" applyAlignment="1">
      <alignment horizontal="right" vertical="top" wrapText="1"/>
    </xf>
    <xf numFmtId="4" fontId="11" fillId="2" borderId="15" xfId="0" applyNumberFormat="1" applyFont="1" applyFill="1" applyBorder="1" applyAlignment="1">
      <alignment horizontal="right" vertical="top" wrapText="1"/>
    </xf>
    <xf numFmtId="0" fontId="12" fillId="2" borderId="2" xfId="0" applyFont="1" applyFill="1" applyBorder="1" applyAlignment="1">
      <alignment horizontal="left" vertical="top"/>
    </xf>
    <xf numFmtId="0" fontId="12" fillId="2" borderId="16" xfId="0" applyFont="1" applyFill="1" applyBorder="1" applyAlignment="1">
      <alignment horizontal="left" vertical="top"/>
    </xf>
    <xf numFmtId="0" fontId="12" fillId="2" borderId="18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right" vertical="top"/>
    </xf>
    <xf numFmtId="0" fontId="12" fillId="2" borderId="18" xfId="0" applyFont="1" applyFill="1" applyBorder="1" applyAlignment="1">
      <alignment horizontal="right" vertical="top"/>
    </xf>
    <xf numFmtId="0" fontId="12" fillId="2" borderId="16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12" fillId="2" borderId="17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center" vertical="top" wrapText="1"/>
    </xf>
    <xf numFmtId="4" fontId="12" fillId="2" borderId="12" xfId="0" applyNumberFormat="1" applyFont="1" applyFill="1" applyBorder="1" applyAlignment="1">
      <alignment horizontal="left" vertical="top" wrapText="1"/>
    </xf>
    <xf numFmtId="4" fontId="12" fillId="2" borderId="13" xfId="0" applyNumberFormat="1" applyFont="1" applyFill="1" applyBorder="1" applyAlignment="1">
      <alignment horizontal="left" vertical="top" wrapText="1"/>
    </xf>
    <xf numFmtId="3" fontId="12" fillId="2" borderId="4" xfId="0" applyNumberFormat="1" applyFont="1" applyFill="1" applyBorder="1" applyAlignment="1">
      <alignment horizontal="center" vertical="top"/>
    </xf>
    <xf numFmtId="3" fontId="12" fillId="2" borderId="5" xfId="0" applyNumberFormat="1" applyFont="1" applyFill="1" applyBorder="1" applyAlignment="1">
      <alignment horizontal="center" vertical="top"/>
    </xf>
    <xf numFmtId="3" fontId="12" fillId="2" borderId="6" xfId="0" applyNumberFormat="1" applyFont="1" applyFill="1" applyBorder="1" applyAlignment="1">
      <alignment horizontal="center" vertical="top"/>
    </xf>
    <xf numFmtId="3" fontId="12" fillId="2" borderId="3" xfId="0" applyNumberFormat="1" applyFont="1" applyFill="1" applyBorder="1" applyAlignment="1">
      <alignment horizontal="center" vertical="top"/>
    </xf>
    <xf numFmtId="3" fontId="12" fillId="2" borderId="17" xfId="0" applyNumberFormat="1" applyFont="1" applyFill="1" applyBorder="1" applyAlignment="1">
      <alignment horizontal="center" vertical="top"/>
    </xf>
    <xf numFmtId="3" fontId="12" fillId="2" borderId="19" xfId="0" applyNumberFormat="1" applyFont="1" applyFill="1" applyBorder="1" applyAlignment="1">
      <alignment horizontal="center" vertical="top"/>
    </xf>
    <xf numFmtId="4" fontId="12" fillId="2" borderId="12" xfId="0" applyNumberFormat="1" applyFont="1" applyFill="1" applyBorder="1" applyAlignment="1">
      <alignment horizontal="center" vertical="top" wrapText="1"/>
    </xf>
    <xf numFmtId="4" fontId="12" fillId="2" borderId="13" xfId="0" applyNumberFormat="1" applyFont="1" applyFill="1" applyBorder="1" applyAlignment="1">
      <alignment horizontal="center" vertical="top" wrapText="1"/>
    </xf>
    <xf numFmtId="4" fontId="12" fillId="2" borderId="4" xfId="0" applyNumberFormat="1" applyFont="1" applyFill="1" applyBorder="1" applyAlignment="1">
      <alignment horizontal="center" vertical="top"/>
    </xf>
    <xf numFmtId="4" fontId="12" fillId="2" borderId="5" xfId="0" applyNumberFormat="1" applyFont="1" applyFill="1" applyBorder="1" applyAlignment="1">
      <alignment horizontal="center" vertical="top"/>
    </xf>
    <xf numFmtId="4" fontId="12" fillId="2" borderId="6" xfId="0" applyNumberFormat="1" applyFont="1" applyFill="1" applyBorder="1" applyAlignment="1">
      <alignment horizontal="center" vertical="top"/>
    </xf>
    <xf numFmtId="4" fontId="12" fillId="2" borderId="3" xfId="0" applyNumberFormat="1" applyFont="1" applyFill="1" applyBorder="1" applyAlignment="1">
      <alignment horizontal="center" vertical="top"/>
    </xf>
    <xf numFmtId="4" fontId="12" fillId="2" borderId="17" xfId="0" applyNumberFormat="1" applyFont="1" applyFill="1" applyBorder="1" applyAlignment="1">
      <alignment horizontal="center" vertical="top"/>
    </xf>
    <xf numFmtId="4" fontId="12" fillId="2" borderId="19" xfId="0" applyNumberFormat="1" applyFont="1" applyFill="1" applyBorder="1" applyAlignment="1">
      <alignment horizontal="center" vertical="top"/>
    </xf>
  </cellXfs>
  <cellStyles count="9">
    <cellStyle name="Comma" xfId="1" builtinId="3"/>
    <cellStyle name="Comma 2" xfId="2"/>
    <cellStyle name="Normal" xfId="0" builtinId="0"/>
    <cellStyle name="Normal 2" xfId="3"/>
    <cellStyle name="Normal_COMFIN" xfId="4"/>
    <cellStyle name="Normal_DT_2_1" xfId="5"/>
    <cellStyle name="Normal_DT_3_2" xfId="6"/>
    <cellStyle name="Normal_DT_4_2" xfId="7"/>
    <cellStyle name="Normal_DT_4_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34</xdr:row>
      <xdr:rowOff>238124</xdr:rowOff>
    </xdr:from>
    <xdr:to>
      <xdr:col>12</xdr:col>
      <xdr:colOff>952500</xdr:colOff>
      <xdr:row>40</xdr:row>
      <xdr:rowOff>253999</xdr:rowOff>
    </xdr:to>
    <xdr:pic>
      <xdr:nvPicPr>
        <xdr:cNvPr id="17409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39875" y="8667749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0</xdr:rowOff>
    </xdr:from>
    <xdr:to>
      <xdr:col>3</xdr:col>
      <xdr:colOff>2762250</xdr:colOff>
      <xdr:row>61</xdr:row>
      <xdr:rowOff>123032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438" y="11691938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1</xdr:col>
      <xdr:colOff>2762250</xdr:colOff>
      <xdr:row>54</xdr:row>
      <xdr:rowOff>123031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8656" y="11727656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91</xdr:row>
      <xdr:rowOff>0</xdr:rowOff>
    </xdr:from>
    <xdr:to>
      <xdr:col>3</xdr:col>
      <xdr:colOff>154781</xdr:colOff>
      <xdr:row>98</xdr:row>
      <xdr:rowOff>123032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2094" y="20216813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61</xdr:row>
      <xdr:rowOff>0</xdr:rowOff>
    </xdr:from>
    <xdr:to>
      <xdr:col>3</xdr:col>
      <xdr:colOff>107156</xdr:colOff>
      <xdr:row>68</xdr:row>
      <xdr:rowOff>123031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1625" y="15228094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3</xdr:col>
      <xdr:colOff>1083469</xdr:colOff>
      <xdr:row>45</xdr:row>
      <xdr:rowOff>123031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0" y="8489156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39</xdr:row>
      <xdr:rowOff>0</xdr:rowOff>
    </xdr:from>
    <xdr:to>
      <xdr:col>2</xdr:col>
      <xdr:colOff>2762250</xdr:colOff>
      <xdr:row>47</xdr:row>
      <xdr:rowOff>15875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900" y="7696200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2</xdr:col>
      <xdr:colOff>2042583</xdr:colOff>
      <xdr:row>40</xdr:row>
      <xdr:rowOff>132291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333" y="7471833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0</xdr:rowOff>
    </xdr:from>
    <xdr:to>
      <xdr:col>7</xdr:col>
      <xdr:colOff>700368</xdr:colOff>
      <xdr:row>24</xdr:row>
      <xdr:rowOff>161551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5059" y="3798794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60</xdr:row>
      <xdr:rowOff>0</xdr:rowOff>
    </xdr:from>
    <xdr:to>
      <xdr:col>2</xdr:col>
      <xdr:colOff>2762250</xdr:colOff>
      <xdr:row>65</xdr:row>
      <xdr:rowOff>43089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5786" y="20410714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</xdr:col>
      <xdr:colOff>2762250</xdr:colOff>
      <xdr:row>69</xdr:row>
      <xdr:rowOff>254000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16459200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105</xdr:row>
      <xdr:rowOff>0</xdr:rowOff>
    </xdr:from>
    <xdr:to>
      <xdr:col>2</xdr:col>
      <xdr:colOff>2762250</xdr:colOff>
      <xdr:row>112</xdr:row>
      <xdr:rowOff>132292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5083" y="26162000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95</xdr:row>
      <xdr:rowOff>0</xdr:rowOff>
    </xdr:from>
    <xdr:to>
      <xdr:col>4</xdr:col>
      <xdr:colOff>357188</xdr:colOff>
      <xdr:row>102</xdr:row>
      <xdr:rowOff>123031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8" y="26634281"/>
          <a:ext cx="2762250" cy="15398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62</xdr:row>
      <xdr:rowOff>0</xdr:rowOff>
    </xdr:from>
    <xdr:to>
      <xdr:col>4</xdr:col>
      <xdr:colOff>137583</xdr:colOff>
      <xdr:row>69</xdr:row>
      <xdr:rowOff>132292</xdr:rowOff>
    </xdr:to>
    <xdr:pic>
      <xdr:nvPicPr>
        <xdr:cNvPr id="2" name="Picture 1" descr="http://reports.opelip.org/pmsopelip/writereaddata/signature/521911192_signature_1_pic.pd-arthanar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50" y="20732750"/>
          <a:ext cx="2762250" cy="1539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51"/>
  <sheetViews>
    <sheetView zoomScale="60" zoomScaleNormal="60" workbookViewId="0">
      <pane xSplit="4" ySplit="9" topLeftCell="E22" activePane="bottomRight" state="frozen"/>
      <selection pane="topRight" activeCell="E1" sqref="E1"/>
      <selection pane="bottomLeft" activeCell="A10" sqref="A10"/>
      <selection pane="bottomRight" activeCell="N41" sqref="N41"/>
    </sheetView>
  </sheetViews>
  <sheetFormatPr defaultColWidth="8.7109375" defaultRowHeight="18.75"/>
  <cols>
    <col min="1" max="1" width="5.7109375" style="67" customWidth="1"/>
    <col min="2" max="2" width="9.5703125" style="67" customWidth="1"/>
    <col min="3" max="3" width="38" style="67" customWidth="1"/>
    <col min="4" max="4" width="23.140625" style="67" customWidth="1"/>
    <col min="5" max="5" width="20" style="67" customWidth="1"/>
    <col min="6" max="6" width="28.7109375" style="67" customWidth="1"/>
    <col min="7" max="7" width="21.28515625" style="67" bestFit="1" customWidth="1"/>
    <col min="8" max="8" width="22" style="67" bestFit="1" customWidth="1"/>
    <col min="9" max="9" width="23.5703125" style="67" customWidth="1"/>
    <col min="10" max="10" width="21.7109375" style="67" bestFit="1" customWidth="1"/>
    <col min="11" max="11" width="18.28515625" style="67" customWidth="1"/>
    <col min="12" max="12" width="8.85546875" style="67" customWidth="1"/>
    <col min="13" max="14" width="18" style="67" bestFit="1" customWidth="1"/>
    <col min="15" max="15" width="27.42578125" style="67" customWidth="1"/>
    <col min="16" max="16" width="13.140625" style="67" bestFit="1" customWidth="1"/>
    <col min="17" max="16384" width="8.7109375" style="67"/>
  </cols>
  <sheetData>
    <row r="1" spans="1:16" ht="13.5" customHeight="1">
      <c r="A1" s="828"/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6">
      <c r="A2" s="828" t="s">
        <v>158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</row>
    <row r="3" spans="1:16">
      <c r="A3" s="828" t="s">
        <v>949</v>
      </c>
      <c r="B3" s="828"/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</row>
    <row r="4" spans="1:16">
      <c r="A4" s="829" t="s">
        <v>5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829"/>
    </row>
    <row r="5" spans="1:16" ht="7.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8"/>
      <c r="N5" s="69"/>
      <c r="O5" s="68"/>
    </row>
    <row r="6" spans="1:16" s="70" customFormat="1" ht="22.9" customHeight="1">
      <c r="A6" s="835" t="s">
        <v>58</v>
      </c>
      <c r="B6" s="835" t="s">
        <v>56</v>
      </c>
      <c r="C6" s="837" t="s">
        <v>13</v>
      </c>
      <c r="D6" s="835" t="s">
        <v>699</v>
      </c>
      <c r="E6" s="103" t="s">
        <v>215</v>
      </c>
      <c r="F6" s="104"/>
      <c r="G6" s="104"/>
      <c r="H6" s="104"/>
      <c r="I6" s="104"/>
      <c r="J6" s="104"/>
      <c r="K6" s="104"/>
      <c r="L6" s="104"/>
      <c r="M6" s="104"/>
      <c r="N6" s="104"/>
      <c r="O6" s="105"/>
    </row>
    <row r="7" spans="1:16" s="70" customFormat="1" ht="33.75" customHeight="1">
      <c r="A7" s="836"/>
      <c r="B7" s="836"/>
      <c r="C7" s="838"/>
      <c r="D7" s="836"/>
      <c r="E7" s="71" t="s">
        <v>204</v>
      </c>
      <c r="F7" s="71" t="s">
        <v>205</v>
      </c>
      <c r="G7" s="71" t="s">
        <v>206</v>
      </c>
      <c r="H7" s="71" t="s">
        <v>207</v>
      </c>
      <c r="I7" s="71" t="s">
        <v>208</v>
      </c>
      <c r="J7" s="71" t="s">
        <v>209</v>
      </c>
      <c r="K7" s="71" t="s">
        <v>984</v>
      </c>
      <c r="L7" s="71" t="s">
        <v>211</v>
      </c>
      <c r="M7" s="71" t="s">
        <v>212</v>
      </c>
      <c r="N7" s="71" t="s">
        <v>818</v>
      </c>
      <c r="O7" s="72" t="s">
        <v>37</v>
      </c>
    </row>
    <row r="8" spans="1:16" ht="9.75" customHeight="1">
      <c r="A8" s="830"/>
      <c r="B8" s="831"/>
      <c r="C8" s="831"/>
      <c r="D8" s="73"/>
      <c r="E8" s="73"/>
      <c r="F8" s="73"/>
      <c r="G8" s="73"/>
      <c r="H8" s="73"/>
      <c r="I8" s="73"/>
      <c r="J8" s="73"/>
      <c r="K8" s="73"/>
      <c r="L8" s="68"/>
      <c r="M8" s="68"/>
      <c r="N8" s="68"/>
      <c r="O8" s="68"/>
    </row>
    <row r="9" spans="1:16" ht="18" customHeight="1">
      <c r="A9" s="825">
        <v>1</v>
      </c>
      <c r="B9" s="74">
        <v>10000</v>
      </c>
      <c r="C9" s="75" t="s">
        <v>0</v>
      </c>
      <c r="D9" s="76"/>
      <c r="E9" s="76"/>
      <c r="F9" s="76"/>
      <c r="G9" s="76"/>
      <c r="H9" s="76"/>
      <c r="I9" s="76"/>
      <c r="J9" s="76"/>
      <c r="K9" s="76"/>
      <c r="L9" s="77"/>
      <c r="M9" s="77"/>
      <c r="N9" s="77"/>
      <c r="O9" s="77"/>
    </row>
    <row r="10" spans="1:16" ht="37.5">
      <c r="A10" s="826"/>
      <c r="B10" s="78">
        <v>11000</v>
      </c>
      <c r="C10" s="79" t="s">
        <v>63</v>
      </c>
      <c r="D10" s="80">
        <f>O10</f>
        <v>212870784</v>
      </c>
      <c r="E10" s="80">
        <f>'1.1'!H50</f>
        <v>62787674</v>
      </c>
      <c r="F10" s="80">
        <f>'1.1'!I50</f>
        <v>150083110</v>
      </c>
      <c r="G10" s="80">
        <f>'1.1'!J50</f>
        <v>0</v>
      </c>
      <c r="H10" s="80">
        <f>'1.1'!K50</f>
        <v>0</v>
      </c>
      <c r="I10" s="80">
        <f>'1.1'!L50</f>
        <v>0</v>
      </c>
      <c r="J10" s="80">
        <f>'1.1'!M50</f>
        <v>0</v>
      </c>
      <c r="K10" s="80">
        <f>'1.1'!N50</f>
        <v>0</v>
      </c>
      <c r="L10" s="80">
        <f>'1.1'!O50</f>
        <v>0</v>
      </c>
      <c r="M10" s="80">
        <f>'1.1'!P50</f>
        <v>0</v>
      </c>
      <c r="N10" s="80">
        <f>'1.1'!Q50</f>
        <v>0</v>
      </c>
      <c r="O10" s="81">
        <f>SUM(E10:N10)</f>
        <v>212870784</v>
      </c>
    </row>
    <row r="11" spans="1:16" ht="18" customHeight="1">
      <c r="A11" s="826"/>
      <c r="B11" s="78">
        <v>12000</v>
      </c>
      <c r="C11" s="79" t="s">
        <v>68</v>
      </c>
      <c r="D11" s="80">
        <f>O11</f>
        <v>22690650</v>
      </c>
      <c r="E11" s="80">
        <f>'1.2'!G66</f>
        <v>1538130</v>
      </c>
      <c r="F11" s="80">
        <f>'1.2'!H66</f>
        <v>21152520</v>
      </c>
      <c r="G11" s="80">
        <f>'1.2'!I66</f>
        <v>0</v>
      </c>
      <c r="H11" s="80">
        <f>'1.2'!J66</f>
        <v>0</v>
      </c>
      <c r="I11" s="80">
        <f>'1.2'!K66</f>
        <v>0</v>
      </c>
      <c r="J11" s="80">
        <f>'1.2'!L66</f>
        <v>0</v>
      </c>
      <c r="K11" s="80">
        <f>'1.2'!M66</f>
        <v>0</v>
      </c>
      <c r="L11" s="80">
        <f>'1.2'!N66</f>
        <v>0</v>
      </c>
      <c r="M11" s="80">
        <f>'1.2'!O66</f>
        <v>0</v>
      </c>
      <c r="N11" s="80">
        <f>'1.2'!P66</f>
        <v>0</v>
      </c>
      <c r="O11" s="81">
        <f>SUM(E11:N11)</f>
        <v>22690650</v>
      </c>
    </row>
    <row r="12" spans="1:16" ht="14.25" customHeight="1">
      <c r="A12" s="827"/>
      <c r="B12" s="82"/>
      <c r="C12" s="83" t="s">
        <v>3</v>
      </c>
      <c r="D12" s="84">
        <f>O12</f>
        <v>235561434</v>
      </c>
      <c r="E12" s="85">
        <f>SUM(E10:E11)</f>
        <v>64325804</v>
      </c>
      <c r="F12" s="85">
        <f t="shared" ref="F12:O12" si="0">SUM(F10:F11)</f>
        <v>171235630</v>
      </c>
      <c r="G12" s="85">
        <f t="shared" si="0"/>
        <v>0</v>
      </c>
      <c r="H12" s="85">
        <f t="shared" si="0"/>
        <v>0</v>
      </c>
      <c r="I12" s="85">
        <f t="shared" si="0"/>
        <v>0</v>
      </c>
      <c r="J12" s="85">
        <f t="shared" si="0"/>
        <v>0</v>
      </c>
      <c r="K12" s="85">
        <f t="shared" si="0"/>
        <v>0</v>
      </c>
      <c r="L12" s="85">
        <f t="shared" si="0"/>
        <v>0</v>
      </c>
      <c r="M12" s="85">
        <f t="shared" si="0"/>
        <v>0</v>
      </c>
      <c r="N12" s="85">
        <f t="shared" si="0"/>
        <v>0</v>
      </c>
      <c r="O12" s="85">
        <f t="shared" si="0"/>
        <v>235561434</v>
      </c>
    </row>
    <row r="13" spans="1:16">
      <c r="A13" s="68"/>
      <c r="B13" s="86"/>
      <c r="C13" s="87"/>
      <c r="D13" s="88"/>
      <c r="E13" s="88"/>
      <c r="F13" s="88"/>
      <c r="G13" s="88"/>
      <c r="H13" s="88"/>
      <c r="I13" s="88"/>
      <c r="J13" s="88"/>
      <c r="K13" s="88"/>
      <c r="L13" s="81"/>
      <c r="M13" s="81"/>
      <c r="N13" s="81"/>
      <c r="O13" s="81"/>
    </row>
    <row r="14" spans="1:16">
      <c r="A14" s="825">
        <v>2</v>
      </c>
      <c r="B14" s="74">
        <v>20000</v>
      </c>
      <c r="C14" s="89" t="s">
        <v>91</v>
      </c>
      <c r="D14" s="90"/>
      <c r="E14" s="90"/>
      <c r="F14" s="90"/>
      <c r="G14" s="90"/>
      <c r="H14" s="90"/>
      <c r="I14" s="90"/>
      <c r="J14" s="90"/>
      <c r="K14" s="90"/>
      <c r="L14" s="81"/>
      <c r="M14" s="81"/>
      <c r="N14" s="81"/>
      <c r="O14" s="81"/>
    </row>
    <row r="15" spans="1:16">
      <c r="A15" s="826"/>
      <c r="B15" s="91">
        <v>21000</v>
      </c>
      <c r="C15" s="92" t="s">
        <v>180</v>
      </c>
      <c r="D15" s="80">
        <f>O15</f>
        <v>317239830</v>
      </c>
      <c r="E15" s="80">
        <f>'2.1'!H104</f>
        <v>4147530</v>
      </c>
      <c r="F15" s="80">
        <f>'2.1'!I104</f>
        <v>17401950</v>
      </c>
      <c r="G15" s="80">
        <f>'2.1'!J104</f>
        <v>0</v>
      </c>
      <c r="H15" s="80">
        <f>'2.1'!K104</f>
        <v>0</v>
      </c>
      <c r="I15" s="80">
        <f>'2.1'!L104</f>
        <v>78252000</v>
      </c>
      <c r="J15" s="80">
        <f>'2.1'!M104</f>
        <v>216897130</v>
      </c>
      <c r="K15" s="80">
        <f>'2.1'!N104</f>
        <v>0</v>
      </c>
      <c r="L15" s="80">
        <f>'2.1'!O104</f>
        <v>0</v>
      </c>
      <c r="M15" s="80">
        <f>'2.1'!P104</f>
        <v>541220</v>
      </c>
      <c r="N15" s="80">
        <f>'2.1'!Q104</f>
        <v>0</v>
      </c>
      <c r="O15" s="81">
        <f>SUM(E15:N15)</f>
        <v>317239830</v>
      </c>
      <c r="P15" s="93"/>
    </row>
    <row r="16" spans="1:16">
      <c r="A16" s="826"/>
      <c r="B16" s="91">
        <v>22000</v>
      </c>
      <c r="C16" s="92" t="s">
        <v>542</v>
      </c>
      <c r="D16" s="80">
        <f>O16</f>
        <v>169201791</v>
      </c>
      <c r="E16" s="80">
        <f>'2.2'!I93</f>
        <v>11683943.5</v>
      </c>
      <c r="F16" s="80">
        <f>'2.2'!J93</f>
        <v>82459032.800000012</v>
      </c>
      <c r="G16" s="80">
        <f>'2.2'!K93</f>
        <v>1248000</v>
      </c>
      <c r="H16" s="80">
        <f>'2.2'!L93</f>
        <v>0</v>
      </c>
      <c r="I16" s="80">
        <f>'2.2'!M93</f>
        <v>64880000</v>
      </c>
      <c r="J16" s="80">
        <f>'2.2'!N93</f>
        <v>0</v>
      </c>
      <c r="K16" s="80">
        <f>'2.2'!O93</f>
        <v>0</v>
      </c>
      <c r="L16" s="80">
        <f>'2.2'!P93</f>
        <v>0</v>
      </c>
      <c r="M16" s="80">
        <f>'2.2'!Q93</f>
        <v>8930814.6999999993</v>
      </c>
      <c r="N16" s="80">
        <f>'2.2'!R93</f>
        <v>0</v>
      </c>
      <c r="O16" s="81">
        <f>SUM(E16:N16)</f>
        <v>169201791</v>
      </c>
    </row>
    <row r="17" spans="1:15">
      <c r="A17" s="826"/>
      <c r="B17" s="91">
        <v>23000</v>
      </c>
      <c r="C17" s="92" t="s">
        <v>541</v>
      </c>
      <c r="D17" s="80">
        <f>O17</f>
        <v>160510088</v>
      </c>
      <c r="E17" s="80">
        <f>'2.3'!I62</f>
        <v>2673817.6000000001</v>
      </c>
      <c r="F17" s="80">
        <f>'2.3'!J62</f>
        <v>32345670.399999999</v>
      </c>
      <c r="G17" s="80">
        <f>'2.3'!K62</f>
        <v>220000</v>
      </c>
      <c r="H17" s="80">
        <f>'2.3'!L62</f>
        <v>0</v>
      </c>
      <c r="I17" s="80">
        <f>'2.3'!M62</f>
        <v>57856600</v>
      </c>
      <c r="J17" s="80">
        <f>'2.3'!N62</f>
        <v>0</v>
      </c>
      <c r="K17" s="80">
        <f>'2.3'!O62</f>
        <v>60500000</v>
      </c>
      <c r="L17" s="80">
        <f>'2.3'!P62</f>
        <v>0</v>
      </c>
      <c r="M17" s="80">
        <f>'2.3'!Q62</f>
        <v>6914000</v>
      </c>
      <c r="N17" s="80">
        <f>'2.3'!R62</f>
        <v>0</v>
      </c>
      <c r="O17" s="81">
        <f>SUM(E17:N17)</f>
        <v>160510088</v>
      </c>
    </row>
    <row r="18" spans="1:15">
      <c r="A18" s="827"/>
      <c r="B18" s="82"/>
      <c r="C18" s="83" t="s">
        <v>3</v>
      </c>
      <c r="D18" s="84">
        <f>O18</f>
        <v>646951709</v>
      </c>
      <c r="E18" s="85">
        <f>SUM(E15:E17)</f>
        <v>18505291.100000001</v>
      </c>
      <c r="F18" s="85">
        <f t="shared" ref="F18:O18" si="1">SUM(F15:F17)</f>
        <v>132206653.20000002</v>
      </c>
      <c r="G18" s="85">
        <f t="shared" si="1"/>
        <v>1468000</v>
      </c>
      <c r="H18" s="85">
        <f t="shared" si="1"/>
        <v>0</v>
      </c>
      <c r="I18" s="85">
        <f t="shared" si="1"/>
        <v>200988600</v>
      </c>
      <c r="J18" s="85">
        <f t="shared" si="1"/>
        <v>216897130</v>
      </c>
      <c r="K18" s="85">
        <f t="shared" si="1"/>
        <v>60500000</v>
      </c>
      <c r="L18" s="85">
        <f t="shared" si="1"/>
        <v>0</v>
      </c>
      <c r="M18" s="85">
        <f t="shared" si="1"/>
        <v>16386034.699999999</v>
      </c>
      <c r="N18" s="85">
        <f t="shared" si="1"/>
        <v>0</v>
      </c>
      <c r="O18" s="85">
        <f t="shared" si="1"/>
        <v>646951709</v>
      </c>
    </row>
    <row r="19" spans="1:15" ht="13.5" customHeight="1">
      <c r="A19" s="68"/>
      <c r="B19" s="86"/>
      <c r="C19" s="87"/>
      <c r="D19" s="88"/>
      <c r="E19" s="88"/>
      <c r="F19" s="88"/>
      <c r="G19" s="88"/>
      <c r="H19" s="88"/>
      <c r="I19" s="88"/>
      <c r="J19" s="88"/>
      <c r="K19" s="88"/>
      <c r="L19" s="81"/>
      <c r="M19" s="81"/>
      <c r="N19" s="81"/>
      <c r="O19" s="81"/>
    </row>
    <row r="20" spans="1:15" ht="37.5">
      <c r="A20" s="825">
        <v>3</v>
      </c>
      <c r="B20" s="74">
        <v>30000</v>
      </c>
      <c r="C20" s="75" t="s">
        <v>93</v>
      </c>
      <c r="D20" s="90"/>
      <c r="E20" s="90"/>
      <c r="F20" s="90"/>
      <c r="G20" s="90"/>
      <c r="H20" s="90"/>
      <c r="I20" s="90"/>
      <c r="J20" s="90"/>
      <c r="K20" s="90"/>
      <c r="L20" s="81"/>
      <c r="M20" s="81"/>
      <c r="N20" s="81"/>
      <c r="O20" s="81"/>
    </row>
    <row r="21" spans="1:15">
      <c r="A21" s="826"/>
      <c r="B21" s="91">
        <v>31000</v>
      </c>
      <c r="C21" s="92" t="s">
        <v>172</v>
      </c>
      <c r="D21" s="80">
        <f>O21</f>
        <v>42108882</v>
      </c>
      <c r="E21" s="80">
        <f>'3.1'!I53</f>
        <v>329800</v>
      </c>
      <c r="F21" s="80">
        <f>'3.1'!J53</f>
        <v>4606000</v>
      </c>
      <c r="G21" s="80">
        <f>'3.1'!K53</f>
        <v>1263000</v>
      </c>
      <c r="H21" s="80">
        <f>'3.1'!L53</f>
        <v>0</v>
      </c>
      <c r="I21" s="80">
        <f>'3.1'!M53</f>
        <v>35088382</v>
      </c>
      <c r="J21" s="80">
        <f>'3.1'!N53</f>
        <v>0</v>
      </c>
      <c r="K21" s="80">
        <f>'3.1'!O53</f>
        <v>0</v>
      </c>
      <c r="L21" s="80">
        <f>'3.1'!P53</f>
        <v>0</v>
      </c>
      <c r="M21" s="80">
        <f>'3.1'!Q53</f>
        <v>821700</v>
      </c>
      <c r="N21" s="80">
        <f>'3.1'!R53</f>
        <v>0</v>
      </c>
      <c r="O21" s="81">
        <f>SUM(E21:N21)</f>
        <v>42108882</v>
      </c>
    </row>
    <row r="22" spans="1:15">
      <c r="A22" s="826"/>
      <c r="B22" s="91">
        <v>32000</v>
      </c>
      <c r="C22" s="92" t="s">
        <v>102</v>
      </c>
      <c r="D22" s="80">
        <f>O22</f>
        <v>28440458</v>
      </c>
      <c r="E22" s="80">
        <f>'3.2'!G46</f>
        <v>1691491.6</v>
      </c>
      <c r="F22" s="80">
        <f>'3.2'!H46</f>
        <v>16257966.4</v>
      </c>
      <c r="G22" s="80">
        <f>'3.2'!I46</f>
        <v>140000</v>
      </c>
      <c r="H22" s="80">
        <f>'3.2'!J46</f>
        <v>0</v>
      </c>
      <c r="I22" s="80">
        <f>'3.2'!K46</f>
        <v>8022000</v>
      </c>
      <c r="J22" s="80">
        <f>'3.2'!L46</f>
        <v>0</v>
      </c>
      <c r="K22" s="80">
        <f>'3.2'!M46</f>
        <v>0</v>
      </c>
      <c r="L22" s="80">
        <f>'3.2'!N46</f>
        <v>0</v>
      </c>
      <c r="M22" s="80">
        <f>'3.2'!O46</f>
        <v>2329000</v>
      </c>
      <c r="N22" s="80">
        <f>'3.2'!P46</f>
        <v>0</v>
      </c>
      <c r="O22" s="81">
        <f>SUM(E22:N22)</f>
        <v>28440458</v>
      </c>
    </row>
    <row r="23" spans="1:15">
      <c r="A23" s="827"/>
      <c r="B23" s="82"/>
      <c r="C23" s="83" t="s">
        <v>3</v>
      </c>
      <c r="D23" s="84">
        <f>O23</f>
        <v>70549340</v>
      </c>
      <c r="E23" s="85">
        <f>SUM(E21:E22)</f>
        <v>2021291.6</v>
      </c>
      <c r="F23" s="85">
        <f t="shared" ref="F23:O23" si="2">SUM(F21:F22)</f>
        <v>20863966.399999999</v>
      </c>
      <c r="G23" s="85">
        <f t="shared" si="2"/>
        <v>1403000</v>
      </c>
      <c r="H23" s="85">
        <f t="shared" si="2"/>
        <v>0</v>
      </c>
      <c r="I23" s="85">
        <f t="shared" si="2"/>
        <v>43110382</v>
      </c>
      <c r="J23" s="85">
        <f t="shared" si="2"/>
        <v>0</v>
      </c>
      <c r="K23" s="85">
        <f t="shared" si="2"/>
        <v>0</v>
      </c>
      <c r="L23" s="85">
        <f t="shared" si="2"/>
        <v>0</v>
      </c>
      <c r="M23" s="85">
        <f t="shared" si="2"/>
        <v>3150700</v>
      </c>
      <c r="N23" s="85">
        <f t="shared" si="2"/>
        <v>0</v>
      </c>
      <c r="O23" s="85">
        <f t="shared" si="2"/>
        <v>70549340</v>
      </c>
    </row>
    <row r="24" spans="1:15">
      <c r="A24" s="68"/>
      <c r="B24" s="86"/>
      <c r="C24" s="87"/>
      <c r="D24" s="88"/>
      <c r="E24" s="88"/>
      <c r="F24" s="88"/>
      <c r="G24" s="88"/>
      <c r="H24" s="88"/>
      <c r="I24" s="88"/>
      <c r="J24" s="88"/>
      <c r="K24" s="88"/>
      <c r="L24" s="81"/>
      <c r="M24" s="81"/>
      <c r="N24" s="81"/>
      <c r="O24" s="81"/>
    </row>
    <row r="25" spans="1:15">
      <c r="A25" s="825">
        <v>4</v>
      </c>
      <c r="B25" s="74">
        <v>40000</v>
      </c>
      <c r="C25" s="75" t="s">
        <v>164</v>
      </c>
      <c r="D25" s="90"/>
      <c r="E25" s="90"/>
      <c r="F25" s="90"/>
      <c r="G25" s="90"/>
      <c r="H25" s="90"/>
      <c r="I25" s="90"/>
      <c r="J25" s="90"/>
      <c r="K25" s="90"/>
      <c r="L25" s="94"/>
      <c r="M25" s="94"/>
      <c r="N25" s="94"/>
      <c r="O25" s="95"/>
    </row>
    <row r="26" spans="1:15" ht="15.75" customHeight="1">
      <c r="A26" s="826"/>
      <c r="B26" s="91">
        <v>41000</v>
      </c>
      <c r="C26" s="79" t="s">
        <v>543</v>
      </c>
      <c r="D26" s="81">
        <f>O26</f>
        <v>74629000</v>
      </c>
      <c r="E26" s="81">
        <f>'4.1 '!H89</f>
        <v>31801500</v>
      </c>
      <c r="F26" s="81">
        <f>'4.1 '!I89</f>
        <v>42827500</v>
      </c>
      <c r="G26" s="81">
        <f>'4.1 '!J89</f>
        <v>0</v>
      </c>
      <c r="H26" s="81">
        <f>'4.1 '!K89</f>
        <v>0</v>
      </c>
      <c r="I26" s="81">
        <f>'4.1 '!L89</f>
        <v>0</v>
      </c>
      <c r="J26" s="81">
        <f>'4.1 '!M89</f>
        <v>0</v>
      </c>
      <c r="K26" s="81">
        <f>'4.1 '!N89</f>
        <v>0</v>
      </c>
      <c r="L26" s="81">
        <f>'4.1 '!O89</f>
        <v>0</v>
      </c>
      <c r="M26" s="81">
        <f>'4.1 '!P89</f>
        <v>0</v>
      </c>
      <c r="N26" s="81">
        <f>'4.1 '!Q89</f>
        <v>0</v>
      </c>
      <c r="O26" s="81">
        <f>SUM(E26:N26)</f>
        <v>74629000</v>
      </c>
    </row>
    <row r="27" spans="1:15" ht="15.75" customHeight="1">
      <c r="A27" s="826"/>
      <c r="B27" s="91">
        <v>42000</v>
      </c>
      <c r="C27" s="79" t="s">
        <v>544</v>
      </c>
      <c r="D27" s="81">
        <f>O27</f>
        <v>73547961</v>
      </c>
      <c r="E27" s="81">
        <f>'4.2'!H56</f>
        <v>34736692.200000003</v>
      </c>
      <c r="F27" s="81">
        <f>'4.2'!I56</f>
        <v>37872268.799999997</v>
      </c>
      <c r="G27" s="81">
        <f>'4.2'!J56</f>
        <v>0</v>
      </c>
      <c r="H27" s="81">
        <f>'4.2'!K56</f>
        <v>0</v>
      </c>
      <c r="I27" s="81">
        <f>'4.2'!L56</f>
        <v>939000</v>
      </c>
      <c r="J27" s="81">
        <f>'4.2'!M56</f>
        <v>0</v>
      </c>
      <c r="K27" s="81">
        <f>'4.2'!N56</f>
        <v>0</v>
      </c>
      <c r="L27" s="81">
        <f>'4.2'!O56</f>
        <v>0</v>
      </c>
      <c r="M27" s="81">
        <f>'4.2'!P56</f>
        <v>0</v>
      </c>
      <c r="N27" s="81">
        <f>'4.2'!Q56</f>
        <v>0</v>
      </c>
      <c r="O27" s="81">
        <f>SUM(E27:N27)</f>
        <v>73547961</v>
      </c>
    </row>
    <row r="28" spans="1:15">
      <c r="A28" s="826"/>
      <c r="B28" s="91">
        <v>43000</v>
      </c>
      <c r="C28" s="79" t="s">
        <v>545</v>
      </c>
      <c r="D28" s="81">
        <f>O28</f>
        <v>2408000</v>
      </c>
      <c r="E28" s="81">
        <f>'4.3 '!I35</f>
        <v>481600</v>
      </c>
      <c r="F28" s="81">
        <f>'4.3 '!J35</f>
        <v>1926400</v>
      </c>
      <c r="G28" s="81">
        <f>'4.3 '!K35</f>
        <v>0</v>
      </c>
      <c r="H28" s="81">
        <f>'4.3 '!L35</f>
        <v>0</v>
      </c>
      <c r="I28" s="81">
        <f>'4.3 '!M35</f>
        <v>0</v>
      </c>
      <c r="J28" s="81">
        <f>'4.3 '!N35</f>
        <v>0</v>
      </c>
      <c r="K28" s="81">
        <f>'4.3 '!O35</f>
        <v>0</v>
      </c>
      <c r="L28" s="81">
        <f>'4.3 '!P35</f>
        <v>0</v>
      </c>
      <c r="M28" s="81">
        <f>'4.3 '!Q35</f>
        <v>0</v>
      </c>
      <c r="N28" s="81">
        <f>'4.3 '!R35</f>
        <v>0</v>
      </c>
      <c r="O28" s="81">
        <f>SUM(E28:N28)</f>
        <v>2408000</v>
      </c>
    </row>
    <row r="29" spans="1:15">
      <c r="A29" s="827"/>
      <c r="B29" s="82"/>
      <c r="C29" s="83" t="s">
        <v>3</v>
      </c>
      <c r="D29" s="81">
        <f>O29</f>
        <v>150584961</v>
      </c>
      <c r="E29" s="94">
        <f>SUM(E26:E28)</f>
        <v>67019792.200000003</v>
      </c>
      <c r="F29" s="94">
        <f t="shared" ref="F29:N29" si="3">SUM(F26:F28)</f>
        <v>82626168.799999997</v>
      </c>
      <c r="G29" s="94">
        <f t="shared" si="3"/>
        <v>0</v>
      </c>
      <c r="H29" s="94">
        <f t="shared" si="3"/>
        <v>0</v>
      </c>
      <c r="I29" s="94">
        <f t="shared" si="3"/>
        <v>939000</v>
      </c>
      <c r="J29" s="94">
        <f t="shared" si="3"/>
        <v>0</v>
      </c>
      <c r="K29" s="94">
        <f t="shared" si="3"/>
        <v>0</v>
      </c>
      <c r="L29" s="94">
        <f t="shared" si="3"/>
        <v>0</v>
      </c>
      <c r="M29" s="94">
        <f t="shared" si="3"/>
        <v>0</v>
      </c>
      <c r="N29" s="94">
        <f t="shared" si="3"/>
        <v>0</v>
      </c>
      <c r="O29" s="81">
        <f>SUM(E29:N29)</f>
        <v>150584961</v>
      </c>
    </row>
    <row r="30" spans="1:15">
      <c r="A30" s="832" t="s">
        <v>4</v>
      </c>
      <c r="B30" s="833"/>
      <c r="C30" s="834"/>
      <c r="D30" s="94">
        <f>O30</f>
        <v>1103647444</v>
      </c>
      <c r="E30" s="94">
        <f>E29+E23+E18+E12</f>
        <v>151872178.90000001</v>
      </c>
      <c r="F30" s="94">
        <f t="shared" ref="F30:O30" si="4">F29+F23+F18+F12</f>
        <v>406932418.39999998</v>
      </c>
      <c r="G30" s="94">
        <f t="shared" si="4"/>
        <v>2871000</v>
      </c>
      <c r="H30" s="94">
        <f t="shared" si="4"/>
        <v>0</v>
      </c>
      <c r="I30" s="94">
        <f t="shared" si="4"/>
        <v>245037982</v>
      </c>
      <c r="J30" s="94">
        <f t="shared" si="4"/>
        <v>216897130</v>
      </c>
      <c r="K30" s="94">
        <f t="shared" si="4"/>
        <v>60500000</v>
      </c>
      <c r="L30" s="94">
        <f t="shared" si="4"/>
        <v>0</v>
      </c>
      <c r="M30" s="94">
        <f t="shared" si="4"/>
        <v>19536734.699999999</v>
      </c>
      <c r="N30" s="94">
        <f t="shared" si="4"/>
        <v>0</v>
      </c>
      <c r="O30" s="94">
        <f t="shared" si="4"/>
        <v>1103647444</v>
      </c>
    </row>
    <row r="31" spans="1:15">
      <c r="A31" s="68"/>
      <c r="B31" s="68"/>
      <c r="C31" s="68"/>
      <c r="D31" s="69"/>
      <c r="E31" s="69"/>
      <c r="F31" s="69"/>
      <c r="G31" s="69"/>
      <c r="H31" s="69"/>
      <c r="I31" s="69"/>
      <c r="J31" s="69"/>
      <c r="K31" s="69"/>
      <c r="L31" s="68"/>
      <c r="M31" s="68"/>
      <c r="N31" s="68"/>
      <c r="O31" s="68"/>
    </row>
    <row r="32" spans="1:15" ht="30" customHeight="1">
      <c r="A32" s="1" t="s">
        <v>203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7"/>
      <c r="M32" s="98"/>
      <c r="N32" s="97"/>
      <c r="O32" s="97"/>
    </row>
    <row r="33" spans="1:15" ht="19.5" thickBot="1">
      <c r="A33" s="99"/>
      <c r="B33" s="824"/>
      <c r="C33" s="824"/>
      <c r="D33" s="824"/>
      <c r="E33" s="130" t="s">
        <v>702</v>
      </c>
      <c r="F33" s="100"/>
      <c r="G33" s="100"/>
      <c r="H33" s="100"/>
      <c r="I33" s="100"/>
      <c r="J33" s="100"/>
      <c r="K33" s="100"/>
      <c r="L33" s="99"/>
      <c r="M33" s="99"/>
      <c r="N33" s="99"/>
      <c r="O33" s="99"/>
    </row>
    <row r="34" spans="1:15">
      <c r="A34" s="99"/>
      <c r="B34" s="99"/>
      <c r="C34" s="99"/>
      <c r="D34" s="102" t="s">
        <v>641</v>
      </c>
      <c r="E34" s="102"/>
      <c r="F34" s="116">
        <f>E30+F30</f>
        <v>558804597.29999995</v>
      </c>
      <c r="G34" s="117"/>
      <c r="H34" s="118"/>
      <c r="I34" s="122"/>
      <c r="J34" s="99"/>
      <c r="K34" s="99"/>
      <c r="L34" s="99"/>
      <c r="M34" s="99"/>
      <c r="N34" s="101"/>
      <c r="O34" s="99"/>
    </row>
    <row r="35" spans="1:15">
      <c r="G35" s="119"/>
      <c r="H35" s="120"/>
      <c r="I35" s="121"/>
    </row>
    <row r="36" spans="1:15">
      <c r="K36"/>
    </row>
    <row r="37" spans="1:15">
      <c r="D37" s="67" t="s">
        <v>647</v>
      </c>
      <c r="F37" s="93">
        <f>G30+H30+I30+J30+N30+K30</f>
        <v>525306112</v>
      </c>
    </row>
    <row r="38" spans="1:15">
      <c r="D38" s="67" t="s">
        <v>646</v>
      </c>
      <c r="F38" s="93">
        <f>M30</f>
        <v>19536734.699999999</v>
      </c>
    </row>
    <row r="39" spans="1:15">
      <c r="F39" s="93">
        <f>F38+F37+F34</f>
        <v>1103647444</v>
      </c>
    </row>
    <row r="40" spans="1:15" ht="26.25">
      <c r="C40" s="457" t="s">
        <v>960</v>
      </c>
      <c r="D40" s="458"/>
      <c r="E40" s="458"/>
      <c r="F40" s="459"/>
      <c r="G40" s="458"/>
      <c r="H40" s="458"/>
    </row>
    <row r="41" spans="1:15" ht="26.25">
      <c r="C41" s="458"/>
      <c r="D41" s="458"/>
      <c r="E41" s="458"/>
      <c r="F41" s="459"/>
      <c r="G41" s="458"/>
      <c r="H41" s="458"/>
    </row>
    <row r="42" spans="1:15" ht="26.25">
      <c r="C42" s="460" t="s">
        <v>959</v>
      </c>
      <c r="D42" s="460" t="s">
        <v>7</v>
      </c>
      <c r="E42" s="460" t="s">
        <v>8</v>
      </c>
      <c r="F42" s="460" t="s">
        <v>9</v>
      </c>
      <c r="G42" s="460" t="s">
        <v>10</v>
      </c>
      <c r="H42" s="460" t="s">
        <v>17</v>
      </c>
    </row>
    <row r="43" spans="1:15" ht="26.25">
      <c r="C43" s="458" t="s">
        <v>233</v>
      </c>
      <c r="D43" s="461">
        <f>F30*0.3</f>
        <v>122079725.51999998</v>
      </c>
      <c r="E43" s="461">
        <f>F30*0.25</f>
        <v>101733104.59999999</v>
      </c>
      <c r="F43" s="461">
        <f>F30*0.25</f>
        <v>101733104.59999999</v>
      </c>
      <c r="G43" s="461">
        <f>F30*0.2</f>
        <v>81386483.680000007</v>
      </c>
      <c r="H43" s="461">
        <f>SUM(D43:G43)</f>
        <v>406932418.39999998</v>
      </c>
    </row>
    <row r="44" spans="1:15" ht="26.25">
      <c r="C44" s="458"/>
      <c r="D44" s="461">
        <f>D43/H43*100</f>
        <v>30</v>
      </c>
      <c r="E44" s="461">
        <f>E43/H43*100</f>
        <v>25</v>
      </c>
      <c r="F44" s="461">
        <f>F43/H43*100</f>
        <v>25</v>
      </c>
      <c r="G44" s="461">
        <f>G43/H43*100</f>
        <v>20.000000000000004</v>
      </c>
      <c r="H44" s="461"/>
    </row>
    <row r="45" spans="1:15" ht="26.25">
      <c r="C45" s="458" t="s">
        <v>314</v>
      </c>
      <c r="D45" s="462">
        <f>E30*0.3</f>
        <v>45561653.670000002</v>
      </c>
      <c r="E45" s="462">
        <f>E30*0.25</f>
        <v>37968044.725000001</v>
      </c>
      <c r="F45" s="462">
        <f>E30*0.25</f>
        <v>37968044.725000001</v>
      </c>
      <c r="G45" s="462">
        <f>E30*0.2</f>
        <v>30374435.780000001</v>
      </c>
      <c r="H45" s="462">
        <f>SUM(D45:G45)</f>
        <v>151872178.90000001</v>
      </c>
    </row>
    <row r="46" spans="1:15" ht="26.25">
      <c r="C46" s="458" t="s">
        <v>645</v>
      </c>
      <c r="D46" s="462">
        <f>F37*0.33</f>
        <v>173351016.96000001</v>
      </c>
      <c r="E46" s="462">
        <f>F37*0.25</f>
        <v>131326528</v>
      </c>
      <c r="F46" s="462">
        <f>F37*0.22</f>
        <v>115567344.64</v>
      </c>
      <c r="G46" s="462">
        <f>F37*0.2</f>
        <v>105061222.40000001</v>
      </c>
      <c r="H46" s="462">
        <f>SUM(D46:G46)</f>
        <v>525306112</v>
      </c>
    </row>
    <row r="47" spans="1:15" ht="26.25">
      <c r="C47" s="460" t="s">
        <v>958</v>
      </c>
      <c r="D47" s="461">
        <f>D46+D45</f>
        <v>218912670.63</v>
      </c>
      <c r="E47" s="461">
        <f>E46+E45</f>
        <v>169294572.72499999</v>
      </c>
      <c r="F47" s="461">
        <f>F46+F45</f>
        <v>153535389.36500001</v>
      </c>
      <c r="G47" s="461">
        <f>G46+G45</f>
        <v>135435658.18000001</v>
      </c>
      <c r="H47" s="461">
        <f>H46+H45</f>
        <v>677178290.89999998</v>
      </c>
    </row>
    <row r="48" spans="1:15" ht="26.25">
      <c r="C48" s="460"/>
      <c r="D48" s="461">
        <f>D47/H47*100</f>
        <v>32.327183781845008</v>
      </c>
      <c r="E48" s="461">
        <f>E47/H47*100</f>
        <v>25</v>
      </c>
      <c r="F48" s="461">
        <f>F47/H47*100</f>
        <v>22.672816218154995</v>
      </c>
      <c r="G48" s="461">
        <f>G47/H47*100</f>
        <v>20</v>
      </c>
      <c r="H48" s="461"/>
    </row>
    <row r="49" spans="3:8" ht="26.25">
      <c r="C49" s="460" t="s">
        <v>646</v>
      </c>
      <c r="D49" s="461">
        <f>F38*0.25</f>
        <v>4884183.6749999998</v>
      </c>
      <c r="E49" s="461">
        <f>F38*0.25</f>
        <v>4884183.6749999998</v>
      </c>
      <c r="F49" s="461">
        <f>F38*0.3</f>
        <v>5861020.4099999992</v>
      </c>
      <c r="G49" s="461">
        <f>F38*0.2</f>
        <v>3907346.94</v>
      </c>
      <c r="H49" s="460">
        <f>SUM(D49:G49)</f>
        <v>19536734.699999999</v>
      </c>
    </row>
    <row r="50" spans="3:8" ht="26.25">
      <c r="C50" s="460"/>
      <c r="D50" s="461">
        <f>D49/H49*100</f>
        <v>25</v>
      </c>
      <c r="E50" s="461">
        <f>E49/H49*100</f>
        <v>25</v>
      </c>
      <c r="F50" s="461">
        <f>F49/H49*100</f>
        <v>30</v>
      </c>
      <c r="G50" s="461">
        <f>G49/H49*100</f>
        <v>20</v>
      </c>
      <c r="H50" s="460"/>
    </row>
    <row r="51" spans="3:8" ht="26.25">
      <c r="C51" s="460" t="s">
        <v>17</v>
      </c>
      <c r="D51" s="461">
        <f>D49+D47+D43</f>
        <v>345876579.82499999</v>
      </c>
      <c r="E51" s="461">
        <f>E49+E47+E43</f>
        <v>275911861</v>
      </c>
      <c r="F51" s="461">
        <f>F49+F47+F43</f>
        <v>261129514.375</v>
      </c>
      <c r="G51" s="461">
        <f>G49+G47+G43</f>
        <v>220729488.80000001</v>
      </c>
      <c r="H51" s="461">
        <f>H49+H47+H43</f>
        <v>1103647444</v>
      </c>
    </row>
  </sheetData>
  <mergeCells count="15">
    <mergeCell ref="B33:D33"/>
    <mergeCell ref="A14:A18"/>
    <mergeCell ref="A20:A23"/>
    <mergeCell ref="A25:A29"/>
    <mergeCell ref="A1:O1"/>
    <mergeCell ref="A2:O2"/>
    <mergeCell ref="A3:O3"/>
    <mergeCell ref="A4:O4"/>
    <mergeCell ref="A8:C8"/>
    <mergeCell ref="A9:A12"/>
    <mergeCell ref="A30:C30"/>
    <mergeCell ref="A6:A7"/>
    <mergeCell ref="C6:C7"/>
    <mergeCell ref="B6:B7"/>
    <mergeCell ref="D6:D7"/>
  </mergeCells>
  <pageMargins left="0.26" right="0.3" top="0.53" bottom="0.18" header="0.17" footer="0.16"/>
  <pageSetup scale="4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FD56"/>
  <sheetViews>
    <sheetView topLeftCell="B1" zoomScale="80" zoomScaleNormal="80" workbookViewId="0">
      <pane xSplit="7" ySplit="8" topLeftCell="I39" activePane="bottomRight" state="frozen"/>
      <selection activeCell="B1" sqref="B1"/>
      <selection pane="topRight" activeCell="H1" sqref="H1"/>
      <selection pane="bottomLeft" activeCell="B9" sqref="B9"/>
      <selection pane="bottomRight" activeCell="F56" sqref="F56"/>
    </sheetView>
  </sheetViews>
  <sheetFormatPr defaultColWidth="14.42578125" defaultRowHeight="15.75"/>
  <cols>
    <col min="1" max="1" width="14.42578125" style="325" customWidth="1"/>
    <col min="2" max="2" width="6.42578125" style="325" customWidth="1"/>
    <col min="3" max="3" width="14.42578125" style="325" customWidth="1"/>
    <col min="4" max="4" width="43.28515625" style="325" bestFit="1" customWidth="1"/>
    <col min="5" max="5" width="14.42578125" style="325" customWidth="1"/>
    <col min="6" max="7" width="14.42578125" style="243" customWidth="1"/>
    <col min="8" max="8" width="16" style="244" customWidth="1"/>
    <col min="9" max="9" width="14.42578125" style="244" customWidth="1"/>
    <col min="10" max="10" width="13.85546875" style="244" bestFit="1" customWidth="1"/>
    <col min="11" max="12" width="15" style="244" customWidth="1"/>
    <col min="13" max="13" width="17.42578125" style="766" customWidth="1"/>
    <col min="14" max="14" width="12.7109375" style="244" bestFit="1" customWidth="1"/>
    <col min="15" max="15" width="11.7109375" style="244" bestFit="1" customWidth="1"/>
    <col min="16" max="16" width="7.28515625" style="243" bestFit="1" customWidth="1"/>
    <col min="17" max="17" width="12.7109375" style="243" bestFit="1" customWidth="1"/>
    <col min="18" max="18" width="8.42578125" style="243" bestFit="1" customWidth="1"/>
    <col min="19" max="22" width="14.42578125" style="354" customWidth="1"/>
    <col min="23" max="26" width="14.42578125" style="355" customWidth="1"/>
    <col min="27" max="27" width="14.42578125" style="243" customWidth="1"/>
    <col min="28" max="58" width="14.42578125" style="325" customWidth="1"/>
    <col min="59" max="63" width="14.42578125" style="178" customWidth="1"/>
    <col min="64" max="64" width="16.5703125" style="178" customWidth="1"/>
    <col min="65" max="65" width="25.28515625" style="301" bestFit="1" customWidth="1"/>
    <col min="66" max="66" width="14.42578125" style="178" customWidth="1"/>
    <col min="67" max="67" width="17" style="178" bestFit="1" customWidth="1"/>
    <col min="68" max="70" width="14.42578125" style="178" customWidth="1"/>
    <col min="71" max="71" width="17.42578125" style="178" bestFit="1" customWidth="1"/>
    <col min="72" max="160" width="14.42578125" style="178" customWidth="1"/>
    <col min="161" max="16384" width="14.42578125" style="325"/>
  </cols>
  <sheetData>
    <row r="1" spans="1:160" s="178" customFormat="1">
      <c r="A1" s="932" t="s">
        <v>163</v>
      </c>
      <c r="B1" s="932"/>
      <c r="C1" s="932"/>
      <c r="D1" s="933" t="s">
        <v>157</v>
      </c>
      <c r="E1" s="933"/>
      <c r="F1" s="933"/>
      <c r="G1" s="933"/>
      <c r="H1" s="933"/>
      <c r="I1" s="933"/>
      <c r="J1" s="933"/>
      <c r="K1" s="933"/>
      <c r="L1" s="933"/>
      <c r="M1" s="933"/>
      <c r="N1" s="933"/>
      <c r="O1" s="933"/>
      <c r="P1" s="933"/>
      <c r="Q1" s="933"/>
      <c r="R1" s="933"/>
      <c r="S1" s="322" t="s">
        <v>597</v>
      </c>
      <c r="T1" s="322"/>
      <c r="U1" s="322"/>
      <c r="V1" s="322"/>
      <c r="W1" s="323"/>
      <c r="X1" s="323"/>
      <c r="Y1" s="323"/>
      <c r="Z1" s="323"/>
      <c r="AA1" s="243"/>
      <c r="BM1" s="301"/>
    </row>
    <row r="2" spans="1:160" s="178" customFormat="1">
      <c r="A2" s="932" t="s">
        <v>159</v>
      </c>
      <c r="B2" s="932"/>
      <c r="C2" s="932"/>
      <c r="D2" s="933" t="s">
        <v>158</v>
      </c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322"/>
      <c r="T2" s="322"/>
      <c r="U2" s="322"/>
      <c r="V2" s="322"/>
      <c r="W2" s="323"/>
      <c r="X2" s="323"/>
      <c r="Y2" s="323"/>
      <c r="Z2" s="323"/>
      <c r="AA2" s="140" t="s">
        <v>299</v>
      </c>
      <c r="AB2" s="140">
        <v>8.34</v>
      </c>
      <c r="AC2" s="140"/>
      <c r="AD2" s="140">
        <v>2.85</v>
      </c>
      <c r="AE2" s="140"/>
      <c r="AF2" s="140">
        <v>8.3800000000000008</v>
      </c>
      <c r="AG2" s="140"/>
      <c r="AH2" s="140">
        <v>7.49</v>
      </c>
      <c r="AI2" s="140"/>
      <c r="AJ2" s="140">
        <v>3.33</v>
      </c>
      <c r="AK2" s="140"/>
      <c r="AL2" s="140">
        <v>6.64</v>
      </c>
      <c r="AM2" s="140"/>
      <c r="AN2" s="140">
        <v>3.67</v>
      </c>
      <c r="AO2" s="140"/>
      <c r="AP2" s="140">
        <v>5.0599999999999996</v>
      </c>
      <c r="AQ2" s="140"/>
      <c r="AR2" s="140">
        <v>5.94</v>
      </c>
      <c r="AS2" s="140"/>
      <c r="AT2" s="140">
        <v>6.85</v>
      </c>
      <c r="AU2" s="140"/>
      <c r="AV2" s="140">
        <v>7.45</v>
      </c>
      <c r="AW2" s="140"/>
      <c r="AX2" s="140">
        <v>5.13</v>
      </c>
      <c r="AY2" s="140"/>
      <c r="AZ2" s="140">
        <v>4.8600000000000003</v>
      </c>
      <c r="BA2" s="140"/>
      <c r="BB2" s="140">
        <v>5.79</v>
      </c>
      <c r="BC2" s="140"/>
      <c r="BD2" s="140">
        <v>5.3</v>
      </c>
      <c r="BE2" s="140"/>
      <c r="BF2" s="140">
        <v>3.47</v>
      </c>
      <c r="BG2" s="140"/>
      <c r="BH2" s="140">
        <v>9.42</v>
      </c>
      <c r="BI2" s="140"/>
      <c r="BJ2" s="140"/>
      <c r="BK2" s="140"/>
      <c r="BL2" s="140"/>
      <c r="BM2" s="301"/>
    </row>
    <row r="3" spans="1:160" s="178" customFormat="1">
      <c r="A3" s="932" t="s">
        <v>160</v>
      </c>
      <c r="B3" s="932"/>
      <c r="C3" s="932"/>
      <c r="D3" s="933" t="s">
        <v>950</v>
      </c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322"/>
      <c r="T3" s="322"/>
      <c r="U3" s="322"/>
      <c r="V3" s="322"/>
      <c r="W3" s="323"/>
      <c r="X3" s="323"/>
      <c r="Y3" s="323"/>
      <c r="Z3" s="323"/>
      <c r="AA3" s="140" t="s">
        <v>297</v>
      </c>
      <c r="AB3" s="140">
        <v>48</v>
      </c>
      <c r="AC3" s="140"/>
      <c r="AD3" s="140">
        <v>23</v>
      </c>
      <c r="AE3" s="140"/>
      <c r="AF3" s="140">
        <v>80</v>
      </c>
      <c r="AG3" s="140"/>
      <c r="AH3" s="140">
        <v>105</v>
      </c>
      <c r="AI3" s="140"/>
      <c r="AJ3" s="140">
        <v>43</v>
      </c>
      <c r="AK3" s="140"/>
      <c r="AL3" s="140">
        <v>75</v>
      </c>
      <c r="AM3" s="140"/>
      <c r="AN3" s="140">
        <v>41</v>
      </c>
      <c r="AO3" s="140"/>
      <c r="AP3" s="140">
        <v>101</v>
      </c>
      <c r="AQ3" s="140"/>
      <c r="AR3" s="140">
        <v>8</v>
      </c>
      <c r="AS3" s="140"/>
      <c r="AT3" s="140">
        <v>33</v>
      </c>
      <c r="AU3" s="140"/>
      <c r="AV3" s="140">
        <v>53</v>
      </c>
      <c r="AW3" s="140"/>
      <c r="AX3" s="140">
        <v>52</v>
      </c>
      <c r="AY3" s="140"/>
      <c r="AZ3" s="140">
        <v>76</v>
      </c>
      <c r="BA3" s="140"/>
      <c r="BB3" s="140">
        <v>82</v>
      </c>
      <c r="BC3" s="140"/>
      <c r="BD3" s="140">
        <v>104</v>
      </c>
      <c r="BE3" s="140"/>
      <c r="BF3" s="140">
        <v>147</v>
      </c>
      <c r="BG3" s="140"/>
      <c r="BH3" s="140">
        <v>54</v>
      </c>
      <c r="BI3" s="140"/>
      <c r="BJ3" s="140"/>
      <c r="BK3" s="140"/>
      <c r="BL3" s="140"/>
      <c r="BM3" s="301"/>
    </row>
    <row r="4" spans="1:160" s="178" customFormat="1" ht="5.85" customHeight="1">
      <c r="A4" s="932" t="s">
        <v>170</v>
      </c>
      <c r="B4" s="932"/>
      <c r="C4" s="932"/>
      <c r="D4" s="933" t="s">
        <v>93</v>
      </c>
      <c r="E4" s="933"/>
      <c r="F4" s="933"/>
      <c r="G4" s="933"/>
      <c r="H4" s="933"/>
      <c r="I4" s="933"/>
      <c r="J4" s="933"/>
      <c r="K4" s="933"/>
      <c r="L4" s="933"/>
      <c r="M4" s="933"/>
      <c r="N4" s="933"/>
      <c r="O4" s="933"/>
      <c r="P4" s="933"/>
      <c r="Q4" s="933"/>
      <c r="R4" s="933"/>
      <c r="S4" s="322"/>
      <c r="T4" s="322"/>
      <c r="U4" s="322"/>
      <c r="V4" s="322"/>
      <c r="W4" s="323"/>
      <c r="X4" s="323"/>
      <c r="Y4" s="323"/>
      <c r="Z4" s="323"/>
      <c r="AA4" s="140" t="s">
        <v>298</v>
      </c>
      <c r="AB4" s="141">
        <f>AB3/1125*100</f>
        <v>4.2666666666666666</v>
      </c>
      <c r="AC4" s="141">
        <f t="shared" ref="AC4:BH4" si="0">AC3/1125*100</f>
        <v>0</v>
      </c>
      <c r="AD4" s="141">
        <f t="shared" si="0"/>
        <v>2.0444444444444447</v>
      </c>
      <c r="AE4" s="141">
        <f t="shared" si="0"/>
        <v>0</v>
      </c>
      <c r="AF4" s="141">
        <f t="shared" si="0"/>
        <v>7.1111111111111107</v>
      </c>
      <c r="AG4" s="141">
        <f t="shared" si="0"/>
        <v>0</v>
      </c>
      <c r="AH4" s="141">
        <f t="shared" si="0"/>
        <v>9.3333333333333339</v>
      </c>
      <c r="AI4" s="141">
        <f t="shared" si="0"/>
        <v>0</v>
      </c>
      <c r="AJ4" s="141">
        <f t="shared" si="0"/>
        <v>3.822222222222222</v>
      </c>
      <c r="AK4" s="141">
        <f t="shared" si="0"/>
        <v>0</v>
      </c>
      <c r="AL4" s="141">
        <f t="shared" si="0"/>
        <v>6.666666666666667</v>
      </c>
      <c r="AM4" s="141">
        <f t="shared" si="0"/>
        <v>0</v>
      </c>
      <c r="AN4" s="141">
        <f t="shared" si="0"/>
        <v>3.6444444444444448</v>
      </c>
      <c r="AO4" s="141">
        <f t="shared" si="0"/>
        <v>0</v>
      </c>
      <c r="AP4" s="141">
        <f t="shared" si="0"/>
        <v>8.9777777777777779</v>
      </c>
      <c r="AQ4" s="141">
        <f t="shared" si="0"/>
        <v>0</v>
      </c>
      <c r="AR4" s="141">
        <f t="shared" si="0"/>
        <v>0.71111111111111114</v>
      </c>
      <c r="AS4" s="141">
        <f t="shared" si="0"/>
        <v>0</v>
      </c>
      <c r="AT4" s="141">
        <f t="shared" si="0"/>
        <v>2.9333333333333331</v>
      </c>
      <c r="AU4" s="141">
        <f t="shared" si="0"/>
        <v>0</v>
      </c>
      <c r="AV4" s="141">
        <f t="shared" si="0"/>
        <v>4.7111111111111112</v>
      </c>
      <c r="AW4" s="141">
        <f t="shared" si="0"/>
        <v>0</v>
      </c>
      <c r="AX4" s="141">
        <f t="shared" si="0"/>
        <v>4.6222222222222218</v>
      </c>
      <c r="AY4" s="141">
        <f t="shared" si="0"/>
        <v>0</v>
      </c>
      <c r="AZ4" s="141">
        <f t="shared" si="0"/>
        <v>6.7555555555555546</v>
      </c>
      <c r="BA4" s="141">
        <f t="shared" si="0"/>
        <v>0</v>
      </c>
      <c r="BB4" s="141">
        <f t="shared" si="0"/>
        <v>7.2888888888888896</v>
      </c>
      <c r="BC4" s="141">
        <f t="shared" si="0"/>
        <v>0</v>
      </c>
      <c r="BD4" s="141">
        <f t="shared" si="0"/>
        <v>9.2444444444444436</v>
      </c>
      <c r="BE4" s="141">
        <f t="shared" si="0"/>
        <v>0</v>
      </c>
      <c r="BF4" s="141">
        <f t="shared" si="0"/>
        <v>13.066666666666665</v>
      </c>
      <c r="BG4" s="141">
        <f t="shared" si="0"/>
        <v>0</v>
      </c>
      <c r="BH4" s="141">
        <f t="shared" si="0"/>
        <v>4.8</v>
      </c>
      <c r="BI4" s="140"/>
      <c r="BJ4" s="140"/>
      <c r="BK4" s="140"/>
      <c r="BL4" s="140"/>
      <c r="BM4" s="301"/>
    </row>
    <row r="5" spans="1:160" s="178" customFormat="1" hidden="1">
      <c r="A5" s="932" t="s">
        <v>171</v>
      </c>
      <c r="B5" s="932"/>
      <c r="C5" s="932"/>
      <c r="D5" s="933" t="s">
        <v>172</v>
      </c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  <c r="R5" s="933"/>
      <c r="S5" s="322"/>
      <c r="T5" s="322"/>
      <c r="U5" s="322"/>
      <c r="V5" s="322"/>
      <c r="W5" s="323"/>
      <c r="X5" s="323"/>
      <c r="Y5" s="323"/>
      <c r="Z5" s="323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301"/>
    </row>
    <row r="6" spans="1:160" ht="16.5" hidden="1" customHeight="1">
      <c r="A6" s="975"/>
      <c r="B6" s="976"/>
      <c r="C6" s="976"/>
      <c r="D6" s="976"/>
      <c r="E6" s="977"/>
      <c r="F6" s="324"/>
      <c r="G6" s="978" t="s">
        <v>21</v>
      </c>
      <c r="H6" s="979"/>
      <c r="I6" s="908" t="s">
        <v>156</v>
      </c>
      <c r="J6" s="909"/>
      <c r="K6" s="909"/>
      <c r="L6" s="909"/>
      <c r="M6" s="909"/>
      <c r="N6" s="909"/>
      <c r="O6" s="909"/>
      <c r="P6" s="909"/>
      <c r="Q6" s="909"/>
      <c r="R6" s="910"/>
      <c r="S6" s="960" t="s">
        <v>60</v>
      </c>
      <c r="T6" s="961"/>
      <c r="U6" s="961"/>
      <c r="V6" s="962"/>
      <c r="W6" s="966" t="s">
        <v>6</v>
      </c>
      <c r="X6" s="967"/>
      <c r="Y6" s="967"/>
      <c r="Z6" s="968"/>
      <c r="AA6" s="918" t="s">
        <v>184</v>
      </c>
      <c r="AB6" s="918"/>
      <c r="AC6" s="918" t="s">
        <v>185</v>
      </c>
      <c r="AD6" s="918"/>
      <c r="AE6" s="918" t="s">
        <v>186</v>
      </c>
      <c r="AF6" s="918"/>
      <c r="AG6" s="918" t="s">
        <v>187</v>
      </c>
      <c r="AH6" s="918"/>
      <c r="AI6" s="918" t="s">
        <v>188</v>
      </c>
      <c r="AJ6" s="918"/>
      <c r="AK6" s="918" t="s">
        <v>189</v>
      </c>
      <c r="AL6" s="918"/>
      <c r="AM6" s="918" t="s">
        <v>190</v>
      </c>
      <c r="AN6" s="918"/>
      <c r="AO6" s="918" t="s">
        <v>191</v>
      </c>
      <c r="AP6" s="918"/>
      <c r="AQ6" s="918" t="s">
        <v>192</v>
      </c>
      <c r="AR6" s="918"/>
      <c r="AS6" s="918" t="s">
        <v>193</v>
      </c>
      <c r="AT6" s="918"/>
      <c r="AU6" s="918" t="s">
        <v>194</v>
      </c>
      <c r="AV6" s="918"/>
      <c r="AW6" s="918" t="s">
        <v>195</v>
      </c>
      <c r="AX6" s="918"/>
      <c r="AY6" s="918" t="s">
        <v>196</v>
      </c>
      <c r="AZ6" s="918"/>
      <c r="BA6" s="918" t="s">
        <v>197</v>
      </c>
      <c r="BB6" s="918"/>
      <c r="BC6" s="918" t="s">
        <v>198</v>
      </c>
      <c r="BD6" s="918"/>
      <c r="BE6" s="918" t="s">
        <v>199</v>
      </c>
      <c r="BF6" s="918"/>
      <c r="BG6" s="918" t="s">
        <v>200</v>
      </c>
      <c r="BH6" s="918"/>
      <c r="BI6" s="918" t="s">
        <v>201</v>
      </c>
      <c r="BJ6" s="918"/>
      <c r="BK6" s="918" t="s">
        <v>17</v>
      </c>
      <c r="BL6" s="918"/>
      <c r="BM6" s="886" t="s">
        <v>236</v>
      </c>
    </row>
    <row r="7" spans="1:160" ht="15" customHeight="1">
      <c r="A7" s="326" t="s">
        <v>13</v>
      </c>
      <c r="B7" s="326"/>
      <c r="C7" s="955" t="s">
        <v>56</v>
      </c>
      <c r="D7" s="955" t="s">
        <v>12</v>
      </c>
      <c r="E7" s="955" t="s">
        <v>14</v>
      </c>
      <c r="F7" s="938" t="s">
        <v>33</v>
      </c>
      <c r="G7" s="938" t="s">
        <v>42</v>
      </c>
      <c r="H7" s="973" t="s">
        <v>15</v>
      </c>
      <c r="I7" s="23" t="s">
        <v>204</v>
      </c>
      <c r="J7" s="23" t="s">
        <v>205</v>
      </c>
      <c r="K7" s="23" t="s">
        <v>206</v>
      </c>
      <c r="L7" s="23" t="s">
        <v>207</v>
      </c>
      <c r="M7" s="757" t="s">
        <v>208</v>
      </c>
      <c r="N7" s="23" t="s">
        <v>209</v>
      </c>
      <c r="O7" s="23" t="s">
        <v>585</v>
      </c>
      <c r="P7" s="23" t="s">
        <v>211</v>
      </c>
      <c r="Q7" s="23" t="s">
        <v>212</v>
      </c>
      <c r="R7" s="23" t="s">
        <v>213</v>
      </c>
      <c r="S7" s="963"/>
      <c r="T7" s="964"/>
      <c r="U7" s="964"/>
      <c r="V7" s="965"/>
      <c r="W7" s="969"/>
      <c r="X7" s="970"/>
      <c r="Y7" s="970"/>
      <c r="Z7" s="971"/>
      <c r="AA7" s="918"/>
      <c r="AB7" s="918"/>
      <c r="AC7" s="918" t="s">
        <v>43</v>
      </c>
      <c r="AD7" s="918"/>
      <c r="AE7" s="918" t="s">
        <v>44</v>
      </c>
      <c r="AF7" s="918"/>
      <c r="AG7" s="918" t="s">
        <v>45</v>
      </c>
      <c r="AH7" s="918"/>
      <c r="AI7" s="918" t="s">
        <v>46</v>
      </c>
      <c r="AJ7" s="918"/>
      <c r="AK7" s="918" t="s">
        <v>47</v>
      </c>
      <c r="AL7" s="918"/>
      <c r="AM7" s="918" t="s">
        <v>48</v>
      </c>
      <c r="AN7" s="918"/>
      <c r="AO7" s="918" t="s">
        <v>49</v>
      </c>
      <c r="AP7" s="918"/>
      <c r="AQ7" s="918" t="s">
        <v>50</v>
      </c>
      <c r="AR7" s="918"/>
      <c r="AS7" s="918" t="s">
        <v>51</v>
      </c>
      <c r="AT7" s="918"/>
      <c r="AU7" s="918" t="s">
        <v>52</v>
      </c>
      <c r="AV7" s="918"/>
      <c r="AW7" s="918" t="s">
        <v>53</v>
      </c>
      <c r="AX7" s="918"/>
      <c r="AY7" s="918" t="s">
        <v>54</v>
      </c>
      <c r="AZ7" s="918"/>
      <c r="BA7" s="918" t="s">
        <v>55</v>
      </c>
      <c r="BB7" s="918"/>
      <c r="BC7" s="918" t="s">
        <v>40</v>
      </c>
      <c r="BD7" s="918"/>
      <c r="BE7" s="918" t="s">
        <v>37</v>
      </c>
      <c r="BF7" s="918"/>
      <c r="BG7" s="918"/>
      <c r="BH7" s="918"/>
      <c r="BI7" s="918"/>
      <c r="BJ7" s="918"/>
      <c r="BK7" s="918"/>
      <c r="BL7" s="918"/>
      <c r="BM7" s="886"/>
      <c r="BO7" s="892" t="s">
        <v>234</v>
      </c>
      <c r="BP7" s="892"/>
      <c r="BQ7" s="892"/>
      <c r="BR7" s="892"/>
      <c r="BS7" s="892"/>
      <c r="BT7" s="892" t="s">
        <v>235</v>
      </c>
      <c r="BU7" s="892"/>
      <c r="BV7" s="892"/>
      <c r="BW7" s="886" t="s">
        <v>17</v>
      </c>
    </row>
    <row r="8" spans="1:160" ht="40.5" customHeight="1">
      <c r="A8" s="327"/>
      <c r="B8" s="327"/>
      <c r="C8" s="959"/>
      <c r="D8" s="956"/>
      <c r="E8" s="956"/>
      <c r="F8" s="972"/>
      <c r="G8" s="972"/>
      <c r="H8" s="974"/>
      <c r="I8" s="328"/>
      <c r="J8" s="328"/>
      <c r="K8" s="328"/>
      <c r="L8" s="328"/>
      <c r="M8" s="758"/>
      <c r="N8" s="328"/>
      <c r="O8" s="328"/>
      <c r="P8" s="328"/>
      <c r="Q8" s="328"/>
      <c r="R8" s="328"/>
      <c r="S8" s="329" t="s">
        <v>7</v>
      </c>
      <c r="T8" s="329" t="s">
        <v>8</v>
      </c>
      <c r="U8" s="329" t="s">
        <v>9</v>
      </c>
      <c r="V8" s="329" t="s">
        <v>10</v>
      </c>
      <c r="W8" s="330" t="s">
        <v>7</v>
      </c>
      <c r="X8" s="330" t="s">
        <v>8</v>
      </c>
      <c r="Y8" s="330" t="s">
        <v>9</v>
      </c>
      <c r="Z8" s="330" t="s">
        <v>10</v>
      </c>
      <c r="AA8" s="331" t="s">
        <v>14</v>
      </c>
      <c r="AB8" s="332" t="s">
        <v>15</v>
      </c>
      <c r="AC8" s="332" t="s">
        <v>14</v>
      </c>
      <c r="AD8" s="332" t="s">
        <v>15</v>
      </c>
      <c r="AE8" s="332" t="s">
        <v>14</v>
      </c>
      <c r="AF8" s="332" t="s">
        <v>15</v>
      </c>
      <c r="AG8" s="332" t="s">
        <v>14</v>
      </c>
      <c r="AH8" s="332" t="s">
        <v>15</v>
      </c>
      <c r="AI8" s="332" t="s">
        <v>14</v>
      </c>
      <c r="AJ8" s="332" t="s">
        <v>15</v>
      </c>
      <c r="AK8" s="332" t="s">
        <v>14</v>
      </c>
      <c r="AL8" s="332" t="s">
        <v>15</v>
      </c>
      <c r="AM8" s="332" t="s">
        <v>14</v>
      </c>
      <c r="AN8" s="332" t="s">
        <v>15</v>
      </c>
      <c r="AO8" s="332" t="s">
        <v>14</v>
      </c>
      <c r="AP8" s="332" t="s">
        <v>15</v>
      </c>
      <c r="AQ8" s="332" t="s">
        <v>14</v>
      </c>
      <c r="AR8" s="332" t="s">
        <v>15</v>
      </c>
      <c r="AS8" s="332" t="s">
        <v>14</v>
      </c>
      <c r="AT8" s="332" t="s">
        <v>15</v>
      </c>
      <c r="AU8" s="332" t="s">
        <v>14</v>
      </c>
      <c r="AV8" s="332" t="s">
        <v>15</v>
      </c>
      <c r="AW8" s="332" t="s">
        <v>14</v>
      </c>
      <c r="AX8" s="332" t="s">
        <v>15</v>
      </c>
      <c r="AY8" s="332" t="s">
        <v>14</v>
      </c>
      <c r="AZ8" s="332" t="s">
        <v>15</v>
      </c>
      <c r="BA8" s="332" t="s">
        <v>14</v>
      </c>
      <c r="BB8" s="332" t="s">
        <v>15</v>
      </c>
      <c r="BC8" s="332" t="s">
        <v>14</v>
      </c>
      <c r="BD8" s="332" t="s">
        <v>15</v>
      </c>
      <c r="BE8" s="332" t="s">
        <v>14</v>
      </c>
      <c r="BF8" s="332" t="s">
        <v>15</v>
      </c>
      <c r="BG8" s="332" t="s">
        <v>14</v>
      </c>
      <c r="BH8" s="332" t="s">
        <v>15</v>
      </c>
      <c r="BI8" s="332" t="s">
        <v>36</v>
      </c>
      <c r="BJ8" s="332" t="s">
        <v>15</v>
      </c>
      <c r="BK8" s="332" t="s">
        <v>14</v>
      </c>
      <c r="BL8" s="332" t="s">
        <v>15</v>
      </c>
      <c r="BM8" s="958"/>
      <c r="BO8" s="155" t="s">
        <v>225</v>
      </c>
      <c r="BP8" s="156" t="s">
        <v>226</v>
      </c>
      <c r="BQ8" s="156" t="s">
        <v>227</v>
      </c>
      <c r="BR8" s="157" t="s">
        <v>228</v>
      </c>
      <c r="BS8" s="156" t="s">
        <v>229</v>
      </c>
      <c r="BT8" s="156" t="s">
        <v>230</v>
      </c>
      <c r="BU8" s="156" t="s">
        <v>231</v>
      </c>
      <c r="BV8" s="156" t="s">
        <v>232</v>
      </c>
      <c r="BW8" s="886"/>
    </row>
    <row r="9" spans="1:160">
      <c r="A9" s="955" t="s">
        <v>93</v>
      </c>
      <c r="B9" s="333"/>
      <c r="C9" s="155">
        <v>31000</v>
      </c>
      <c r="D9" s="158" t="s">
        <v>327</v>
      </c>
      <c r="E9" s="159"/>
      <c r="F9" s="135"/>
      <c r="G9" s="253"/>
      <c r="H9" s="334"/>
      <c r="I9" s="334"/>
      <c r="J9" s="334"/>
      <c r="K9" s="334"/>
      <c r="L9" s="334"/>
      <c r="M9" s="759"/>
      <c r="N9" s="334"/>
      <c r="O9" s="334"/>
      <c r="P9" s="335"/>
      <c r="Q9" s="335"/>
      <c r="R9" s="335"/>
      <c r="S9" s="201"/>
      <c r="T9" s="201"/>
      <c r="U9" s="336"/>
      <c r="V9" s="336"/>
      <c r="W9" s="337"/>
      <c r="X9" s="337"/>
      <c r="Y9" s="337"/>
      <c r="Z9" s="337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59"/>
      <c r="BO9" s="254"/>
      <c r="BP9" s="254"/>
      <c r="BQ9" s="254"/>
      <c r="BR9" s="254"/>
      <c r="BS9" s="254"/>
      <c r="BT9" s="254"/>
      <c r="BU9" s="254"/>
      <c r="BV9" s="254"/>
      <c r="BW9" s="257"/>
    </row>
    <row r="10" spans="1:160">
      <c r="A10" s="956"/>
      <c r="B10" s="338"/>
      <c r="C10" s="156">
        <v>31100</v>
      </c>
      <c r="D10" s="158" t="s">
        <v>412</v>
      </c>
      <c r="E10" s="159"/>
      <c r="F10" s="135"/>
      <c r="G10" s="253"/>
      <c r="H10" s="334"/>
      <c r="I10" s="334"/>
      <c r="J10" s="334"/>
      <c r="K10" s="334"/>
      <c r="L10" s="334"/>
      <c r="M10" s="759"/>
      <c r="N10" s="334"/>
      <c r="O10" s="334"/>
      <c r="P10" s="339"/>
      <c r="Q10" s="339"/>
      <c r="R10" s="339"/>
      <c r="S10" s="336"/>
      <c r="T10" s="336"/>
      <c r="U10" s="336"/>
      <c r="V10" s="336"/>
      <c r="W10" s="337"/>
      <c r="X10" s="337"/>
      <c r="Y10" s="337"/>
      <c r="Z10" s="337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9"/>
      <c r="BO10" s="254"/>
      <c r="BP10" s="254"/>
      <c r="BQ10" s="254"/>
      <c r="BR10" s="254"/>
      <c r="BS10" s="254"/>
      <c r="BT10" s="254"/>
      <c r="BU10" s="254"/>
      <c r="BV10" s="254"/>
      <c r="BW10" s="257"/>
    </row>
    <row r="11" spans="1:160" s="775" customFormat="1">
      <c r="A11" s="956"/>
      <c r="B11" s="768"/>
      <c r="C11" s="28"/>
      <c r="D11" s="767" t="s">
        <v>593</v>
      </c>
      <c r="E11" s="724" t="s">
        <v>95</v>
      </c>
      <c r="F11" s="773">
        <v>500000</v>
      </c>
      <c r="G11" s="722">
        <f>BK11</f>
        <v>0</v>
      </c>
      <c r="H11" s="759">
        <f>G11*F11</f>
        <v>0</v>
      </c>
      <c r="I11" s="759"/>
      <c r="J11" s="759"/>
      <c r="K11" s="759"/>
      <c r="L11" s="759"/>
      <c r="M11" s="760">
        <f>H11</f>
        <v>0</v>
      </c>
      <c r="N11" s="759"/>
      <c r="O11" s="759"/>
      <c r="P11" s="759"/>
      <c r="Q11" s="759"/>
      <c r="R11" s="759"/>
      <c r="S11" s="780">
        <f>G11*0.25</f>
        <v>0</v>
      </c>
      <c r="T11" s="780">
        <f>G11*0.25</f>
        <v>0</v>
      </c>
      <c r="U11" s="780">
        <f>G11*0.25</f>
        <v>0</v>
      </c>
      <c r="V11" s="780">
        <f>G11*0.25</f>
        <v>0</v>
      </c>
      <c r="W11" s="759">
        <f>S11*H11</f>
        <v>0</v>
      </c>
      <c r="X11" s="759">
        <f>T11*H11</f>
        <v>0</v>
      </c>
      <c r="Y11" s="759">
        <f>U11*H11</f>
        <v>0</v>
      </c>
      <c r="Z11" s="759">
        <f>V11*H11</f>
        <v>0</v>
      </c>
      <c r="AA11" s="764">
        <v>0</v>
      </c>
      <c r="AB11" s="668">
        <f>AA11*F11</f>
        <v>0</v>
      </c>
      <c r="AC11" s="764">
        <v>0</v>
      </c>
      <c r="AD11" s="668">
        <f>AC11*F11</f>
        <v>0</v>
      </c>
      <c r="AE11" s="764">
        <v>0</v>
      </c>
      <c r="AF11" s="668">
        <f>AE11*F11</f>
        <v>0</v>
      </c>
      <c r="AG11" s="764">
        <v>0</v>
      </c>
      <c r="AH11" s="668">
        <f>AG11*F11</f>
        <v>0</v>
      </c>
      <c r="AI11" s="764">
        <v>0</v>
      </c>
      <c r="AJ11" s="668">
        <f>AI11*F11</f>
        <v>0</v>
      </c>
      <c r="AK11" s="764">
        <v>0</v>
      </c>
      <c r="AL11" s="668">
        <f>AK11*F11</f>
        <v>0</v>
      </c>
      <c r="AM11" s="764">
        <v>0</v>
      </c>
      <c r="AN11" s="668">
        <f>AM11*F11</f>
        <v>0</v>
      </c>
      <c r="AO11" s="764">
        <v>0</v>
      </c>
      <c r="AP11" s="668">
        <f>AO11*F11</f>
        <v>0</v>
      </c>
      <c r="AQ11" s="764">
        <v>0</v>
      </c>
      <c r="AR11" s="668">
        <f>AQ11*F11</f>
        <v>0</v>
      </c>
      <c r="AS11" s="764">
        <v>0</v>
      </c>
      <c r="AT11" s="668">
        <f>AS11*F11</f>
        <v>0</v>
      </c>
      <c r="AU11" s="764">
        <v>0</v>
      </c>
      <c r="AV11" s="668">
        <f>AU11*F11</f>
        <v>0</v>
      </c>
      <c r="AW11" s="764">
        <v>0</v>
      </c>
      <c r="AX11" s="668">
        <f>AW11*F11</f>
        <v>0</v>
      </c>
      <c r="AY11" s="764">
        <v>0</v>
      </c>
      <c r="AZ11" s="668">
        <f>AY11*F11</f>
        <v>0</v>
      </c>
      <c r="BA11" s="764">
        <v>0</v>
      </c>
      <c r="BB11" s="668">
        <f>BA11*F11</f>
        <v>0</v>
      </c>
      <c r="BC11" s="764">
        <v>0</v>
      </c>
      <c r="BD11" s="668">
        <f>BC11*F11</f>
        <v>0</v>
      </c>
      <c r="BE11" s="764">
        <v>0</v>
      </c>
      <c r="BF11" s="668">
        <f>BE11*F11</f>
        <v>0</v>
      </c>
      <c r="BG11" s="764">
        <v>0</v>
      </c>
      <c r="BH11" s="668">
        <f>BG11*F11</f>
        <v>0</v>
      </c>
      <c r="BI11" s="764"/>
      <c r="BJ11" s="668">
        <f>BI11*F11</f>
        <v>0</v>
      </c>
      <c r="BK11" s="764">
        <f t="shared" ref="BK11:BL14" si="1">AA11+AC11+AE11+AG11+AI11+AK11+AM11+AO11+AQ11+AS11+AU11+AW11+AY11+BA11+BC11+BE11+BG11+BI11</f>
        <v>0</v>
      </c>
      <c r="BL11" s="764">
        <f t="shared" si="1"/>
        <v>0</v>
      </c>
      <c r="BM11" s="724" t="s">
        <v>302</v>
      </c>
      <c r="BN11" s="725"/>
      <c r="BO11" s="726">
        <f>BL11</f>
        <v>0</v>
      </c>
      <c r="BP11" s="726"/>
      <c r="BQ11" s="726"/>
      <c r="BR11" s="726"/>
      <c r="BS11" s="726">
        <f>BO11+BP11+BQ11+BR11</f>
        <v>0</v>
      </c>
      <c r="BT11" s="726"/>
      <c r="BU11" s="726"/>
      <c r="BV11" s="726">
        <f>BT11+BU11</f>
        <v>0</v>
      </c>
      <c r="BW11" s="727">
        <f>BS11+BV11</f>
        <v>0</v>
      </c>
      <c r="BX11" s="725"/>
      <c r="BY11" s="725"/>
      <c r="BZ11" s="725"/>
      <c r="CA11" s="725"/>
      <c r="CB11" s="725"/>
      <c r="CC11" s="725"/>
      <c r="CD11" s="725"/>
      <c r="CE11" s="725"/>
      <c r="CF11" s="725"/>
      <c r="CG11" s="725"/>
      <c r="CH11" s="725"/>
      <c r="CI11" s="725"/>
      <c r="CJ11" s="725"/>
      <c r="CK11" s="725"/>
      <c r="CL11" s="725"/>
      <c r="CM11" s="725"/>
      <c r="CN11" s="725"/>
      <c r="CO11" s="725"/>
      <c r="CP11" s="725"/>
      <c r="CQ11" s="725"/>
      <c r="CR11" s="725"/>
      <c r="CS11" s="725"/>
      <c r="CT11" s="725"/>
      <c r="CU11" s="725"/>
      <c r="CV11" s="725"/>
      <c r="CW11" s="725"/>
      <c r="CX11" s="725"/>
      <c r="CY11" s="725"/>
      <c r="CZ11" s="725"/>
      <c r="DA11" s="725"/>
      <c r="DB11" s="725"/>
      <c r="DC11" s="725"/>
      <c r="DD11" s="725"/>
      <c r="DE11" s="725"/>
      <c r="DF11" s="725"/>
      <c r="DG11" s="725"/>
      <c r="DH11" s="725"/>
      <c r="DI11" s="725"/>
      <c r="DJ11" s="725"/>
      <c r="DK11" s="725"/>
      <c r="DL11" s="725"/>
      <c r="DM11" s="725"/>
      <c r="DN11" s="725"/>
      <c r="DO11" s="725"/>
      <c r="DP11" s="725"/>
      <c r="DQ11" s="725"/>
      <c r="DR11" s="725"/>
      <c r="DS11" s="725"/>
      <c r="DT11" s="725"/>
      <c r="DU11" s="725"/>
      <c r="DV11" s="725"/>
      <c r="DW11" s="725"/>
      <c r="DX11" s="725"/>
      <c r="DY11" s="725"/>
      <c r="DZ11" s="725"/>
      <c r="EA11" s="725"/>
      <c r="EB11" s="725"/>
      <c r="EC11" s="725"/>
      <c r="ED11" s="725"/>
      <c r="EE11" s="725"/>
      <c r="EF11" s="725"/>
      <c r="EG11" s="725"/>
      <c r="EH11" s="725"/>
      <c r="EI11" s="725"/>
      <c r="EJ11" s="725"/>
      <c r="EK11" s="725"/>
      <c r="EL11" s="725"/>
      <c r="EM11" s="725"/>
      <c r="EN11" s="725"/>
      <c r="EO11" s="725"/>
      <c r="EP11" s="725"/>
      <c r="EQ11" s="725"/>
      <c r="ER11" s="725"/>
      <c r="ES11" s="725"/>
      <c r="ET11" s="725"/>
      <c r="EU11" s="725"/>
      <c r="EV11" s="725"/>
      <c r="EW11" s="725"/>
      <c r="EX11" s="725"/>
      <c r="EY11" s="725"/>
      <c r="EZ11" s="725"/>
      <c r="FA11" s="725"/>
      <c r="FB11" s="725"/>
      <c r="FC11" s="725"/>
      <c r="FD11" s="725"/>
    </row>
    <row r="12" spans="1:160">
      <c r="A12" s="956"/>
      <c r="B12" s="338"/>
      <c r="C12" s="145"/>
      <c r="D12" s="166" t="s">
        <v>94</v>
      </c>
      <c r="E12" s="159" t="s">
        <v>95</v>
      </c>
      <c r="F12" s="135" t="s">
        <v>410</v>
      </c>
      <c r="G12" s="253">
        <f>BK12</f>
        <v>0</v>
      </c>
      <c r="H12" s="334">
        <f>G12*F12</f>
        <v>0</v>
      </c>
      <c r="I12" s="334"/>
      <c r="J12" s="334"/>
      <c r="K12" s="334"/>
      <c r="L12" s="334"/>
      <c r="M12" s="760"/>
      <c r="N12" s="334"/>
      <c r="O12" s="334"/>
      <c r="P12" s="334"/>
      <c r="Q12" s="334"/>
      <c r="R12" s="334">
        <f>H12</f>
        <v>0</v>
      </c>
      <c r="S12" s="336">
        <f>G12*0.25</f>
        <v>0</v>
      </c>
      <c r="T12" s="336">
        <f>G12*0.25</f>
        <v>0</v>
      </c>
      <c r="U12" s="336">
        <f>G12*0.25</f>
        <v>0</v>
      </c>
      <c r="V12" s="336">
        <f>G12*0.25</f>
        <v>0</v>
      </c>
      <c r="W12" s="334">
        <f>S12*H12</f>
        <v>0</v>
      </c>
      <c r="X12" s="334">
        <f>T12*H12</f>
        <v>0</v>
      </c>
      <c r="Y12" s="334">
        <f>U12*H12</f>
        <v>0</v>
      </c>
      <c r="Z12" s="334">
        <f>V12*H12</f>
        <v>0</v>
      </c>
      <c r="AA12" s="150">
        <v>0</v>
      </c>
      <c r="AB12" s="202">
        <f t="shared" ref="AB12:AB51" si="2">AA12*F12</f>
        <v>0</v>
      </c>
      <c r="AC12" s="150">
        <v>0</v>
      </c>
      <c r="AD12" s="202">
        <f t="shared" ref="AD12:AD51" si="3">AC12*F12</f>
        <v>0</v>
      </c>
      <c r="AE12" s="150">
        <v>0</v>
      </c>
      <c r="AF12" s="202">
        <f t="shared" ref="AF12:AF51" si="4">AE12*F12</f>
        <v>0</v>
      </c>
      <c r="AG12" s="150">
        <v>0</v>
      </c>
      <c r="AH12" s="202">
        <f t="shared" ref="AH12:AH51" si="5">AG12*F12</f>
        <v>0</v>
      </c>
      <c r="AI12" s="150">
        <v>0</v>
      </c>
      <c r="AJ12" s="202">
        <f t="shared" ref="AJ12:AJ51" si="6">AI12*F12</f>
        <v>0</v>
      </c>
      <c r="AK12" s="150">
        <v>0</v>
      </c>
      <c r="AL12" s="202">
        <f t="shared" ref="AL12:AL51" si="7">AK12*F12</f>
        <v>0</v>
      </c>
      <c r="AM12" s="150">
        <v>0</v>
      </c>
      <c r="AN12" s="202">
        <f t="shared" ref="AN12:AN51" si="8">AM12*F12</f>
        <v>0</v>
      </c>
      <c r="AO12" s="150">
        <v>0</v>
      </c>
      <c r="AP12" s="202">
        <f t="shared" ref="AP12:AP51" si="9">AO12*F12</f>
        <v>0</v>
      </c>
      <c r="AQ12" s="150">
        <v>0</v>
      </c>
      <c r="AR12" s="202">
        <f t="shared" ref="AR12:AR51" si="10">AQ12*F12</f>
        <v>0</v>
      </c>
      <c r="AS12" s="150">
        <v>0</v>
      </c>
      <c r="AT12" s="202">
        <f t="shared" ref="AT12:AT51" si="11">AS12*F12</f>
        <v>0</v>
      </c>
      <c r="AU12" s="150">
        <v>0</v>
      </c>
      <c r="AV12" s="202">
        <f t="shared" ref="AV12:AV50" si="12">AU12*F12</f>
        <v>0</v>
      </c>
      <c r="AW12" s="150">
        <v>0</v>
      </c>
      <c r="AX12" s="202">
        <f t="shared" ref="AX12:AX51" si="13">AW12*F12</f>
        <v>0</v>
      </c>
      <c r="AY12" s="150">
        <v>0</v>
      </c>
      <c r="AZ12" s="202">
        <f t="shared" ref="AZ12:AZ51" si="14">AY12*F12</f>
        <v>0</v>
      </c>
      <c r="BA12" s="150">
        <v>0</v>
      </c>
      <c r="BB12" s="202">
        <f t="shared" ref="BB12:BB51" si="15">BA12*F12</f>
        <v>0</v>
      </c>
      <c r="BC12" s="150">
        <v>0</v>
      </c>
      <c r="BD12" s="202">
        <f t="shared" ref="BD12:BD51" si="16">BC12*F12</f>
        <v>0</v>
      </c>
      <c r="BE12" s="150">
        <v>0</v>
      </c>
      <c r="BF12" s="202">
        <f t="shared" ref="BF12:BF51" si="17">BE12*F12</f>
        <v>0</v>
      </c>
      <c r="BG12" s="150">
        <v>0</v>
      </c>
      <c r="BH12" s="202">
        <f>BG12*F12</f>
        <v>0</v>
      </c>
      <c r="BI12" s="150"/>
      <c r="BJ12" s="202">
        <f>BI12*F12</f>
        <v>0</v>
      </c>
      <c r="BK12" s="150">
        <f t="shared" si="1"/>
        <v>0</v>
      </c>
      <c r="BL12" s="202">
        <f t="shared" si="1"/>
        <v>0</v>
      </c>
      <c r="BM12" s="159" t="s">
        <v>594</v>
      </c>
      <c r="BO12" s="254">
        <f>BL12</f>
        <v>0</v>
      </c>
      <c r="BP12" s="254"/>
      <c r="BQ12" s="254"/>
      <c r="BR12" s="254"/>
      <c r="BS12" s="254">
        <f t="shared" ref="BS12:BS27" si="18">BO12+BP12+BQ12+BR12</f>
        <v>0</v>
      </c>
      <c r="BT12" s="254"/>
      <c r="BU12" s="254"/>
      <c r="BV12" s="254">
        <f t="shared" ref="BV12:BV20" si="19">BT12+BU12</f>
        <v>0</v>
      </c>
      <c r="BW12" s="255">
        <f>BS12+BV12</f>
        <v>0</v>
      </c>
    </row>
    <row r="13" spans="1:160">
      <c r="A13" s="956"/>
      <c r="B13" s="338"/>
      <c r="C13" s="145"/>
      <c r="D13" s="166" t="s">
        <v>663</v>
      </c>
      <c r="E13" s="159" t="s">
        <v>664</v>
      </c>
      <c r="F13" s="135">
        <v>500000</v>
      </c>
      <c r="G13" s="253">
        <f>BK13</f>
        <v>0</v>
      </c>
      <c r="H13" s="334">
        <f>G13*F13</f>
        <v>0</v>
      </c>
      <c r="I13" s="334"/>
      <c r="J13" s="334"/>
      <c r="K13" s="334"/>
      <c r="L13" s="334"/>
      <c r="M13" s="760">
        <f>H13</f>
        <v>0</v>
      </c>
      <c r="N13" s="334"/>
      <c r="O13" s="334"/>
      <c r="P13" s="334"/>
      <c r="Q13" s="334"/>
      <c r="R13" s="334"/>
      <c r="S13" s="336">
        <f>G13*0.25</f>
        <v>0</v>
      </c>
      <c r="T13" s="336">
        <f>G13*0.25</f>
        <v>0</v>
      </c>
      <c r="U13" s="336">
        <f>G13*0.25</f>
        <v>0</v>
      </c>
      <c r="V13" s="336">
        <f>G13*0.25</f>
        <v>0</v>
      </c>
      <c r="W13" s="334">
        <f>S13*H13</f>
        <v>0</v>
      </c>
      <c r="X13" s="334">
        <f>T13*H13</f>
        <v>0</v>
      </c>
      <c r="Y13" s="334">
        <f>U13*H13</f>
        <v>0</v>
      </c>
      <c r="Z13" s="334">
        <f>V13*H13</f>
        <v>0</v>
      </c>
      <c r="AA13" s="150"/>
      <c r="AB13" s="202"/>
      <c r="AC13" s="150"/>
      <c r="AD13" s="202"/>
      <c r="AE13" s="150"/>
      <c r="AF13" s="202"/>
      <c r="AG13" s="150"/>
      <c r="AH13" s="202"/>
      <c r="AI13" s="150"/>
      <c r="AJ13" s="202"/>
      <c r="AK13" s="150"/>
      <c r="AL13" s="202"/>
      <c r="AM13" s="150"/>
      <c r="AN13" s="202"/>
      <c r="AO13" s="150"/>
      <c r="AP13" s="202"/>
      <c r="AQ13" s="150"/>
      <c r="AR13" s="202"/>
      <c r="AS13" s="150"/>
      <c r="AT13" s="202"/>
      <c r="AU13" s="150"/>
      <c r="AV13" s="202"/>
      <c r="AW13" s="150">
        <v>0</v>
      </c>
      <c r="AX13" s="202">
        <f t="shared" si="13"/>
        <v>0</v>
      </c>
      <c r="AY13" s="150"/>
      <c r="AZ13" s="202"/>
      <c r="BA13" s="150"/>
      <c r="BB13" s="202"/>
      <c r="BC13" s="150"/>
      <c r="BD13" s="202"/>
      <c r="BE13" s="150"/>
      <c r="BF13" s="202"/>
      <c r="BG13" s="150"/>
      <c r="BH13" s="202"/>
      <c r="BI13" s="150"/>
      <c r="BJ13" s="202"/>
      <c r="BK13" s="150">
        <f t="shared" si="1"/>
        <v>0</v>
      </c>
      <c r="BL13" s="202">
        <f t="shared" si="1"/>
        <v>0</v>
      </c>
      <c r="BM13" s="159" t="s">
        <v>302</v>
      </c>
      <c r="BO13" s="254"/>
      <c r="BP13" s="254"/>
      <c r="BQ13" s="254"/>
      <c r="BR13" s="254"/>
      <c r="BS13" s="254"/>
      <c r="BT13" s="254"/>
      <c r="BU13" s="254"/>
      <c r="BV13" s="254"/>
      <c r="BW13" s="255"/>
    </row>
    <row r="14" spans="1:160">
      <c r="A14" s="956"/>
      <c r="B14" s="476"/>
      <c r="C14" s="145"/>
      <c r="D14" s="166" t="s">
        <v>730</v>
      </c>
      <c r="E14" s="159" t="s">
        <v>64</v>
      </c>
      <c r="F14" s="216">
        <v>500000</v>
      </c>
      <c r="G14" s="253">
        <f>BK14</f>
        <v>1</v>
      </c>
      <c r="H14" s="334">
        <f>G14*F14</f>
        <v>500000</v>
      </c>
      <c r="I14" s="469"/>
      <c r="J14" s="202">
        <f>H14*0.8</f>
        <v>400000</v>
      </c>
      <c r="K14" s="469"/>
      <c r="L14" s="469"/>
      <c r="M14" s="761"/>
      <c r="N14" s="469"/>
      <c r="O14" s="469"/>
      <c r="P14" s="469"/>
      <c r="Q14" s="202">
        <f>H14*0.2</f>
        <v>100000</v>
      </c>
      <c r="R14" s="469"/>
      <c r="S14" s="150">
        <f>G14*0.25</f>
        <v>0.25</v>
      </c>
      <c r="T14" s="180">
        <f>G14*0.25</f>
        <v>0.25</v>
      </c>
      <c r="U14" s="150">
        <f>G14*0.25</f>
        <v>0.25</v>
      </c>
      <c r="V14" s="150">
        <f>G14*0.25</f>
        <v>0.25</v>
      </c>
      <c r="W14" s="202">
        <f>S14*F14</f>
        <v>125000</v>
      </c>
      <c r="X14" s="202">
        <f>T14*F14</f>
        <v>125000</v>
      </c>
      <c r="Y14" s="202">
        <f>U14*F14</f>
        <v>125000</v>
      </c>
      <c r="Z14" s="202">
        <f>V14*F14</f>
        <v>125000</v>
      </c>
      <c r="AA14" s="150">
        <v>0</v>
      </c>
      <c r="AB14" s="150">
        <f t="shared" si="2"/>
        <v>0</v>
      </c>
      <c r="AC14" s="150">
        <v>0</v>
      </c>
      <c r="AD14" s="150">
        <f t="shared" si="3"/>
        <v>0</v>
      </c>
      <c r="AE14" s="150">
        <v>0</v>
      </c>
      <c r="AF14" s="150">
        <f t="shared" si="4"/>
        <v>0</v>
      </c>
      <c r="AG14" s="150">
        <v>0</v>
      </c>
      <c r="AH14" s="150">
        <f t="shared" si="5"/>
        <v>0</v>
      </c>
      <c r="AI14" s="150">
        <v>0</v>
      </c>
      <c r="AJ14" s="150">
        <f t="shared" si="6"/>
        <v>0</v>
      </c>
      <c r="AK14" s="150">
        <v>0</v>
      </c>
      <c r="AL14" s="150">
        <f t="shared" si="7"/>
        <v>0</v>
      </c>
      <c r="AM14" s="493">
        <v>1</v>
      </c>
      <c r="AN14" s="493">
        <f t="shared" si="8"/>
        <v>500000</v>
      </c>
      <c r="AO14" s="150">
        <v>0</v>
      </c>
      <c r="AP14" s="150">
        <f t="shared" si="9"/>
        <v>0</v>
      </c>
      <c r="AQ14" s="150">
        <v>0</v>
      </c>
      <c r="AR14" s="150">
        <f t="shared" si="10"/>
        <v>0</v>
      </c>
      <c r="AS14" s="150">
        <v>0</v>
      </c>
      <c r="AT14" s="150">
        <f t="shared" si="11"/>
        <v>0</v>
      </c>
      <c r="AU14" s="150">
        <v>0</v>
      </c>
      <c r="AV14" s="150">
        <f t="shared" si="12"/>
        <v>0</v>
      </c>
      <c r="AW14" s="150">
        <v>0</v>
      </c>
      <c r="AX14" s="150">
        <f t="shared" si="13"/>
        <v>0</v>
      </c>
      <c r="AY14" s="150">
        <v>0</v>
      </c>
      <c r="AZ14" s="150">
        <f t="shared" si="14"/>
        <v>0</v>
      </c>
      <c r="BA14" s="150">
        <v>0</v>
      </c>
      <c r="BB14" s="150">
        <f t="shared" si="15"/>
        <v>0</v>
      </c>
      <c r="BC14" s="150">
        <v>0</v>
      </c>
      <c r="BD14" s="150">
        <f t="shared" si="16"/>
        <v>0</v>
      </c>
      <c r="BE14" s="150">
        <v>0</v>
      </c>
      <c r="BF14" s="150">
        <f t="shared" si="17"/>
        <v>0</v>
      </c>
      <c r="BG14" s="150">
        <v>0</v>
      </c>
      <c r="BH14" s="150">
        <f>BG14*F14</f>
        <v>0</v>
      </c>
      <c r="BI14" s="150"/>
      <c r="BJ14" s="150">
        <f>BI14*F14</f>
        <v>0</v>
      </c>
      <c r="BK14" s="150">
        <f t="shared" si="1"/>
        <v>1</v>
      </c>
      <c r="BL14" s="150">
        <f t="shared" si="1"/>
        <v>500000</v>
      </c>
      <c r="BM14" s="159" t="s">
        <v>424</v>
      </c>
      <c r="BO14" s="254">
        <f>BL14</f>
        <v>500000</v>
      </c>
      <c r="BP14" s="254"/>
      <c r="BQ14" s="254"/>
      <c r="BR14" s="254"/>
      <c r="BS14" s="254">
        <f t="shared" si="18"/>
        <v>500000</v>
      </c>
      <c r="BT14" s="254"/>
      <c r="BU14" s="254"/>
      <c r="BV14" s="254">
        <f t="shared" si="19"/>
        <v>0</v>
      </c>
      <c r="BW14" s="255">
        <f>BS14+BV14</f>
        <v>500000</v>
      </c>
    </row>
    <row r="15" spans="1:160" s="771" customFormat="1">
      <c r="A15" s="956"/>
      <c r="B15" s="768"/>
      <c r="C15" s="777">
        <v>31200</v>
      </c>
      <c r="D15" s="778" t="s">
        <v>413</v>
      </c>
      <c r="E15" s="778" t="s">
        <v>115</v>
      </c>
      <c r="F15" s="779"/>
      <c r="G15" s="762">
        <f>SUM(G11:G14)</f>
        <v>1</v>
      </c>
      <c r="H15" s="762">
        <f t="shared" ref="H15:BL15" si="20">SUM(H11:H14)</f>
        <v>500000</v>
      </c>
      <c r="I15" s="762">
        <f t="shared" si="20"/>
        <v>0</v>
      </c>
      <c r="J15" s="762">
        <f t="shared" si="20"/>
        <v>400000</v>
      </c>
      <c r="K15" s="762">
        <f t="shared" si="20"/>
        <v>0</v>
      </c>
      <c r="L15" s="762">
        <f t="shared" si="20"/>
        <v>0</v>
      </c>
      <c r="M15" s="762">
        <f t="shared" si="20"/>
        <v>0</v>
      </c>
      <c r="N15" s="762">
        <f t="shared" si="20"/>
        <v>0</v>
      </c>
      <c r="O15" s="762">
        <f t="shared" si="20"/>
        <v>0</v>
      </c>
      <c r="P15" s="762">
        <f t="shared" si="20"/>
        <v>0</v>
      </c>
      <c r="Q15" s="762">
        <f t="shared" si="20"/>
        <v>100000</v>
      </c>
      <c r="R15" s="762">
        <f t="shared" si="20"/>
        <v>0</v>
      </c>
      <c r="S15" s="762">
        <f t="shared" si="20"/>
        <v>0.25</v>
      </c>
      <c r="T15" s="762">
        <f t="shared" si="20"/>
        <v>0.25</v>
      </c>
      <c r="U15" s="762">
        <f t="shared" si="20"/>
        <v>0.25</v>
      </c>
      <c r="V15" s="762">
        <f t="shared" si="20"/>
        <v>0.25</v>
      </c>
      <c r="W15" s="762">
        <f t="shared" si="20"/>
        <v>125000</v>
      </c>
      <c r="X15" s="762">
        <f t="shared" si="20"/>
        <v>125000</v>
      </c>
      <c r="Y15" s="762">
        <f t="shared" si="20"/>
        <v>125000</v>
      </c>
      <c r="Z15" s="762">
        <f t="shared" si="20"/>
        <v>125000</v>
      </c>
      <c r="AA15" s="762">
        <f t="shared" si="20"/>
        <v>0</v>
      </c>
      <c r="AB15" s="762">
        <f t="shared" si="20"/>
        <v>0</v>
      </c>
      <c r="AC15" s="762">
        <f t="shared" si="20"/>
        <v>0</v>
      </c>
      <c r="AD15" s="762">
        <f t="shared" si="20"/>
        <v>0</v>
      </c>
      <c r="AE15" s="762">
        <f t="shared" si="20"/>
        <v>0</v>
      </c>
      <c r="AF15" s="762">
        <f t="shared" si="20"/>
        <v>0</v>
      </c>
      <c r="AG15" s="762">
        <f t="shared" si="20"/>
        <v>0</v>
      </c>
      <c r="AH15" s="762">
        <f t="shared" si="20"/>
        <v>0</v>
      </c>
      <c r="AI15" s="762">
        <f t="shared" si="20"/>
        <v>0</v>
      </c>
      <c r="AJ15" s="762">
        <f t="shared" si="20"/>
        <v>0</v>
      </c>
      <c r="AK15" s="762">
        <f t="shared" si="20"/>
        <v>0</v>
      </c>
      <c r="AL15" s="762">
        <f t="shared" si="20"/>
        <v>0</v>
      </c>
      <c r="AM15" s="762">
        <f t="shared" si="20"/>
        <v>1</v>
      </c>
      <c r="AN15" s="762">
        <f t="shared" si="20"/>
        <v>500000</v>
      </c>
      <c r="AO15" s="762">
        <f t="shared" si="20"/>
        <v>0</v>
      </c>
      <c r="AP15" s="762">
        <f t="shared" si="20"/>
        <v>0</v>
      </c>
      <c r="AQ15" s="762">
        <f t="shared" si="20"/>
        <v>0</v>
      </c>
      <c r="AR15" s="762">
        <f t="shared" si="20"/>
        <v>0</v>
      </c>
      <c r="AS15" s="762">
        <f t="shared" si="20"/>
        <v>0</v>
      </c>
      <c r="AT15" s="762">
        <f t="shared" si="20"/>
        <v>0</v>
      </c>
      <c r="AU15" s="762">
        <f t="shared" si="20"/>
        <v>0</v>
      </c>
      <c r="AV15" s="762">
        <f t="shared" si="20"/>
        <v>0</v>
      </c>
      <c r="AW15" s="762">
        <f t="shared" si="20"/>
        <v>0</v>
      </c>
      <c r="AX15" s="762">
        <f t="shared" si="20"/>
        <v>0</v>
      </c>
      <c r="AY15" s="762">
        <f t="shared" si="20"/>
        <v>0</v>
      </c>
      <c r="AZ15" s="762">
        <f t="shared" si="20"/>
        <v>0</v>
      </c>
      <c r="BA15" s="762">
        <f t="shared" si="20"/>
        <v>0</v>
      </c>
      <c r="BB15" s="762">
        <f t="shared" si="20"/>
        <v>0</v>
      </c>
      <c r="BC15" s="762">
        <f t="shared" si="20"/>
        <v>0</v>
      </c>
      <c r="BD15" s="762">
        <f t="shared" si="20"/>
        <v>0</v>
      </c>
      <c r="BE15" s="762">
        <f t="shared" si="20"/>
        <v>0</v>
      </c>
      <c r="BF15" s="762">
        <f t="shared" si="20"/>
        <v>0</v>
      </c>
      <c r="BG15" s="762">
        <f t="shared" si="20"/>
        <v>0</v>
      </c>
      <c r="BH15" s="762">
        <f t="shared" si="20"/>
        <v>0</v>
      </c>
      <c r="BI15" s="762">
        <f t="shared" si="20"/>
        <v>0</v>
      </c>
      <c r="BJ15" s="762">
        <f t="shared" si="20"/>
        <v>0</v>
      </c>
      <c r="BK15" s="762">
        <f t="shared" si="20"/>
        <v>1</v>
      </c>
      <c r="BL15" s="762">
        <f t="shared" si="20"/>
        <v>500000</v>
      </c>
      <c r="BM15" s="762">
        <f t="shared" ref="BM15:BW15" si="21">SUM(BM11:BM14)</f>
        <v>0</v>
      </c>
      <c r="BN15" s="762">
        <f t="shared" si="21"/>
        <v>0</v>
      </c>
      <c r="BO15" s="762">
        <f t="shared" si="21"/>
        <v>500000</v>
      </c>
      <c r="BP15" s="762">
        <f t="shared" si="21"/>
        <v>0</v>
      </c>
      <c r="BQ15" s="762">
        <f t="shared" si="21"/>
        <v>0</v>
      </c>
      <c r="BR15" s="762">
        <f t="shared" si="21"/>
        <v>0</v>
      </c>
      <c r="BS15" s="762">
        <f t="shared" si="21"/>
        <v>500000</v>
      </c>
      <c r="BT15" s="762">
        <f t="shared" si="21"/>
        <v>0</v>
      </c>
      <c r="BU15" s="762">
        <f t="shared" si="21"/>
        <v>0</v>
      </c>
      <c r="BV15" s="762">
        <f t="shared" si="21"/>
        <v>0</v>
      </c>
      <c r="BW15" s="762">
        <f t="shared" si="21"/>
        <v>500000</v>
      </c>
    </row>
    <row r="16" spans="1:160">
      <c r="A16" s="956"/>
      <c r="B16" s="338"/>
      <c r="C16" s="342">
        <v>31210</v>
      </c>
      <c r="D16" s="158" t="s">
        <v>414</v>
      </c>
      <c r="E16" s="159"/>
      <c r="F16" s="135"/>
      <c r="G16" s="253"/>
      <c r="H16" s="334"/>
      <c r="I16" s="334"/>
      <c r="J16" s="334"/>
      <c r="K16" s="334"/>
      <c r="L16" s="334"/>
      <c r="M16" s="759"/>
      <c r="N16" s="334"/>
      <c r="O16" s="334"/>
      <c r="P16" s="334"/>
      <c r="Q16" s="334"/>
      <c r="R16" s="334"/>
      <c r="S16" s="180"/>
      <c r="T16" s="180"/>
      <c r="U16" s="180"/>
      <c r="V16" s="180"/>
      <c r="W16" s="334"/>
      <c r="X16" s="334"/>
      <c r="Y16" s="334"/>
      <c r="Z16" s="334"/>
      <c r="AA16" s="150"/>
      <c r="AB16" s="202"/>
      <c r="AC16" s="150"/>
      <c r="AD16" s="202"/>
      <c r="AE16" s="150"/>
      <c r="AF16" s="202"/>
      <c r="AG16" s="150"/>
      <c r="AH16" s="202"/>
      <c r="AI16" s="150"/>
      <c r="AJ16" s="202"/>
      <c r="AK16" s="150"/>
      <c r="AL16" s="202"/>
      <c r="AM16" s="150"/>
      <c r="AN16" s="202"/>
      <c r="AO16" s="150"/>
      <c r="AP16" s="202"/>
      <c r="AQ16" s="150"/>
      <c r="AR16" s="202"/>
      <c r="AS16" s="150"/>
      <c r="AT16" s="202"/>
      <c r="AU16" s="150"/>
      <c r="AV16" s="202"/>
      <c r="AW16" s="150"/>
      <c r="AX16" s="202"/>
      <c r="AY16" s="150"/>
      <c r="AZ16" s="202"/>
      <c r="BA16" s="150"/>
      <c r="BB16" s="202"/>
      <c r="BC16" s="150"/>
      <c r="BD16" s="202"/>
      <c r="BE16" s="150"/>
      <c r="BF16" s="202"/>
      <c r="BG16" s="150"/>
      <c r="BH16" s="202"/>
      <c r="BI16" s="150"/>
      <c r="BJ16" s="202"/>
      <c r="BK16" s="150"/>
      <c r="BL16" s="202"/>
      <c r="BM16" s="159"/>
      <c r="BO16" s="254">
        <f>H16</f>
        <v>0</v>
      </c>
      <c r="BP16" s="254"/>
      <c r="BQ16" s="254"/>
      <c r="BR16" s="254"/>
      <c r="BS16" s="254">
        <f t="shared" si="18"/>
        <v>0</v>
      </c>
      <c r="BT16" s="254"/>
      <c r="BU16" s="254"/>
      <c r="BV16" s="254">
        <f t="shared" si="19"/>
        <v>0</v>
      </c>
      <c r="BW16" s="255">
        <f t="shared" ref="BW16:BW51" si="22">BS16+BV16</f>
        <v>0</v>
      </c>
    </row>
    <row r="17" spans="1:160">
      <c r="A17" s="956"/>
      <c r="B17" s="338"/>
      <c r="C17" s="342">
        <v>31220</v>
      </c>
      <c r="D17" s="166" t="s">
        <v>96</v>
      </c>
      <c r="E17" s="159" t="s">
        <v>95</v>
      </c>
      <c r="F17" s="216">
        <v>0</v>
      </c>
      <c r="G17" s="253">
        <f>BK17</f>
        <v>610</v>
      </c>
      <c r="H17" s="334">
        <f>G17*F17</f>
        <v>0</v>
      </c>
      <c r="I17" s="334"/>
      <c r="J17" s="334"/>
      <c r="K17" s="334"/>
      <c r="L17" s="334"/>
      <c r="M17" s="759"/>
      <c r="N17" s="334"/>
      <c r="O17" s="334">
        <f>H17</f>
        <v>0</v>
      </c>
      <c r="P17" s="334"/>
      <c r="Q17" s="334"/>
      <c r="R17" s="334"/>
      <c r="S17" s="180">
        <f>G17*0.25</f>
        <v>152.5</v>
      </c>
      <c r="T17" s="180">
        <f>G17*0.25</f>
        <v>152.5</v>
      </c>
      <c r="U17" s="180">
        <f>G17*0.25</f>
        <v>152.5</v>
      </c>
      <c r="V17" s="180">
        <f>G17*0.25</f>
        <v>152.5</v>
      </c>
      <c r="W17" s="334">
        <f>S17*H17</f>
        <v>0</v>
      </c>
      <c r="X17" s="334">
        <f>T17*H17</f>
        <v>0</v>
      </c>
      <c r="Y17" s="334">
        <f>U17*H17</f>
        <v>0</v>
      </c>
      <c r="Z17" s="334">
        <f>V17*H17</f>
        <v>0</v>
      </c>
      <c r="AA17" s="150">
        <v>0</v>
      </c>
      <c r="AB17" s="202">
        <f t="shared" si="2"/>
        <v>0</v>
      </c>
      <c r="AC17" s="150">
        <v>0</v>
      </c>
      <c r="AD17" s="202">
        <f t="shared" si="3"/>
        <v>0</v>
      </c>
      <c r="AE17" s="150">
        <v>100</v>
      </c>
      <c r="AF17" s="202">
        <f t="shared" si="4"/>
        <v>0</v>
      </c>
      <c r="AG17" s="150">
        <v>0</v>
      </c>
      <c r="AH17" s="202">
        <f t="shared" si="5"/>
        <v>0</v>
      </c>
      <c r="AI17" s="150">
        <v>30</v>
      </c>
      <c r="AJ17" s="202">
        <f t="shared" si="6"/>
        <v>0</v>
      </c>
      <c r="AK17" s="150">
        <v>100</v>
      </c>
      <c r="AL17" s="202">
        <f t="shared" si="7"/>
        <v>0</v>
      </c>
      <c r="AM17" s="150">
        <v>100</v>
      </c>
      <c r="AN17" s="202">
        <f t="shared" si="8"/>
        <v>0</v>
      </c>
      <c r="AO17" s="150">
        <v>80</v>
      </c>
      <c r="AP17" s="202">
        <f t="shared" si="9"/>
        <v>0</v>
      </c>
      <c r="AQ17" s="150">
        <v>0</v>
      </c>
      <c r="AR17" s="202">
        <f t="shared" si="10"/>
        <v>0</v>
      </c>
      <c r="AS17" s="150">
        <v>0</v>
      </c>
      <c r="AT17" s="202">
        <f t="shared" si="11"/>
        <v>0</v>
      </c>
      <c r="AU17" s="150">
        <v>0</v>
      </c>
      <c r="AV17" s="202">
        <f t="shared" si="12"/>
        <v>0</v>
      </c>
      <c r="AW17" s="150">
        <v>100</v>
      </c>
      <c r="AX17" s="202">
        <f t="shared" si="13"/>
        <v>0</v>
      </c>
      <c r="AY17" s="150">
        <v>100</v>
      </c>
      <c r="AZ17" s="202">
        <f t="shared" si="14"/>
        <v>0</v>
      </c>
      <c r="BA17" s="150">
        <v>0</v>
      </c>
      <c r="BB17" s="202">
        <f t="shared" si="15"/>
        <v>0</v>
      </c>
      <c r="BC17" s="150">
        <v>0</v>
      </c>
      <c r="BD17" s="202">
        <f t="shared" si="16"/>
        <v>0</v>
      </c>
      <c r="BE17" s="150">
        <v>0</v>
      </c>
      <c r="BF17" s="202">
        <f t="shared" si="17"/>
        <v>0</v>
      </c>
      <c r="BG17" s="150">
        <v>0</v>
      </c>
      <c r="BH17" s="202">
        <f>BG17*F17</f>
        <v>0</v>
      </c>
      <c r="BI17" s="150"/>
      <c r="BJ17" s="202">
        <f>BI17*F17</f>
        <v>0</v>
      </c>
      <c r="BK17" s="150">
        <f>AA17+AC17+AE17+AG17+AI17+AK17+AM17+AO17+AQ17+AS17+AU17+AW17+AY17+BA17+BC17+BE17+BG17+BI17</f>
        <v>610</v>
      </c>
      <c r="BL17" s="202">
        <f>AB17+AD17+AF17+AH17+AJ17+AL17+AN17+AP17+AR17+AT17+AV17+AX17+AZ17+BB17+BD17+BF17+BH17+BJ17</f>
        <v>0</v>
      </c>
      <c r="BM17" s="159" t="s">
        <v>425</v>
      </c>
      <c r="BO17" s="254">
        <f>H17</f>
        <v>0</v>
      </c>
      <c r="BP17" s="254"/>
      <c r="BQ17" s="254"/>
      <c r="BR17" s="254"/>
      <c r="BS17" s="254">
        <f t="shared" si="18"/>
        <v>0</v>
      </c>
      <c r="BT17" s="254"/>
      <c r="BU17" s="254"/>
      <c r="BV17" s="254">
        <f t="shared" si="19"/>
        <v>0</v>
      </c>
      <c r="BW17" s="255">
        <f t="shared" si="22"/>
        <v>0</v>
      </c>
    </row>
    <row r="18" spans="1:160">
      <c r="A18" s="956"/>
      <c r="B18" s="338"/>
      <c r="C18" s="342">
        <v>31230</v>
      </c>
      <c r="D18" s="166" t="s">
        <v>97</v>
      </c>
      <c r="E18" s="159" t="s">
        <v>98</v>
      </c>
      <c r="F18" s="135" t="s">
        <v>348</v>
      </c>
      <c r="G18" s="253">
        <f>BK18</f>
        <v>0</v>
      </c>
      <c r="H18" s="334">
        <f>G18*F18</f>
        <v>0</v>
      </c>
      <c r="I18" s="334"/>
      <c r="J18" s="334"/>
      <c r="K18" s="334"/>
      <c r="L18" s="334"/>
      <c r="M18" s="759">
        <f>H18</f>
        <v>0</v>
      </c>
      <c r="N18" s="334"/>
      <c r="O18" s="334"/>
      <c r="P18" s="334"/>
      <c r="Q18" s="334"/>
      <c r="R18" s="334"/>
      <c r="S18" s="180">
        <f>G18*0.25</f>
        <v>0</v>
      </c>
      <c r="T18" s="180">
        <f>G18*0.25</f>
        <v>0</v>
      </c>
      <c r="U18" s="180">
        <f>G18*0.25</f>
        <v>0</v>
      </c>
      <c r="V18" s="180">
        <f>G18*0.25</f>
        <v>0</v>
      </c>
      <c r="W18" s="334">
        <f>S18*H18</f>
        <v>0</v>
      </c>
      <c r="X18" s="334">
        <f>T18*H18</f>
        <v>0</v>
      </c>
      <c r="Y18" s="334">
        <f>U18*H18</f>
        <v>0</v>
      </c>
      <c r="Z18" s="334">
        <f>V18*H18</f>
        <v>0</v>
      </c>
      <c r="AA18" s="150"/>
      <c r="AB18" s="202">
        <f t="shared" si="2"/>
        <v>0</v>
      </c>
      <c r="AC18" s="150">
        <v>0</v>
      </c>
      <c r="AD18" s="202">
        <f t="shared" si="3"/>
        <v>0</v>
      </c>
      <c r="AE18" s="150"/>
      <c r="AF18" s="202">
        <f t="shared" si="4"/>
        <v>0</v>
      </c>
      <c r="AG18" s="150">
        <v>0</v>
      </c>
      <c r="AH18" s="202">
        <f t="shared" si="5"/>
        <v>0</v>
      </c>
      <c r="AI18" s="150">
        <v>0</v>
      </c>
      <c r="AJ18" s="202">
        <f t="shared" si="6"/>
        <v>0</v>
      </c>
      <c r="AK18" s="150"/>
      <c r="AL18" s="202">
        <f t="shared" si="7"/>
        <v>0</v>
      </c>
      <c r="AM18" s="150"/>
      <c r="AN18" s="202">
        <f t="shared" si="8"/>
        <v>0</v>
      </c>
      <c r="AO18" s="150">
        <v>0</v>
      </c>
      <c r="AP18" s="202">
        <f t="shared" si="9"/>
        <v>0</v>
      </c>
      <c r="AQ18" s="150">
        <v>0</v>
      </c>
      <c r="AR18" s="202">
        <f t="shared" si="10"/>
        <v>0</v>
      </c>
      <c r="AS18" s="150"/>
      <c r="AT18" s="202">
        <f t="shared" si="11"/>
        <v>0</v>
      </c>
      <c r="AU18" s="150"/>
      <c r="AV18" s="202">
        <f t="shared" si="12"/>
        <v>0</v>
      </c>
      <c r="AW18" s="150"/>
      <c r="AX18" s="202">
        <f t="shared" si="13"/>
        <v>0</v>
      </c>
      <c r="AY18" s="150"/>
      <c r="AZ18" s="202">
        <f t="shared" si="14"/>
        <v>0</v>
      </c>
      <c r="BA18" s="150"/>
      <c r="BB18" s="202">
        <f t="shared" si="15"/>
        <v>0</v>
      </c>
      <c r="BC18" s="150"/>
      <c r="BD18" s="202">
        <f t="shared" si="16"/>
        <v>0</v>
      </c>
      <c r="BE18" s="150"/>
      <c r="BF18" s="202">
        <f t="shared" si="17"/>
        <v>0</v>
      </c>
      <c r="BG18" s="150">
        <v>0</v>
      </c>
      <c r="BH18" s="202">
        <f>BG18*F18</f>
        <v>0</v>
      </c>
      <c r="BI18" s="150"/>
      <c r="BJ18" s="202">
        <f>BI18*F18</f>
        <v>0</v>
      </c>
      <c r="BK18" s="150">
        <f>AA18+AC18+AE18+AG18+AI18+AK18+AM18+AO18+AQ18+AS18+AU18+AW18+AY18+BA18+BC18+BE18+BG18+BI18</f>
        <v>0</v>
      </c>
      <c r="BL18" s="202">
        <f>AB18+AD18+AF18+AH18+AJ18+AL18+AN18+AP18+AR18+AT18+AV18+AX18+AZ18+BB18+BD18+BF18+BH18+BJ18</f>
        <v>0</v>
      </c>
      <c r="BM18" s="159" t="s">
        <v>302</v>
      </c>
      <c r="BO18" s="254">
        <f>H18</f>
        <v>0</v>
      </c>
      <c r="BP18" s="254"/>
      <c r="BQ18" s="254"/>
      <c r="BR18" s="254"/>
      <c r="BS18" s="254">
        <f t="shared" si="18"/>
        <v>0</v>
      </c>
      <c r="BT18" s="254"/>
      <c r="BU18" s="254"/>
      <c r="BV18" s="254">
        <f t="shared" si="19"/>
        <v>0</v>
      </c>
      <c r="BW18" s="255">
        <f t="shared" si="22"/>
        <v>0</v>
      </c>
    </row>
    <row r="19" spans="1:160" s="341" customFormat="1">
      <c r="A19" s="956"/>
      <c r="B19" s="338"/>
      <c r="C19" s="156"/>
      <c r="D19" s="158" t="s">
        <v>415</v>
      </c>
      <c r="E19" s="168" t="s">
        <v>115</v>
      </c>
      <c r="F19" s="177"/>
      <c r="G19" s="246">
        <f t="shared" ref="G19:AL19" si="23">SUM(G17:G18)</f>
        <v>610</v>
      </c>
      <c r="H19" s="246">
        <f t="shared" si="23"/>
        <v>0</v>
      </c>
      <c r="I19" s="246">
        <f t="shared" si="23"/>
        <v>0</v>
      </c>
      <c r="J19" s="246">
        <f t="shared" si="23"/>
        <v>0</v>
      </c>
      <c r="K19" s="246">
        <f t="shared" si="23"/>
        <v>0</v>
      </c>
      <c r="L19" s="246">
        <f t="shared" si="23"/>
        <v>0</v>
      </c>
      <c r="M19" s="762">
        <f t="shared" si="23"/>
        <v>0</v>
      </c>
      <c r="N19" s="246">
        <f t="shared" si="23"/>
        <v>0</v>
      </c>
      <c r="O19" s="246">
        <f t="shared" si="23"/>
        <v>0</v>
      </c>
      <c r="P19" s="246">
        <f t="shared" si="23"/>
        <v>0</v>
      </c>
      <c r="Q19" s="246">
        <f t="shared" si="23"/>
        <v>0</v>
      </c>
      <c r="R19" s="246">
        <f t="shared" si="23"/>
        <v>0</v>
      </c>
      <c r="S19" s="246">
        <f t="shared" si="23"/>
        <v>152.5</v>
      </c>
      <c r="T19" s="246">
        <f t="shared" si="23"/>
        <v>152.5</v>
      </c>
      <c r="U19" s="246">
        <f t="shared" si="23"/>
        <v>152.5</v>
      </c>
      <c r="V19" s="246">
        <f t="shared" si="23"/>
        <v>152.5</v>
      </c>
      <c r="W19" s="246">
        <f t="shared" si="23"/>
        <v>0</v>
      </c>
      <c r="X19" s="246">
        <f t="shared" si="23"/>
        <v>0</v>
      </c>
      <c r="Y19" s="246">
        <f t="shared" si="23"/>
        <v>0</v>
      </c>
      <c r="Z19" s="246">
        <f t="shared" si="23"/>
        <v>0</v>
      </c>
      <c r="AA19" s="246">
        <f t="shared" si="23"/>
        <v>0</v>
      </c>
      <c r="AB19" s="246">
        <f t="shared" si="23"/>
        <v>0</v>
      </c>
      <c r="AC19" s="246">
        <f t="shared" si="23"/>
        <v>0</v>
      </c>
      <c r="AD19" s="246">
        <f t="shared" si="23"/>
        <v>0</v>
      </c>
      <c r="AE19" s="246">
        <f t="shared" si="23"/>
        <v>100</v>
      </c>
      <c r="AF19" s="246">
        <f t="shared" si="23"/>
        <v>0</v>
      </c>
      <c r="AG19" s="246">
        <f t="shared" si="23"/>
        <v>0</v>
      </c>
      <c r="AH19" s="246">
        <f t="shared" si="23"/>
        <v>0</v>
      </c>
      <c r="AI19" s="246">
        <f t="shared" si="23"/>
        <v>30</v>
      </c>
      <c r="AJ19" s="246">
        <f t="shared" si="23"/>
        <v>0</v>
      </c>
      <c r="AK19" s="246">
        <f t="shared" si="23"/>
        <v>100</v>
      </c>
      <c r="AL19" s="246">
        <f t="shared" si="23"/>
        <v>0</v>
      </c>
      <c r="AM19" s="246">
        <f t="shared" ref="AM19:BW19" si="24">SUM(AM17:AM18)</f>
        <v>100</v>
      </c>
      <c r="AN19" s="246">
        <f t="shared" si="24"/>
        <v>0</v>
      </c>
      <c r="AO19" s="246">
        <f t="shared" si="24"/>
        <v>80</v>
      </c>
      <c r="AP19" s="246">
        <f t="shared" si="24"/>
        <v>0</v>
      </c>
      <c r="AQ19" s="246">
        <f t="shared" si="24"/>
        <v>0</v>
      </c>
      <c r="AR19" s="246">
        <f t="shared" si="24"/>
        <v>0</v>
      </c>
      <c r="AS19" s="246">
        <f t="shared" si="24"/>
        <v>0</v>
      </c>
      <c r="AT19" s="246">
        <f t="shared" si="24"/>
        <v>0</v>
      </c>
      <c r="AU19" s="246">
        <f t="shared" si="24"/>
        <v>0</v>
      </c>
      <c r="AV19" s="246">
        <f t="shared" si="24"/>
        <v>0</v>
      </c>
      <c r="AW19" s="246">
        <f t="shared" si="24"/>
        <v>100</v>
      </c>
      <c r="AX19" s="246">
        <f t="shared" si="24"/>
        <v>0</v>
      </c>
      <c r="AY19" s="246">
        <f t="shared" si="24"/>
        <v>100</v>
      </c>
      <c r="AZ19" s="246">
        <f t="shared" si="24"/>
        <v>0</v>
      </c>
      <c r="BA19" s="246">
        <f t="shared" si="24"/>
        <v>0</v>
      </c>
      <c r="BB19" s="246">
        <f t="shared" si="24"/>
        <v>0</v>
      </c>
      <c r="BC19" s="246">
        <f t="shared" si="24"/>
        <v>0</v>
      </c>
      <c r="BD19" s="246">
        <f t="shared" si="24"/>
        <v>0</v>
      </c>
      <c r="BE19" s="246">
        <f t="shared" si="24"/>
        <v>0</v>
      </c>
      <c r="BF19" s="246">
        <f t="shared" si="24"/>
        <v>0</v>
      </c>
      <c r="BG19" s="246">
        <f t="shared" si="24"/>
        <v>0</v>
      </c>
      <c r="BH19" s="246">
        <f t="shared" si="24"/>
        <v>0</v>
      </c>
      <c r="BI19" s="246">
        <f t="shared" si="24"/>
        <v>0</v>
      </c>
      <c r="BJ19" s="246">
        <f t="shared" si="24"/>
        <v>0</v>
      </c>
      <c r="BK19" s="246">
        <f t="shared" si="24"/>
        <v>610</v>
      </c>
      <c r="BL19" s="246">
        <f t="shared" si="24"/>
        <v>0</v>
      </c>
      <c r="BM19" s="246">
        <f t="shared" si="24"/>
        <v>0</v>
      </c>
      <c r="BN19" s="246">
        <f t="shared" si="24"/>
        <v>0</v>
      </c>
      <c r="BO19" s="246">
        <f t="shared" si="24"/>
        <v>0</v>
      </c>
      <c r="BP19" s="246">
        <f t="shared" si="24"/>
        <v>0</v>
      </c>
      <c r="BQ19" s="246">
        <f t="shared" si="24"/>
        <v>0</v>
      </c>
      <c r="BR19" s="246">
        <f t="shared" si="24"/>
        <v>0</v>
      </c>
      <c r="BS19" s="246">
        <f t="shared" si="24"/>
        <v>0</v>
      </c>
      <c r="BT19" s="246">
        <f t="shared" si="24"/>
        <v>0</v>
      </c>
      <c r="BU19" s="246">
        <f t="shared" si="24"/>
        <v>0</v>
      </c>
      <c r="BV19" s="246">
        <f t="shared" si="24"/>
        <v>0</v>
      </c>
      <c r="BW19" s="246">
        <f t="shared" si="24"/>
        <v>0</v>
      </c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  <c r="EK19" s="265"/>
      <c r="EL19" s="265"/>
      <c r="EM19" s="265"/>
      <c r="EN19" s="265"/>
      <c r="EO19" s="265"/>
      <c r="EP19" s="265"/>
      <c r="EQ19" s="265"/>
      <c r="ER19" s="265"/>
      <c r="ES19" s="265"/>
      <c r="ET19" s="265"/>
      <c r="EU19" s="265"/>
      <c r="EV19" s="265"/>
      <c r="EW19" s="265"/>
      <c r="EX19" s="265"/>
      <c r="EY19" s="265"/>
      <c r="EZ19" s="265"/>
      <c r="FA19" s="265"/>
      <c r="FB19" s="265"/>
      <c r="FC19" s="265"/>
      <c r="FD19" s="265"/>
    </row>
    <row r="20" spans="1:160">
      <c r="A20" s="956"/>
      <c r="B20" s="338"/>
      <c r="C20" s="342">
        <v>31240</v>
      </c>
      <c r="D20" s="158" t="s">
        <v>416</v>
      </c>
      <c r="E20" s="159"/>
      <c r="F20" s="135"/>
      <c r="G20" s="253"/>
      <c r="H20" s="334"/>
      <c r="I20" s="334"/>
      <c r="J20" s="334"/>
      <c r="K20" s="334"/>
      <c r="L20" s="334"/>
      <c r="M20" s="759"/>
      <c r="N20" s="334"/>
      <c r="O20" s="334"/>
      <c r="P20" s="334"/>
      <c r="Q20" s="334"/>
      <c r="R20" s="334"/>
      <c r="S20" s="180"/>
      <c r="T20" s="180"/>
      <c r="U20" s="180"/>
      <c r="V20" s="180"/>
      <c r="W20" s="334"/>
      <c r="X20" s="334"/>
      <c r="Y20" s="334"/>
      <c r="Z20" s="334"/>
      <c r="AA20" s="150"/>
      <c r="AB20" s="202"/>
      <c r="AC20" s="150"/>
      <c r="AD20" s="202"/>
      <c r="AE20" s="150"/>
      <c r="AF20" s="202"/>
      <c r="AG20" s="150"/>
      <c r="AH20" s="202"/>
      <c r="AI20" s="150"/>
      <c r="AJ20" s="202"/>
      <c r="AK20" s="150"/>
      <c r="AL20" s="202"/>
      <c r="AM20" s="150"/>
      <c r="AN20" s="202"/>
      <c r="AO20" s="150"/>
      <c r="AP20" s="202"/>
      <c r="AQ20" s="150"/>
      <c r="AR20" s="202"/>
      <c r="AS20" s="150"/>
      <c r="AT20" s="202"/>
      <c r="AU20" s="150"/>
      <c r="AV20" s="202"/>
      <c r="AW20" s="150"/>
      <c r="AX20" s="202"/>
      <c r="AY20" s="150"/>
      <c r="AZ20" s="202"/>
      <c r="BA20" s="150"/>
      <c r="BB20" s="202"/>
      <c r="BC20" s="150"/>
      <c r="BD20" s="202"/>
      <c r="BE20" s="150"/>
      <c r="BF20" s="202"/>
      <c r="BG20" s="150"/>
      <c r="BH20" s="202"/>
      <c r="BI20" s="150"/>
      <c r="BJ20" s="202"/>
      <c r="BK20" s="150"/>
      <c r="BL20" s="202"/>
      <c r="BM20" s="159"/>
      <c r="BO20" s="254">
        <f t="shared" ref="BO20:BO27" si="25">H20</f>
        <v>0</v>
      </c>
      <c r="BP20" s="254"/>
      <c r="BQ20" s="254"/>
      <c r="BR20" s="254"/>
      <c r="BS20" s="254">
        <f t="shared" si="18"/>
        <v>0</v>
      </c>
      <c r="BT20" s="254"/>
      <c r="BU20" s="254"/>
      <c r="BV20" s="254">
        <f t="shared" si="19"/>
        <v>0</v>
      </c>
      <c r="BW20" s="255">
        <f t="shared" si="22"/>
        <v>0</v>
      </c>
    </row>
    <row r="21" spans="1:160" s="775" customFormat="1">
      <c r="A21" s="956"/>
      <c r="B21" s="768"/>
      <c r="C21" s="28">
        <v>31300</v>
      </c>
      <c r="D21" s="767" t="s">
        <v>578</v>
      </c>
      <c r="E21" s="724" t="s">
        <v>555</v>
      </c>
      <c r="F21" s="773">
        <v>400000</v>
      </c>
      <c r="G21" s="774">
        <f t="shared" ref="G21:H27" si="26">BK21</f>
        <v>3</v>
      </c>
      <c r="H21" s="668">
        <f t="shared" ref="H21:H27" si="27">G21*F21</f>
        <v>1200000</v>
      </c>
      <c r="I21" s="668"/>
      <c r="J21" s="668"/>
      <c r="K21" s="668"/>
      <c r="L21" s="668"/>
      <c r="M21" s="668">
        <f>H21</f>
        <v>1200000</v>
      </c>
      <c r="N21" s="668"/>
      <c r="O21" s="668"/>
      <c r="P21" s="668"/>
      <c r="Q21" s="668"/>
      <c r="R21" s="668"/>
      <c r="S21" s="770">
        <f>G21*0.25</f>
        <v>0.75</v>
      </c>
      <c r="T21" s="770">
        <f>G21*0.25</f>
        <v>0.75</v>
      </c>
      <c r="U21" s="770">
        <f>G21*0.25</f>
        <v>0.75</v>
      </c>
      <c r="V21" s="770">
        <f>G21*0.25</f>
        <v>0.75</v>
      </c>
      <c r="W21" s="668">
        <f>S21*H21</f>
        <v>900000</v>
      </c>
      <c r="X21" s="668">
        <f>T21*H21</f>
        <v>900000</v>
      </c>
      <c r="Y21" s="668">
        <f>U21*H21</f>
        <v>900000</v>
      </c>
      <c r="Z21" s="668">
        <f>V21*H21</f>
        <v>900000</v>
      </c>
      <c r="AA21" s="764">
        <v>0</v>
      </c>
      <c r="AB21" s="668">
        <f t="shared" si="2"/>
        <v>0</v>
      </c>
      <c r="AC21" s="764">
        <v>0</v>
      </c>
      <c r="AD21" s="668">
        <f t="shared" si="3"/>
        <v>0</v>
      </c>
      <c r="AE21" s="764">
        <v>0</v>
      </c>
      <c r="AF21" s="668">
        <f t="shared" si="4"/>
        <v>0</v>
      </c>
      <c r="AG21" s="764">
        <v>0</v>
      </c>
      <c r="AH21" s="668">
        <f t="shared" si="5"/>
        <v>0</v>
      </c>
      <c r="AI21" s="764">
        <v>0</v>
      </c>
      <c r="AJ21" s="668">
        <f t="shared" si="6"/>
        <v>0</v>
      </c>
      <c r="AK21" s="764">
        <v>0</v>
      </c>
      <c r="AL21" s="668">
        <f t="shared" si="7"/>
        <v>0</v>
      </c>
      <c r="AM21" s="764">
        <v>3</v>
      </c>
      <c r="AN21" s="668">
        <f t="shared" si="8"/>
        <v>1200000</v>
      </c>
      <c r="AO21" s="764">
        <v>0</v>
      </c>
      <c r="AP21" s="668">
        <f t="shared" si="9"/>
        <v>0</v>
      </c>
      <c r="AQ21" s="764">
        <v>0</v>
      </c>
      <c r="AR21" s="668">
        <f t="shared" si="10"/>
        <v>0</v>
      </c>
      <c r="AS21" s="764">
        <v>0</v>
      </c>
      <c r="AT21" s="668">
        <f t="shared" si="11"/>
        <v>0</v>
      </c>
      <c r="AU21" s="764">
        <v>0</v>
      </c>
      <c r="AV21" s="668">
        <f t="shared" si="12"/>
        <v>0</v>
      </c>
      <c r="AW21" s="764">
        <v>0</v>
      </c>
      <c r="AX21" s="668">
        <f t="shared" si="13"/>
        <v>0</v>
      </c>
      <c r="AY21" s="764">
        <v>0</v>
      </c>
      <c r="AZ21" s="668">
        <f t="shared" si="14"/>
        <v>0</v>
      </c>
      <c r="BA21" s="764">
        <v>0</v>
      </c>
      <c r="BB21" s="668">
        <f t="shared" si="15"/>
        <v>0</v>
      </c>
      <c r="BC21" s="764">
        <v>0</v>
      </c>
      <c r="BD21" s="668">
        <f t="shared" si="16"/>
        <v>0</v>
      </c>
      <c r="BE21" s="764">
        <v>0</v>
      </c>
      <c r="BF21" s="668">
        <f t="shared" si="17"/>
        <v>0</v>
      </c>
      <c r="BG21" s="764">
        <v>0</v>
      </c>
      <c r="BH21" s="668">
        <f t="shared" ref="BH21:BH27" si="28">BG21*F21</f>
        <v>0</v>
      </c>
      <c r="BI21" s="764"/>
      <c r="BJ21" s="668">
        <f>BI21*F21</f>
        <v>0</v>
      </c>
      <c r="BK21" s="764">
        <f t="shared" ref="BK21:BL27" si="29">AA21+AC21+AE21+AG21+AI21+AK21+AM21+AO21+AQ21+AS21+AU21+AW21+AY21+BA21+BC21+BE21+BG21+BI21</f>
        <v>3</v>
      </c>
      <c r="BL21" s="668">
        <f t="shared" si="29"/>
        <v>1200000</v>
      </c>
      <c r="BM21" s="724" t="s">
        <v>426</v>
      </c>
      <c r="BN21" s="725"/>
      <c r="BO21" s="726">
        <f t="shared" si="25"/>
        <v>1200000</v>
      </c>
      <c r="BP21" s="726"/>
      <c r="BQ21" s="726"/>
      <c r="BR21" s="726"/>
      <c r="BS21" s="726">
        <f t="shared" si="18"/>
        <v>1200000</v>
      </c>
      <c r="BT21" s="726"/>
      <c r="BU21" s="726"/>
      <c r="BV21" s="726"/>
      <c r="BW21" s="727">
        <f t="shared" si="22"/>
        <v>1200000</v>
      </c>
      <c r="BX21" s="725"/>
      <c r="BY21" s="725"/>
      <c r="BZ21" s="725"/>
      <c r="CA21" s="725"/>
      <c r="CB21" s="725"/>
      <c r="CC21" s="725"/>
      <c r="CD21" s="725"/>
      <c r="CE21" s="725"/>
      <c r="CF21" s="725"/>
      <c r="CG21" s="725"/>
      <c r="CH21" s="725"/>
      <c r="CI21" s="725"/>
      <c r="CJ21" s="725"/>
      <c r="CK21" s="725"/>
      <c r="CL21" s="725"/>
      <c r="CM21" s="725"/>
      <c r="CN21" s="725"/>
      <c r="CO21" s="725"/>
      <c r="CP21" s="725"/>
      <c r="CQ21" s="725"/>
      <c r="CR21" s="725"/>
      <c r="CS21" s="725"/>
      <c r="CT21" s="725"/>
      <c r="CU21" s="725"/>
      <c r="CV21" s="725"/>
      <c r="CW21" s="725"/>
      <c r="CX21" s="725"/>
      <c r="CY21" s="725"/>
      <c r="CZ21" s="725"/>
      <c r="DA21" s="725"/>
      <c r="DB21" s="725"/>
      <c r="DC21" s="725"/>
      <c r="DD21" s="725"/>
      <c r="DE21" s="725"/>
      <c r="DF21" s="725"/>
      <c r="DG21" s="725"/>
      <c r="DH21" s="725"/>
      <c r="DI21" s="725"/>
      <c r="DJ21" s="725"/>
      <c r="DK21" s="725"/>
      <c r="DL21" s="725"/>
      <c r="DM21" s="725"/>
      <c r="DN21" s="725"/>
      <c r="DO21" s="725"/>
      <c r="DP21" s="725"/>
      <c r="DQ21" s="725"/>
      <c r="DR21" s="725"/>
      <c r="DS21" s="725"/>
      <c r="DT21" s="725"/>
      <c r="DU21" s="725"/>
      <c r="DV21" s="725"/>
      <c r="DW21" s="725"/>
      <c r="DX21" s="725"/>
      <c r="DY21" s="725"/>
      <c r="DZ21" s="725"/>
      <c r="EA21" s="725"/>
      <c r="EB21" s="725"/>
      <c r="EC21" s="725"/>
      <c r="ED21" s="725"/>
      <c r="EE21" s="725"/>
      <c r="EF21" s="725"/>
      <c r="EG21" s="725"/>
      <c r="EH21" s="725"/>
      <c r="EI21" s="725"/>
      <c r="EJ21" s="725"/>
      <c r="EK21" s="725"/>
      <c r="EL21" s="725"/>
      <c r="EM21" s="725"/>
      <c r="EN21" s="725"/>
      <c r="EO21" s="725"/>
      <c r="EP21" s="725"/>
      <c r="EQ21" s="725"/>
      <c r="ER21" s="725"/>
      <c r="ES21" s="725"/>
      <c r="ET21" s="725"/>
      <c r="EU21" s="725"/>
      <c r="EV21" s="725"/>
      <c r="EW21" s="725"/>
      <c r="EX21" s="725"/>
      <c r="EY21" s="725"/>
      <c r="EZ21" s="725"/>
      <c r="FA21" s="725"/>
      <c r="FB21" s="725"/>
      <c r="FC21" s="725"/>
      <c r="FD21" s="725"/>
    </row>
    <row r="22" spans="1:160" s="775" customFormat="1">
      <c r="A22" s="956"/>
      <c r="B22" s="768"/>
      <c r="C22" s="776">
        <v>31310</v>
      </c>
      <c r="D22" s="767" t="s">
        <v>559</v>
      </c>
      <c r="E22" s="724" t="s">
        <v>248</v>
      </c>
      <c r="F22" s="711">
        <v>1000000</v>
      </c>
      <c r="G22" s="774">
        <f t="shared" si="26"/>
        <v>20</v>
      </c>
      <c r="H22" s="668">
        <f t="shared" si="27"/>
        <v>20000000</v>
      </c>
      <c r="I22" s="759"/>
      <c r="J22" s="759"/>
      <c r="K22" s="759"/>
      <c r="L22" s="759"/>
      <c r="M22" s="668">
        <f>H22</f>
        <v>20000000</v>
      </c>
      <c r="N22" s="759"/>
      <c r="O22" s="759"/>
      <c r="P22" s="759"/>
      <c r="Q22" s="759"/>
      <c r="R22" s="759"/>
      <c r="S22" s="770">
        <f>G22*0.25</f>
        <v>5</v>
      </c>
      <c r="T22" s="770">
        <f>G22*0.25</f>
        <v>5</v>
      </c>
      <c r="U22" s="770">
        <f>G22*0.25</f>
        <v>5</v>
      </c>
      <c r="V22" s="770">
        <f>G22*0.25</f>
        <v>5</v>
      </c>
      <c r="W22" s="759">
        <f>S22*H22</f>
        <v>100000000</v>
      </c>
      <c r="X22" s="759">
        <f>T22*H22</f>
        <v>100000000</v>
      </c>
      <c r="Y22" s="759">
        <f>U22*H22</f>
        <v>100000000</v>
      </c>
      <c r="Z22" s="759">
        <f>V22*H22</f>
        <v>100000000</v>
      </c>
      <c r="AA22" s="764">
        <v>2</v>
      </c>
      <c r="AB22" s="668">
        <f t="shared" si="2"/>
        <v>2000000</v>
      </c>
      <c r="AC22" s="764">
        <v>1</v>
      </c>
      <c r="AD22" s="668">
        <f t="shared" si="3"/>
        <v>1000000</v>
      </c>
      <c r="AE22" s="764">
        <v>2</v>
      </c>
      <c r="AF22" s="668">
        <f t="shared" si="4"/>
        <v>2000000</v>
      </c>
      <c r="AG22" s="764">
        <v>3</v>
      </c>
      <c r="AH22" s="668">
        <f t="shared" si="5"/>
        <v>3000000</v>
      </c>
      <c r="AI22" s="764">
        <v>2</v>
      </c>
      <c r="AJ22" s="668">
        <f t="shared" si="6"/>
        <v>2000000</v>
      </c>
      <c r="AK22" s="764">
        <v>1</v>
      </c>
      <c r="AL22" s="668">
        <f t="shared" si="7"/>
        <v>1000000</v>
      </c>
      <c r="AM22" s="764">
        <v>0</v>
      </c>
      <c r="AN22" s="668">
        <f t="shared" si="8"/>
        <v>0</v>
      </c>
      <c r="AO22" s="764">
        <v>0</v>
      </c>
      <c r="AP22" s="668">
        <f t="shared" si="9"/>
        <v>0</v>
      </c>
      <c r="AQ22" s="764">
        <v>0</v>
      </c>
      <c r="AR22" s="668">
        <f t="shared" si="10"/>
        <v>0</v>
      </c>
      <c r="AS22" s="764">
        <v>1</v>
      </c>
      <c r="AT22" s="668">
        <f t="shared" si="11"/>
        <v>1000000</v>
      </c>
      <c r="AU22" s="764">
        <v>1</v>
      </c>
      <c r="AV22" s="668">
        <f t="shared" si="12"/>
        <v>1000000</v>
      </c>
      <c r="AW22" s="764">
        <v>1</v>
      </c>
      <c r="AX22" s="668">
        <f t="shared" si="13"/>
        <v>1000000</v>
      </c>
      <c r="AY22" s="764">
        <v>1</v>
      </c>
      <c r="AZ22" s="668">
        <f t="shared" si="14"/>
        <v>1000000</v>
      </c>
      <c r="BA22" s="764">
        <v>1</v>
      </c>
      <c r="BB22" s="668">
        <f t="shared" si="15"/>
        <v>1000000</v>
      </c>
      <c r="BC22" s="764">
        <v>3</v>
      </c>
      <c r="BD22" s="668">
        <f t="shared" si="16"/>
        <v>3000000</v>
      </c>
      <c r="BE22" s="764">
        <v>0</v>
      </c>
      <c r="BF22" s="668">
        <f t="shared" si="17"/>
        <v>0</v>
      </c>
      <c r="BG22" s="764">
        <v>1</v>
      </c>
      <c r="BH22" s="668">
        <f t="shared" si="28"/>
        <v>1000000</v>
      </c>
      <c r="BI22" s="764"/>
      <c r="BJ22" s="668">
        <f>BI22*F22</f>
        <v>0</v>
      </c>
      <c r="BK22" s="764">
        <f t="shared" si="29"/>
        <v>20</v>
      </c>
      <c r="BL22" s="668">
        <f t="shared" si="29"/>
        <v>20000000</v>
      </c>
      <c r="BM22" s="724" t="s">
        <v>426</v>
      </c>
      <c r="BN22" s="725"/>
      <c r="BO22" s="726">
        <f t="shared" si="25"/>
        <v>20000000</v>
      </c>
      <c r="BP22" s="726"/>
      <c r="BQ22" s="726"/>
      <c r="BR22" s="726"/>
      <c r="BS22" s="726">
        <f t="shared" si="18"/>
        <v>20000000</v>
      </c>
      <c r="BT22" s="726"/>
      <c r="BU22" s="726"/>
      <c r="BV22" s="726">
        <f>BT22+BU22</f>
        <v>0</v>
      </c>
      <c r="BW22" s="727">
        <f t="shared" si="22"/>
        <v>20000000</v>
      </c>
      <c r="BX22" s="725"/>
      <c r="BY22" s="725"/>
      <c r="BZ22" s="725"/>
      <c r="CA22" s="725"/>
      <c r="CB22" s="725"/>
      <c r="CC22" s="725"/>
      <c r="CD22" s="725"/>
      <c r="CE22" s="725"/>
      <c r="CF22" s="725"/>
      <c r="CG22" s="725"/>
      <c r="CH22" s="725"/>
      <c r="CI22" s="725"/>
      <c r="CJ22" s="725"/>
      <c r="CK22" s="725"/>
      <c r="CL22" s="725"/>
      <c r="CM22" s="725"/>
      <c r="CN22" s="725"/>
      <c r="CO22" s="725"/>
      <c r="CP22" s="725"/>
      <c r="CQ22" s="725"/>
      <c r="CR22" s="725"/>
      <c r="CS22" s="725"/>
      <c r="CT22" s="725"/>
      <c r="CU22" s="725"/>
      <c r="CV22" s="725"/>
      <c r="CW22" s="725"/>
      <c r="CX22" s="725"/>
      <c r="CY22" s="725"/>
      <c r="CZ22" s="725"/>
      <c r="DA22" s="725"/>
      <c r="DB22" s="725"/>
      <c r="DC22" s="725"/>
      <c r="DD22" s="725"/>
      <c r="DE22" s="725"/>
      <c r="DF22" s="725"/>
      <c r="DG22" s="725"/>
      <c r="DH22" s="725"/>
      <c r="DI22" s="725"/>
      <c r="DJ22" s="725"/>
      <c r="DK22" s="725"/>
      <c r="DL22" s="725"/>
      <c r="DM22" s="725"/>
      <c r="DN22" s="725"/>
      <c r="DO22" s="725"/>
      <c r="DP22" s="725"/>
      <c r="DQ22" s="725"/>
      <c r="DR22" s="725"/>
      <c r="DS22" s="725"/>
      <c r="DT22" s="725"/>
      <c r="DU22" s="725"/>
      <c r="DV22" s="725"/>
      <c r="DW22" s="725"/>
      <c r="DX22" s="725"/>
      <c r="DY22" s="725"/>
      <c r="DZ22" s="725"/>
      <c r="EA22" s="725"/>
      <c r="EB22" s="725"/>
      <c r="EC22" s="725"/>
      <c r="ED22" s="725"/>
      <c r="EE22" s="725"/>
      <c r="EF22" s="725"/>
      <c r="EG22" s="725"/>
      <c r="EH22" s="725"/>
      <c r="EI22" s="725"/>
      <c r="EJ22" s="725"/>
      <c r="EK22" s="725"/>
      <c r="EL22" s="725"/>
      <c r="EM22" s="725"/>
      <c r="EN22" s="725"/>
      <c r="EO22" s="725"/>
      <c r="EP22" s="725"/>
      <c r="EQ22" s="725"/>
      <c r="ER22" s="725"/>
      <c r="ES22" s="725"/>
      <c r="ET22" s="725"/>
      <c r="EU22" s="725"/>
      <c r="EV22" s="725"/>
      <c r="EW22" s="725"/>
      <c r="EX22" s="725"/>
      <c r="EY22" s="725"/>
      <c r="EZ22" s="725"/>
      <c r="FA22" s="725"/>
      <c r="FB22" s="725"/>
      <c r="FC22" s="725"/>
      <c r="FD22" s="725"/>
    </row>
    <row r="23" spans="1:160" s="775" customFormat="1">
      <c r="A23" s="956"/>
      <c r="B23" s="768"/>
      <c r="C23" s="776"/>
      <c r="D23" s="767" t="s">
        <v>995</v>
      </c>
      <c r="E23" s="724" t="s">
        <v>248</v>
      </c>
      <c r="F23" s="711">
        <v>500000</v>
      </c>
      <c r="G23" s="774">
        <f t="shared" si="26"/>
        <v>12</v>
      </c>
      <c r="H23" s="774">
        <f t="shared" si="26"/>
        <v>5660000</v>
      </c>
      <c r="I23" s="759"/>
      <c r="J23" s="759"/>
      <c r="K23" s="759"/>
      <c r="L23" s="759"/>
      <c r="M23" s="668">
        <f>H23</f>
        <v>5660000</v>
      </c>
      <c r="N23" s="759"/>
      <c r="O23" s="759"/>
      <c r="P23" s="759"/>
      <c r="Q23" s="759"/>
      <c r="R23" s="759"/>
      <c r="S23" s="770"/>
      <c r="T23" s="770"/>
      <c r="U23" s="770"/>
      <c r="V23" s="770"/>
      <c r="W23" s="759"/>
      <c r="X23" s="759"/>
      <c r="Y23" s="759"/>
      <c r="Z23" s="759"/>
      <c r="AA23" s="764">
        <v>1</v>
      </c>
      <c r="AB23" s="668">
        <f t="shared" si="2"/>
        <v>500000</v>
      </c>
      <c r="AC23" s="764">
        <v>0</v>
      </c>
      <c r="AD23" s="668">
        <f t="shared" si="3"/>
        <v>0</v>
      </c>
      <c r="AE23" s="764">
        <v>1</v>
      </c>
      <c r="AF23" s="668">
        <f t="shared" si="4"/>
        <v>500000</v>
      </c>
      <c r="AG23" s="764">
        <v>1</v>
      </c>
      <c r="AH23" s="668">
        <f t="shared" si="5"/>
        <v>500000</v>
      </c>
      <c r="AI23" s="764">
        <v>1</v>
      </c>
      <c r="AJ23" s="668">
        <f t="shared" si="6"/>
        <v>500000</v>
      </c>
      <c r="AK23" s="764">
        <v>1</v>
      </c>
      <c r="AL23" s="668">
        <f t="shared" si="7"/>
        <v>500000</v>
      </c>
      <c r="AM23" s="764">
        <v>2</v>
      </c>
      <c r="AN23" s="668">
        <v>660000</v>
      </c>
      <c r="AO23" s="764">
        <v>0</v>
      </c>
      <c r="AP23" s="668">
        <f t="shared" si="9"/>
        <v>0</v>
      </c>
      <c r="AQ23" s="764">
        <v>0</v>
      </c>
      <c r="AR23" s="668">
        <f t="shared" si="10"/>
        <v>0</v>
      </c>
      <c r="AS23" s="764">
        <v>1</v>
      </c>
      <c r="AT23" s="668">
        <f t="shared" si="11"/>
        <v>500000</v>
      </c>
      <c r="AU23" s="764">
        <v>1</v>
      </c>
      <c r="AV23" s="668">
        <f t="shared" si="12"/>
        <v>500000</v>
      </c>
      <c r="AW23" s="764">
        <v>1</v>
      </c>
      <c r="AX23" s="668">
        <f t="shared" si="13"/>
        <v>500000</v>
      </c>
      <c r="AY23" s="764">
        <v>0</v>
      </c>
      <c r="AZ23" s="668">
        <f t="shared" si="14"/>
        <v>0</v>
      </c>
      <c r="BA23" s="764">
        <v>1</v>
      </c>
      <c r="BB23" s="668">
        <f t="shared" si="15"/>
        <v>500000</v>
      </c>
      <c r="BC23" s="764">
        <v>1</v>
      </c>
      <c r="BD23" s="668">
        <f t="shared" si="16"/>
        <v>500000</v>
      </c>
      <c r="BE23" s="764">
        <v>0</v>
      </c>
      <c r="BF23" s="668">
        <f t="shared" si="17"/>
        <v>0</v>
      </c>
      <c r="BG23" s="764">
        <v>0</v>
      </c>
      <c r="BH23" s="668">
        <f t="shared" si="28"/>
        <v>0</v>
      </c>
      <c r="BI23" s="764"/>
      <c r="BJ23" s="668"/>
      <c r="BK23" s="764">
        <f t="shared" ref="BK23" si="30">AA23+AC23+AE23+AG23+AI23+AK23+AM23+AO23+AQ23+AS23+AU23+AW23+AY23+BA23+BC23+BE23+BG23+BI23</f>
        <v>12</v>
      </c>
      <c r="BL23" s="668">
        <f t="shared" ref="BL23" si="31">AB23+AD23+AF23+AH23+AJ23+AL23+AN23+AP23+AR23+AT23+AV23+AX23+AZ23+BB23+BD23+BF23+BH23+BJ23</f>
        <v>5660000</v>
      </c>
      <c r="BM23" s="724" t="s">
        <v>426</v>
      </c>
      <c r="BN23" s="725"/>
      <c r="BO23" s="726"/>
      <c r="BP23" s="726"/>
      <c r="BQ23" s="726"/>
      <c r="BR23" s="726"/>
      <c r="BS23" s="726"/>
      <c r="BT23" s="726"/>
      <c r="BU23" s="726"/>
      <c r="BV23" s="726"/>
      <c r="BW23" s="727"/>
      <c r="BX23" s="725"/>
      <c r="BY23" s="725"/>
      <c r="BZ23" s="725"/>
      <c r="CA23" s="725"/>
      <c r="CB23" s="725"/>
      <c r="CC23" s="725"/>
      <c r="CD23" s="725"/>
      <c r="CE23" s="725"/>
      <c r="CF23" s="725"/>
      <c r="CG23" s="725"/>
      <c r="CH23" s="725"/>
      <c r="CI23" s="725"/>
      <c r="CJ23" s="725"/>
      <c r="CK23" s="725"/>
      <c r="CL23" s="725"/>
      <c r="CM23" s="725"/>
      <c r="CN23" s="725"/>
      <c r="CO23" s="725"/>
      <c r="CP23" s="725"/>
      <c r="CQ23" s="725"/>
      <c r="CR23" s="725"/>
      <c r="CS23" s="725"/>
      <c r="CT23" s="725"/>
      <c r="CU23" s="725"/>
      <c r="CV23" s="725"/>
      <c r="CW23" s="725"/>
      <c r="CX23" s="725"/>
      <c r="CY23" s="725"/>
      <c r="CZ23" s="725"/>
      <c r="DA23" s="725"/>
      <c r="DB23" s="725"/>
      <c r="DC23" s="725"/>
      <c r="DD23" s="725"/>
      <c r="DE23" s="725"/>
      <c r="DF23" s="725"/>
      <c r="DG23" s="725"/>
      <c r="DH23" s="725"/>
      <c r="DI23" s="725"/>
      <c r="DJ23" s="725"/>
      <c r="DK23" s="725"/>
      <c r="DL23" s="725"/>
      <c r="DM23" s="725"/>
      <c r="DN23" s="725"/>
      <c r="DO23" s="725"/>
      <c r="DP23" s="725"/>
      <c r="DQ23" s="725"/>
      <c r="DR23" s="725"/>
      <c r="DS23" s="725"/>
      <c r="DT23" s="725"/>
      <c r="DU23" s="725"/>
      <c r="DV23" s="725"/>
      <c r="DW23" s="725"/>
      <c r="DX23" s="725"/>
      <c r="DY23" s="725"/>
      <c r="DZ23" s="725"/>
      <c r="EA23" s="725"/>
      <c r="EB23" s="725"/>
      <c r="EC23" s="725"/>
      <c r="ED23" s="725"/>
      <c r="EE23" s="725"/>
      <c r="EF23" s="725"/>
      <c r="EG23" s="725"/>
      <c r="EH23" s="725"/>
      <c r="EI23" s="725"/>
      <c r="EJ23" s="725"/>
      <c r="EK23" s="725"/>
      <c r="EL23" s="725"/>
      <c r="EM23" s="725"/>
      <c r="EN23" s="725"/>
      <c r="EO23" s="725"/>
      <c r="EP23" s="725"/>
      <c r="EQ23" s="725"/>
      <c r="ER23" s="725"/>
      <c r="ES23" s="725"/>
      <c r="ET23" s="725"/>
      <c r="EU23" s="725"/>
      <c r="EV23" s="725"/>
      <c r="EW23" s="725"/>
      <c r="EX23" s="725"/>
      <c r="EY23" s="725"/>
      <c r="EZ23" s="725"/>
      <c r="FA23" s="725"/>
      <c r="FB23" s="725"/>
      <c r="FC23" s="725"/>
      <c r="FD23" s="725"/>
    </row>
    <row r="24" spans="1:160" s="775" customFormat="1">
      <c r="A24" s="956"/>
      <c r="B24" s="768"/>
      <c r="C24" s="776"/>
      <c r="D24" s="767" t="s">
        <v>1007</v>
      </c>
      <c r="E24" s="724" t="s">
        <v>248</v>
      </c>
      <c r="F24" s="711">
        <v>700000</v>
      </c>
      <c r="G24" s="774">
        <f t="shared" si="26"/>
        <v>1</v>
      </c>
      <c r="H24" s="668">
        <f t="shared" si="27"/>
        <v>700000</v>
      </c>
      <c r="I24" s="759"/>
      <c r="J24" s="759"/>
      <c r="K24" s="759">
        <f>H24</f>
        <v>700000</v>
      </c>
      <c r="L24" s="759"/>
      <c r="M24" s="668"/>
      <c r="N24" s="759"/>
      <c r="O24" s="759"/>
      <c r="P24" s="759"/>
      <c r="Q24" s="759"/>
      <c r="R24" s="759"/>
      <c r="S24" s="770"/>
      <c r="T24" s="770"/>
      <c r="U24" s="770"/>
      <c r="V24" s="770"/>
      <c r="W24" s="759"/>
      <c r="X24" s="759"/>
      <c r="Y24" s="759"/>
      <c r="Z24" s="759"/>
      <c r="AA24" s="764"/>
      <c r="AB24" s="668"/>
      <c r="AC24" s="764"/>
      <c r="AD24" s="668"/>
      <c r="AE24" s="764"/>
      <c r="AF24" s="668"/>
      <c r="AG24" s="764"/>
      <c r="AH24" s="668"/>
      <c r="AI24" s="764"/>
      <c r="AJ24" s="668"/>
      <c r="AK24" s="764"/>
      <c r="AL24" s="668"/>
      <c r="AM24" s="764">
        <v>1</v>
      </c>
      <c r="AN24" s="668">
        <f>AM24*F24</f>
        <v>700000</v>
      </c>
      <c r="AO24" s="764"/>
      <c r="AP24" s="668"/>
      <c r="AQ24" s="764"/>
      <c r="AR24" s="668"/>
      <c r="AS24" s="764"/>
      <c r="AT24" s="668"/>
      <c r="AU24" s="764"/>
      <c r="AV24" s="668"/>
      <c r="AW24" s="764"/>
      <c r="AX24" s="668"/>
      <c r="AY24" s="764"/>
      <c r="AZ24" s="668"/>
      <c r="BA24" s="764"/>
      <c r="BB24" s="668"/>
      <c r="BC24" s="764"/>
      <c r="BD24" s="668"/>
      <c r="BE24" s="764"/>
      <c r="BF24" s="668"/>
      <c r="BG24" s="764"/>
      <c r="BH24" s="668"/>
      <c r="BI24" s="764"/>
      <c r="BJ24" s="668"/>
      <c r="BK24" s="764">
        <f t="shared" ref="BK24" si="32">AA24+AC24+AE24+AG24+AI24+AK24+AM24+AO24+AQ24+AS24+AU24+AW24+AY24+BA24+BC24+BE24+BG24+BI24</f>
        <v>1</v>
      </c>
      <c r="BL24" s="668">
        <f t="shared" ref="BL24" si="33">AB24+AD24+AF24+AH24+AJ24+AL24+AN24+AP24+AR24+AT24+AV24+AX24+AZ24+BB24+BD24+BF24+BH24+BJ24</f>
        <v>700000</v>
      </c>
      <c r="BM24" s="724" t="s">
        <v>1008</v>
      </c>
      <c r="BN24" s="725"/>
      <c r="BO24" s="726"/>
      <c r="BP24" s="726"/>
      <c r="BQ24" s="726"/>
      <c r="BR24" s="726"/>
      <c r="BS24" s="726"/>
      <c r="BT24" s="726"/>
      <c r="BU24" s="726"/>
      <c r="BV24" s="726"/>
      <c r="BW24" s="727"/>
      <c r="BX24" s="725"/>
      <c r="BY24" s="725"/>
      <c r="BZ24" s="725"/>
      <c r="CA24" s="725"/>
      <c r="CB24" s="725"/>
      <c r="CC24" s="725"/>
      <c r="CD24" s="725"/>
      <c r="CE24" s="725"/>
      <c r="CF24" s="725"/>
      <c r="CG24" s="725"/>
      <c r="CH24" s="725"/>
      <c r="CI24" s="725"/>
      <c r="CJ24" s="725"/>
      <c r="CK24" s="725"/>
      <c r="CL24" s="725"/>
      <c r="CM24" s="725"/>
      <c r="CN24" s="725"/>
      <c r="CO24" s="725"/>
      <c r="CP24" s="725"/>
      <c r="CQ24" s="725"/>
      <c r="CR24" s="725"/>
      <c r="CS24" s="725"/>
      <c r="CT24" s="725"/>
      <c r="CU24" s="725"/>
      <c r="CV24" s="725"/>
      <c r="CW24" s="725"/>
      <c r="CX24" s="725"/>
      <c r="CY24" s="725"/>
      <c r="CZ24" s="725"/>
      <c r="DA24" s="725"/>
      <c r="DB24" s="725"/>
      <c r="DC24" s="725"/>
      <c r="DD24" s="725"/>
      <c r="DE24" s="725"/>
      <c r="DF24" s="725"/>
      <c r="DG24" s="725"/>
      <c r="DH24" s="725"/>
      <c r="DI24" s="725"/>
      <c r="DJ24" s="725"/>
      <c r="DK24" s="725"/>
      <c r="DL24" s="725"/>
      <c r="DM24" s="725"/>
      <c r="DN24" s="725"/>
      <c r="DO24" s="725"/>
      <c r="DP24" s="725"/>
      <c r="DQ24" s="725"/>
      <c r="DR24" s="725"/>
      <c r="DS24" s="725"/>
      <c r="DT24" s="725"/>
      <c r="DU24" s="725"/>
      <c r="DV24" s="725"/>
      <c r="DW24" s="725"/>
      <c r="DX24" s="725"/>
      <c r="DY24" s="725"/>
      <c r="DZ24" s="725"/>
      <c r="EA24" s="725"/>
      <c r="EB24" s="725"/>
      <c r="EC24" s="725"/>
      <c r="ED24" s="725"/>
      <c r="EE24" s="725"/>
      <c r="EF24" s="725"/>
      <c r="EG24" s="725"/>
      <c r="EH24" s="725"/>
      <c r="EI24" s="725"/>
      <c r="EJ24" s="725"/>
      <c r="EK24" s="725"/>
      <c r="EL24" s="725"/>
      <c r="EM24" s="725"/>
      <c r="EN24" s="725"/>
      <c r="EO24" s="725"/>
      <c r="EP24" s="725"/>
      <c r="EQ24" s="725"/>
      <c r="ER24" s="725"/>
      <c r="ES24" s="725"/>
      <c r="ET24" s="725"/>
      <c r="EU24" s="725"/>
      <c r="EV24" s="725"/>
      <c r="EW24" s="725"/>
      <c r="EX24" s="725"/>
      <c r="EY24" s="725"/>
      <c r="EZ24" s="725"/>
      <c r="FA24" s="725"/>
      <c r="FB24" s="725"/>
      <c r="FC24" s="725"/>
      <c r="FD24" s="725"/>
    </row>
    <row r="25" spans="1:160" s="775" customFormat="1">
      <c r="A25" s="956"/>
      <c r="B25" s="768"/>
      <c r="C25" s="776"/>
      <c r="D25" s="767" t="s">
        <v>560</v>
      </c>
      <c r="E25" s="724" t="s">
        <v>248</v>
      </c>
      <c r="F25" s="711">
        <v>1200000</v>
      </c>
      <c r="G25" s="774">
        <f t="shared" si="26"/>
        <v>2</v>
      </c>
      <c r="H25" s="668">
        <f t="shared" si="27"/>
        <v>2400000</v>
      </c>
      <c r="I25" s="759"/>
      <c r="J25" s="759"/>
      <c r="K25" s="759"/>
      <c r="L25" s="759"/>
      <c r="M25" s="668">
        <f>H25</f>
        <v>2400000</v>
      </c>
      <c r="N25" s="759"/>
      <c r="O25" s="759"/>
      <c r="P25" s="759"/>
      <c r="Q25" s="759"/>
      <c r="R25" s="759"/>
      <c r="S25" s="770">
        <f>G25*0.25</f>
        <v>0.5</v>
      </c>
      <c r="T25" s="770">
        <f>G25*0.25</f>
        <v>0.5</v>
      </c>
      <c r="U25" s="770">
        <f>G25*0.25</f>
        <v>0.5</v>
      </c>
      <c r="V25" s="770">
        <f>G25*0.25</f>
        <v>0.5</v>
      </c>
      <c r="W25" s="759">
        <f>S25*H25</f>
        <v>1200000</v>
      </c>
      <c r="X25" s="759">
        <f>T25*H25</f>
        <v>1200000</v>
      </c>
      <c r="Y25" s="759">
        <f>U25*H25</f>
        <v>1200000</v>
      </c>
      <c r="Z25" s="759">
        <f>V25*H25</f>
        <v>1200000</v>
      </c>
      <c r="AA25" s="764">
        <v>0</v>
      </c>
      <c r="AB25" s="668"/>
      <c r="AC25" s="764"/>
      <c r="AD25" s="668"/>
      <c r="AE25" s="764">
        <v>2</v>
      </c>
      <c r="AF25" s="668">
        <f t="shared" si="4"/>
        <v>2400000</v>
      </c>
      <c r="AG25" s="764">
        <v>0</v>
      </c>
      <c r="AH25" s="668">
        <f t="shared" si="5"/>
        <v>0</v>
      </c>
      <c r="AI25" s="764">
        <v>0</v>
      </c>
      <c r="AJ25" s="668">
        <f t="shared" si="6"/>
        <v>0</v>
      </c>
      <c r="AK25" s="764">
        <v>0</v>
      </c>
      <c r="AL25" s="668"/>
      <c r="AM25" s="764"/>
      <c r="AN25" s="668"/>
      <c r="AO25" s="764">
        <v>0</v>
      </c>
      <c r="AP25" s="668"/>
      <c r="AQ25" s="764"/>
      <c r="AR25" s="668"/>
      <c r="AS25" s="764"/>
      <c r="AT25" s="668"/>
      <c r="AU25" s="764"/>
      <c r="AV25" s="668"/>
      <c r="AW25" s="764"/>
      <c r="AX25" s="668"/>
      <c r="AY25" s="764"/>
      <c r="AZ25" s="668"/>
      <c r="BA25" s="764"/>
      <c r="BB25" s="668"/>
      <c r="BC25" s="764"/>
      <c r="BD25" s="668"/>
      <c r="BE25" s="764">
        <v>0</v>
      </c>
      <c r="BF25" s="668"/>
      <c r="BG25" s="764">
        <v>0</v>
      </c>
      <c r="BH25" s="668">
        <f t="shared" si="28"/>
        <v>0</v>
      </c>
      <c r="BI25" s="764"/>
      <c r="BJ25" s="668"/>
      <c r="BK25" s="764">
        <f t="shared" si="29"/>
        <v>2</v>
      </c>
      <c r="BL25" s="668">
        <f t="shared" si="29"/>
        <v>2400000</v>
      </c>
      <c r="BM25" s="724" t="s">
        <v>426</v>
      </c>
      <c r="BN25" s="725"/>
      <c r="BO25" s="726">
        <f t="shared" si="25"/>
        <v>2400000</v>
      </c>
      <c r="BP25" s="726"/>
      <c r="BQ25" s="726"/>
      <c r="BR25" s="726"/>
      <c r="BS25" s="726">
        <f t="shared" si="18"/>
        <v>2400000</v>
      </c>
      <c r="BT25" s="726"/>
      <c r="BU25" s="726"/>
      <c r="BV25" s="726"/>
      <c r="BW25" s="727">
        <f t="shared" si="22"/>
        <v>2400000</v>
      </c>
      <c r="BX25" s="725"/>
      <c r="BY25" s="725"/>
      <c r="BZ25" s="725"/>
      <c r="CA25" s="725"/>
      <c r="CB25" s="725"/>
      <c r="CC25" s="725"/>
      <c r="CD25" s="725"/>
      <c r="CE25" s="725"/>
      <c r="CF25" s="725"/>
      <c r="CG25" s="725"/>
      <c r="CH25" s="725"/>
      <c r="CI25" s="725"/>
      <c r="CJ25" s="725"/>
      <c r="CK25" s="725"/>
      <c r="CL25" s="725"/>
      <c r="CM25" s="725"/>
      <c r="CN25" s="725"/>
      <c r="CO25" s="725"/>
      <c r="CP25" s="725"/>
      <c r="CQ25" s="725"/>
      <c r="CR25" s="725"/>
      <c r="CS25" s="725"/>
      <c r="CT25" s="725"/>
      <c r="CU25" s="725"/>
      <c r="CV25" s="725"/>
      <c r="CW25" s="725"/>
      <c r="CX25" s="725"/>
      <c r="CY25" s="725"/>
      <c r="CZ25" s="725"/>
      <c r="DA25" s="725"/>
      <c r="DB25" s="725"/>
      <c r="DC25" s="725"/>
      <c r="DD25" s="725"/>
      <c r="DE25" s="725"/>
      <c r="DF25" s="725"/>
      <c r="DG25" s="725"/>
      <c r="DH25" s="725"/>
      <c r="DI25" s="725"/>
      <c r="DJ25" s="725"/>
      <c r="DK25" s="725"/>
      <c r="DL25" s="725"/>
      <c r="DM25" s="725"/>
      <c r="DN25" s="725"/>
      <c r="DO25" s="725"/>
      <c r="DP25" s="725"/>
      <c r="DQ25" s="725"/>
      <c r="DR25" s="725"/>
      <c r="DS25" s="725"/>
      <c r="DT25" s="725"/>
      <c r="DU25" s="725"/>
      <c r="DV25" s="725"/>
      <c r="DW25" s="725"/>
      <c r="DX25" s="725"/>
      <c r="DY25" s="725"/>
      <c r="DZ25" s="725"/>
      <c r="EA25" s="725"/>
      <c r="EB25" s="725"/>
      <c r="EC25" s="725"/>
      <c r="ED25" s="725"/>
      <c r="EE25" s="725"/>
      <c r="EF25" s="725"/>
      <c r="EG25" s="725"/>
      <c r="EH25" s="725"/>
      <c r="EI25" s="725"/>
      <c r="EJ25" s="725"/>
      <c r="EK25" s="725"/>
      <c r="EL25" s="725"/>
      <c r="EM25" s="725"/>
      <c r="EN25" s="725"/>
      <c r="EO25" s="725"/>
      <c r="EP25" s="725"/>
      <c r="EQ25" s="725"/>
      <c r="ER25" s="725"/>
      <c r="ES25" s="725"/>
      <c r="ET25" s="725"/>
      <c r="EU25" s="725"/>
      <c r="EV25" s="725"/>
      <c r="EW25" s="725"/>
      <c r="EX25" s="725"/>
      <c r="EY25" s="725"/>
      <c r="EZ25" s="725"/>
      <c r="FA25" s="725"/>
      <c r="FB25" s="725"/>
      <c r="FC25" s="725"/>
      <c r="FD25" s="725"/>
    </row>
    <row r="26" spans="1:160">
      <c r="A26" s="956"/>
      <c r="B26" s="338"/>
      <c r="C26" s="342"/>
      <c r="D26" s="166" t="s">
        <v>561</v>
      </c>
      <c r="E26" s="159" t="s">
        <v>248</v>
      </c>
      <c r="F26" s="135">
        <v>8000000</v>
      </c>
      <c r="G26" s="283">
        <f t="shared" si="26"/>
        <v>0</v>
      </c>
      <c r="H26" s="202">
        <f t="shared" si="27"/>
        <v>0</v>
      </c>
      <c r="I26" s="334"/>
      <c r="J26" s="334"/>
      <c r="K26" s="334"/>
      <c r="L26" s="334"/>
      <c r="M26" s="668">
        <f>H26</f>
        <v>0</v>
      </c>
      <c r="N26" s="334"/>
      <c r="O26" s="334"/>
      <c r="P26" s="334"/>
      <c r="Q26" s="334"/>
      <c r="R26" s="334"/>
      <c r="S26" s="180">
        <f>G26*0.25</f>
        <v>0</v>
      </c>
      <c r="T26" s="180">
        <f>G26*0.25</f>
        <v>0</v>
      </c>
      <c r="U26" s="180">
        <f>G26*0.25</f>
        <v>0</v>
      </c>
      <c r="V26" s="180">
        <f>G26*0.25</f>
        <v>0</v>
      </c>
      <c r="W26" s="334">
        <f>S26*H26</f>
        <v>0</v>
      </c>
      <c r="X26" s="334">
        <f>T26*H26</f>
        <v>0</v>
      </c>
      <c r="Y26" s="334">
        <f>U26*H26</f>
        <v>0</v>
      </c>
      <c r="Z26" s="334">
        <f>V26*H26</f>
        <v>0</v>
      </c>
      <c r="AA26" s="150"/>
      <c r="AB26" s="202"/>
      <c r="AC26" s="150"/>
      <c r="AD26" s="202"/>
      <c r="AE26" s="150">
        <v>0</v>
      </c>
      <c r="AF26" s="202">
        <f t="shared" si="4"/>
        <v>0</v>
      </c>
      <c r="AG26" s="150">
        <v>0</v>
      </c>
      <c r="AH26" s="202">
        <f t="shared" si="5"/>
        <v>0</v>
      </c>
      <c r="AI26" s="150">
        <v>0</v>
      </c>
      <c r="AJ26" s="202">
        <f t="shared" si="6"/>
        <v>0</v>
      </c>
      <c r="AK26" s="150">
        <v>0</v>
      </c>
      <c r="AL26" s="202"/>
      <c r="AM26" s="150"/>
      <c r="AN26" s="202"/>
      <c r="AO26" s="150">
        <v>0</v>
      </c>
      <c r="AP26" s="202"/>
      <c r="AQ26" s="150"/>
      <c r="AR26" s="202"/>
      <c r="AS26" s="150"/>
      <c r="AT26" s="202"/>
      <c r="AU26" s="150"/>
      <c r="AV26" s="202"/>
      <c r="AW26" s="150"/>
      <c r="AX26" s="202"/>
      <c r="AY26" s="150"/>
      <c r="AZ26" s="202"/>
      <c r="BA26" s="150"/>
      <c r="BB26" s="202"/>
      <c r="BC26" s="150"/>
      <c r="BD26" s="202"/>
      <c r="BE26" s="150">
        <v>0</v>
      </c>
      <c r="BF26" s="202"/>
      <c r="BG26" s="150">
        <v>0</v>
      </c>
      <c r="BH26" s="202">
        <f t="shared" si="28"/>
        <v>0</v>
      </c>
      <c r="BI26" s="150"/>
      <c r="BJ26" s="202"/>
      <c r="BK26" s="150">
        <f t="shared" si="29"/>
        <v>0</v>
      </c>
      <c r="BL26" s="202">
        <f t="shared" si="29"/>
        <v>0</v>
      </c>
      <c r="BM26" s="159" t="s">
        <v>426</v>
      </c>
      <c r="BO26" s="254">
        <f t="shared" si="25"/>
        <v>0</v>
      </c>
      <c r="BP26" s="254"/>
      <c r="BQ26" s="254"/>
      <c r="BR26" s="254"/>
      <c r="BS26" s="254">
        <f t="shared" si="18"/>
        <v>0</v>
      </c>
      <c r="BT26" s="254"/>
      <c r="BU26" s="254"/>
      <c r="BV26" s="254"/>
      <c r="BW26" s="255">
        <f t="shared" si="22"/>
        <v>0</v>
      </c>
    </row>
    <row r="27" spans="1:160">
      <c r="A27" s="956"/>
      <c r="B27" s="338"/>
      <c r="C27" s="342"/>
      <c r="D27" s="166" t="s">
        <v>584</v>
      </c>
      <c r="E27" s="159" t="s">
        <v>248</v>
      </c>
      <c r="F27" s="135" t="s">
        <v>350</v>
      </c>
      <c r="G27" s="283">
        <f t="shared" si="26"/>
        <v>0</v>
      </c>
      <c r="H27" s="180">
        <f t="shared" si="27"/>
        <v>0</v>
      </c>
      <c r="I27" s="334"/>
      <c r="J27" s="334"/>
      <c r="K27" s="334"/>
      <c r="L27" s="334">
        <f>H27</f>
        <v>0</v>
      </c>
      <c r="M27" s="759"/>
      <c r="N27" s="334"/>
      <c r="O27" s="334"/>
      <c r="P27" s="334"/>
      <c r="Q27" s="334"/>
      <c r="R27" s="334"/>
      <c r="S27" s="180">
        <f>G27*0.25</f>
        <v>0</v>
      </c>
      <c r="T27" s="180">
        <f>G27*0.25</f>
        <v>0</v>
      </c>
      <c r="U27" s="180">
        <f>G27*0.25</f>
        <v>0</v>
      </c>
      <c r="V27" s="180">
        <f>G27*0.25</f>
        <v>0</v>
      </c>
      <c r="W27" s="334">
        <f>S27*H27</f>
        <v>0</v>
      </c>
      <c r="X27" s="334">
        <f>T27*H27</f>
        <v>0</v>
      </c>
      <c r="Y27" s="334">
        <f>U27*H27</f>
        <v>0</v>
      </c>
      <c r="Z27" s="334">
        <f>V27*H27</f>
        <v>0</v>
      </c>
      <c r="AA27" s="150">
        <v>0</v>
      </c>
      <c r="AB27" s="202">
        <f t="shared" si="2"/>
        <v>0</v>
      </c>
      <c r="AC27" s="150">
        <v>0</v>
      </c>
      <c r="AD27" s="202">
        <f t="shared" si="3"/>
        <v>0</v>
      </c>
      <c r="AE27" s="150">
        <v>0</v>
      </c>
      <c r="AF27" s="202">
        <f t="shared" si="4"/>
        <v>0</v>
      </c>
      <c r="AG27" s="150">
        <v>0</v>
      </c>
      <c r="AH27" s="202">
        <f t="shared" si="5"/>
        <v>0</v>
      </c>
      <c r="AI27" s="150">
        <v>0</v>
      </c>
      <c r="AJ27" s="202">
        <f t="shared" si="6"/>
        <v>0</v>
      </c>
      <c r="AK27" s="150">
        <v>0</v>
      </c>
      <c r="AL27" s="202">
        <f t="shared" si="7"/>
        <v>0</v>
      </c>
      <c r="AM27" s="150">
        <v>0</v>
      </c>
      <c r="AN27" s="202">
        <f t="shared" si="8"/>
        <v>0</v>
      </c>
      <c r="AO27" s="150">
        <v>0</v>
      </c>
      <c r="AP27" s="202">
        <f t="shared" si="9"/>
        <v>0</v>
      </c>
      <c r="AQ27" s="150">
        <v>0</v>
      </c>
      <c r="AR27" s="202">
        <f t="shared" si="10"/>
        <v>0</v>
      </c>
      <c r="AS27" s="150">
        <v>0</v>
      </c>
      <c r="AT27" s="202">
        <f t="shared" si="11"/>
        <v>0</v>
      </c>
      <c r="AU27" s="150">
        <v>0</v>
      </c>
      <c r="AV27" s="202">
        <f t="shared" si="12"/>
        <v>0</v>
      </c>
      <c r="AW27" s="150">
        <v>0</v>
      </c>
      <c r="AX27" s="202">
        <f t="shared" si="13"/>
        <v>0</v>
      </c>
      <c r="AY27" s="150">
        <v>0</v>
      </c>
      <c r="AZ27" s="202">
        <f t="shared" si="14"/>
        <v>0</v>
      </c>
      <c r="BA27" s="150">
        <v>0</v>
      </c>
      <c r="BB27" s="202">
        <f t="shared" si="15"/>
        <v>0</v>
      </c>
      <c r="BC27" s="150">
        <v>0</v>
      </c>
      <c r="BD27" s="202">
        <f t="shared" si="16"/>
        <v>0</v>
      </c>
      <c r="BE27" s="150">
        <v>0</v>
      </c>
      <c r="BF27" s="202">
        <f t="shared" si="17"/>
        <v>0</v>
      </c>
      <c r="BG27" s="150">
        <v>0</v>
      </c>
      <c r="BH27" s="202">
        <f t="shared" si="28"/>
        <v>0</v>
      </c>
      <c r="BI27" s="150">
        <v>0</v>
      </c>
      <c r="BJ27" s="202">
        <f>BI27*F27</f>
        <v>0</v>
      </c>
      <c r="BK27" s="150">
        <f t="shared" si="29"/>
        <v>0</v>
      </c>
      <c r="BL27" s="202">
        <f t="shared" si="29"/>
        <v>0</v>
      </c>
      <c r="BM27" s="159" t="s">
        <v>427</v>
      </c>
      <c r="BO27" s="254">
        <f t="shared" si="25"/>
        <v>0</v>
      </c>
      <c r="BP27" s="254"/>
      <c r="BQ27" s="254"/>
      <c r="BR27" s="254"/>
      <c r="BS27" s="254">
        <f t="shared" si="18"/>
        <v>0</v>
      </c>
      <c r="BT27" s="254"/>
      <c r="BU27" s="254"/>
      <c r="BV27" s="254">
        <f>BT27+BU27</f>
        <v>0</v>
      </c>
      <c r="BW27" s="255">
        <f t="shared" si="22"/>
        <v>0</v>
      </c>
    </row>
    <row r="28" spans="1:160" s="341" customFormat="1">
      <c r="A28" s="956"/>
      <c r="B28" s="338"/>
      <c r="C28" s="343"/>
      <c r="D28" s="158" t="s">
        <v>417</v>
      </c>
      <c r="E28" s="168" t="s">
        <v>115</v>
      </c>
      <c r="F28" s="177"/>
      <c r="G28" s="344">
        <f>SUM(G21:G27)</f>
        <v>38</v>
      </c>
      <c r="H28" s="344">
        <f t="shared" ref="H28:BL28" si="34">SUM(H21:H27)</f>
        <v>29960000</v>
      </c>
      <c r="I28" s="344">
        <f t="shared" si="34"/>
        <v>0</v>
      </c>
      <c r="J28" s="344">
        <f t="shared" si="34"/>
        <v>0</v>
      </c>
      <c r="K28" s="344">
        <f t="shared" si="34"/>
        <v>700000</v>
      </c>
      <c r="L28" s="344">
        <f t="shared" si="34"/>
        <v>0</v>
      </c>
      <c r="M28" s="763">
        <f t="shared" si="34"/>
        <v>29260000</v>
      </c>
      <c r="N28" s="344">
        <f t="shared" si="34"/>
        <v>0</v>
      </c>
      <c r="O28" s="344">
        <f t="shared" si="34"/>
        <v>0</v>
      </c>
      <c r="P28" s="344">
        <f t="shared" si="34"/>
        <v>0</v>
      </c>
      <c r="Q28" s="344">
        <f t="shared" si="34"/>
        <v>0</v>
      </c>
      <c r="R28" s="344">
        <f t="shared" si="34"/>
        <v>0</v>
      </c>
      <c r="S28" s="344">
        <f t="shared" si="34"/>
        <v>6.25</v>
      </c>
      <c r="T28" s="344">
        <f t="shared" si="34"/>
        <v>6.25</v>
      </c>
      <c r="U28" s="344">
        <f t="shared" si="34"/>
        <v>6.25</v>
      </c>
      <c r="V28" s="344">
        <f t="shared" si="34"/>
        <v>6.25</v>
      </c>
      <c r="W28" s="344">
        <f t="shared" si="34"/>
        <v>102100000</v>
      </c>
      <c r="X28" s="344">
        <f t="shared" si="34"/>
        <v>102100000</v>
      </c>
      <c r="Y28" s="344">
        <f t="shared" si="34"/>
        <v>102100000</v>
      </c>
      <c r="Z28" s="344">
        <f t="shared" si="34"/>
        <v>102100000</v>
      </c>
      <c r="AA28" s="344">
        <f t="shared" si="34"/>
        <v>3</v>
      </c>
      <c r="AB28" s="344">
        <f t="shared" si="34"/>
        <v>2500000</v>
      </c>
      <c r="AC28" s="344">
        <f t="shared" si="34"/>
        <v>1</v>
      </c>
      <c r="AD28" s="344">
        <f t="shared" si="34"/>
        <v>1000000</v>
      </c>
      <c r="AE28" s="344">
        <f t="shared" si="34"/>
        <v>5</v>
      </c>
      <c r="AF28" s="344">
        <f t="shared" si="34"/>
        <v>4900000</v>
      </c>
      <c r="AG28" s="344">
        <f t="shared" si="34"/>
        <v>4</v>
      </c>
      <c r="AH28" s="344">
        <f t="shared" si="34"/>
        <v>3500000</v>
      </c>
      <c r="AI28" s="344">
        <f t="shared" si="34"/>
        <v>3</v>
      </c>
      <c r="AJ28" s="344">
        <f t="shared" si="34"/>
        <v>2500000</v>
      </c>
      <c r="AK28" s="344">
        <f t="shared" si="34"/>
        <v>2</v>
      </c>
      <c r="AL28" s="344">
        <f t="shared" si="34"/>
        <v>1500000</v>
      </c>
      <c r="AM28" s="344">
        <f t="shared" si="34"/>
        <v>6</v>
      </c>
      <c r="AN28" s="344">
        <f t="shared" si="34"/>
        <v>2560000</v>
      </c>
      <c r="AO28" s="344">
        <f t="shared" si="34"/>
        <v>0</v>
      </c>
      <c r="AP28" s="344">
        <f t="shared" si="34"/>
        <v>0</v>
      </c>
      <c r="AQ28" s="344">
        <f t="shared" si="34"/>
        <v>0</v>
      </c>
      <c r="AR28" s="344">
        <f t="shared" si="34"/>
        <v>0</v>
      </c>
      <c r="AS28" s="344">
        <f t="shared" si="34"/>
        <v>2</v>
      </c>
      <c r="AT28" s="344">
        <f t="shared" si="34"/>
        <v>1500000</v>
      </c>
      <c r="AU28" s="344">
        <f t="shared" si="34"/>
        <v>2</v>
      </c>
      <c r="AV28" s="344">
        <f t="shared" si="34"/>
        <v>1500000</v>
      </c>
      <c r="AW28" s="344">
        <f t="shared" si="34"/>
        <v>2</v>
      </c>
      <c r="AX28" s="344">
        <f t="shared" si="34"/>
        <v>1500000</v>
      </c>
      <c r="AY28" s="344">
        <f t="shared" si="34"/>
        <v>1</v>
      </c>
      <c r="AZ28" s="344">
        <f t="shared" si="34"/>
        <v>1000000</v>
      </c>
      <c r="BA28" s="344">
        <f t="shared" si="34"/>
        <v>2</v>
      </c>
      <c r="BB28" s="344">
        <f t="shared" si="34"/>
        <v>1500000</v>
      </c>
      <c r="BC28" s="344">
        <f t="shared" si="34"/>
        <v>4</v>
      </c>
      <c r="BD28" s="344">
        <f t="shared" si="34"/>
        <v>3500000</v>
      </c>
      <c r="BE28" s="344">
        <f t="shared" si="34"/>
        <v>0</v>
      </c>
      <c r="BF28" s="344">
        <f t="shared" si="34"/>
        <v>0</v>
      </c>
      <c r="BG28" s="344">
        <f t="shared" si="34"/>
        <v>1</v>
      </c>
      <c r="BH28" s="344">
        <f t="shared" si="34"/>
        <v>1000000</v>
      </c>
      <c r="BI28" s="344">
        <f t="shared" si="34"/>
        <v>0</v>
      </c>
      <c r="BJ28" s="344">
        <f t="shared" si="34"/>
        <v>0</v>
      </c>
      <c r="BK28" s="344">
        <f t="shared" si="34"/>
        <v>38</v>
      </c>
      <c r="BL28" s="344">
        <f t="shared" si="34"/>
        <v>29960000</v>
      </c>
      <c r="BM28" s="344">
        <f t="shared" ref="BM28:BW28" si="35">SUM(BM21:BM27)</f>
        <v>0</v>
      </c>
      <c r="BN28" s="344">
        <f t="shared" si="35"/>
        <v>0</v>
      </c>
      <c r="BO28" s="344">
        <f t="shared" si="35"/>
        <v>23600000</v>
      </c>
      <c r="BP28" s="344">
        <f t="shared" si="35"/>
        <v>0</v>
      </c>
      <c r="BQ28" s="344">
        <f t="shared" si="35"/>
        <v>0</v>
      </c>
      <c r="BR28" s="344">
        <f t="shared" si="35"/>
        <v>0</v>
      </c>
      <c r="BS28" s="344">
        <f t="shared" si="35"/>
        <v>23600000</v>
      </c>
      <c r="BT28" s="344">
        <f t="shared" si="35"/>
        <v>0</v>
      </c>
      <c r="BU28" s="344">
        <f t="shared" si="35"/>
        <v>0</v>
      </c>
      <c r="BV28" s="344">
        <f t="shared" si="35"/>
        <v>0</v>
      </c>
      <c r="BW28" s="344">
        <f t="shared" si="35"/>
        <v>23600000</v>
      </c>
      <c r="BX28" s="265"/>
      <c r="BY28" s="265"/>
      <c r="BZ28" s="265"/>
      <c r="CA28" s="265"/>
      <c r="CB28" s="265"/>
      <c r="CC28" s="265"/>
      <c r="CD28" s="265"/>
      <c r="CE28" s="265"/>
      <c r="CF28" s="265"/>
      <c r="CG28" s="265"/>
      <c r="CH28" s="265"/>
      <c r="CI28" s="265"/>
      <c r="CJ28" s="265"/>
      <c r="CK28" s="265"/>
      <c r="CL28" s="265"/>
      <c r="CM28" s="265"/>
      <c r="CN28" s="265"/>
      <c r="CO28" s="265"/>
      <c r="CP28" s="265"/>
      <c r="CQ28" s="265"/>
      <c r="CR28" s="265"/>
      <c r="CS28" s="265"/>
      <c r="CT28" s="265"/>
      <c r="CU28" s="265"/>
      <c r="CV28" s="265"/>
      <c r="CW28" s="265"/>
      <c r="CX28" s="265"/>
      <c r="CY28" s="265"/>
      <c r="CZ28" s="265"/>
      <c r="DA28" s="265"/>
      <c r="DB28" s="265"/>
      <c r="DC28" s="265"/>
      <c r="DD28" s="265"/>
      <c r="DE28" s="265"/>
      <c r="DF28" s="265"/>
      <c r="DG28" s="265"/>
      <c r="DH28" s="265"/>
      <c r="DI28" s="265"/>
      <c r="DJ28" s="265"/>
      <c r="DK28" s="265"/>
      <c r="DL28" s="265"/>
      <c r="DM28" s="265"/>
      <c r="DN28" s="265"/>
      <c r="DO28" s="265"/>
      <c r="DP28" s="265"/>
      <c r="DQ28" s="265"/>
      <c r="DR28" s="265"/>
      <c r="DS28" s="265"/>
      <c r="DT28" s="265"/>
      <c r="DU28" s="265"/>
      <c r="DV28" s="265"/>
      <c r="DW28" s="265"/>
      <c r="DX28" s="265"/>
      <c r="DY28" s="265"/>
      <c r="DZ28" s="265"/>
      <c r="EA28" s="265"/>
      <c r="EB28" s="265"/>
      <c r="EC28" s="265"/>
      <c r="ED28" s="265"/>
      <c r="EE28" s="265"/>
      <c r="EF28" s="265"/>
      <c r="EG28" s="265"/>
      <c r="EH28" s="265"/>
      <c r="EI28" s="265"/>
      <c r="EJ28" s="265"/>
      <c r="EK28" s="265"/>
      <c r="EL28" s="265"/>
      <c r="EM28" s="265"/>
      <c r="EN28" s="265"/>
      <c r="EO28" s="265"/>
      <c r="EP28" s="265"/>
      <c r="EQ28" s="265"/>
      <c r="ER28" s="265"/>
      <c r="ES28" s="265"/>
      <c r="ET28" s="265"/>
      <c r="EU28" s="265"/>
      <c r="EV28" s="265"/>
      <c r="EW28" s="265"/>
      <c r="EX28" s="265"/>
      <c r="EY28" s="265"/>
      <c r="EZ28" s="265"/>
      <c r="FA28" s="265"/>
      <c r="FB28" s="265"/>
      <c r="FC28" s="265"/>
      <c r="FD28" s="265"/>
    </row>
    <row r="29" spans="1:160">
      <c r="A29" s="956"/>
      <c r="B29" s="338"/>
      <c r="C29" s="345"/>
      <c r="D29" s="158" t="s">
        <v>418</v>
      </c>
      <c r="E29" s="159"/>
      <c r="F29" s="135"/>
      <c r="G29" s="253"/>
      <c r="H29" s="334"/>
      <c r="I29" s="334"/>
      <c r="J29" s="334"/>
      <c r="K29" s="334"/>
      <c r="L29" s="334"/>
      <c r="M29" s="759"/>
      <c r="N29" s="334"/>
      <c r="O29" s="334"/>
      <c r="P29" s="334"/>
      <c r="Q29" s="334"/>
      <c r="R29" s="334"/>
      <c r="S29" s="180"/>
      <c r="T29" s="180"/>
      <c r="U29" s="180"/>
      <c r="V29" s="180"/>
      <c r="W29" s="334"/>
      <c r="X29" s="334"/>
      <c r="Y29" s="334"/>
      <c r="Z29" s="334"/>
      <c r="AA29" s="150"/>
      <c r="AB29" s="202"/>
      <c r="AC29" s="150"/>
      <c r="AD29" s="202"/>
      <c r="AE29" s="150"/>
      <c r="AF29" s="202"/>
      <c r="AG29" s="150"/>
      <c r="AH29" s="202"/>
      <c r="AI29" s="150"/>
      <c r="AJ29" s="202"/>
      <c r="AK29" s="150"/>
      <c r="AL29" s="202"/>
      <c r="AM29" s="150"/>
      <c r="AN29" s="202"/>
      <c r="AO29" s="150"/>
      <c r="AP29" s="202"/>
      <c r="AQ29" s="150"/>
      <c r="AR29" s="202"/>
      <c r="AS29" s="150"/>
      <c r="AT29" s="202"/>
      <c r="AU29" s="150"/>
      <c r="AV29" s="202"/>
      <c r="AW29" s="150"/>
      <c r="AX29" s="202"/>
      <c r="AY29" s="150"/>
      <c r="AZ29" s="202"/>
      <c r="BA29" s="150"/>
      <c r="BB29" s="202"/>
      <c r="BC29" s="150"/>
      <c r="BD29" s="202"/>
      <c r="BE29" s="150"/>
      <c r="BF29" s="202"/>
      <c r="BG29" s="150"/>
      <c r="BH29" s="202"/>
      <c r="BI29" s="150"/>
      <c r="BJ29" s="202"/>
      <c r="BK29" s="150"/>
      <c r="BL29" s="202"/>
      <c r="BM29" s="159"/>
      <c r="BO29" s="254">
        <f>H29</f>
        <v>0</v>
      </c>
      <c r="BP29" s="254"/>
      <c r="BQ29" s="254">
        <f>H29</f>
        <v>0</v>
      </c>
      <c r="BR29" s="254"/>
      <c r="BS29" s="254">
        <f t="shared" ref="BS29:BS51" si="36">BO29+BP29+BQ29+BR29</f>
        <v>0</v>
      </c>
      <c r="BT29" s="254"/>
      <c r="BU29" s="254"/>
      <c r="BV29" s="254">
        <f>BT29+BU29</f>
        <v>0</v>
      </c>
      <c r="BW29" s="255">
        <f t="shared" si="22"/>
        <v>0</v>
      </c>
    </row>
    <row r="30" spans="1:160" s="771" customFormat="1">
      <c r="A30" s="956"/>
      <c r="B30" s="768"/>
      <c r="C30" s="769"/>
      <c r="D30" s="767" t="s">
        <v>99</v>
      </c>
      <c r="E30" s="724" t="s">
        <v>95</v>
      </c>
      <c r="F30" s="711" t="s">
        <v>350</v>
      </c>
      <c r="G30" s="722">
        <f t="shared" ref="G30:H38" si="37">BK30</f>
        <v>0</v>
      </c>
      <c r="H30" s="722">
        <f t="shared" si="37"/>
        <v>0</v>
      </c>
      <c r="I30" s="759"/>
      <c r="J30" s="759"/>
      <c r="K30" s="759"/>
      <c r="L30" s="759"/>
      <c r="M30" s="759">
        <f>H30</f>
        <v>0</v>
      </c>
      <c r="N30" s="759"/>
      <c r="O30" s="759"/>
      <c r="P30" s="759"/>
      <c r="Q30" s="759"/>
      <c r="R30" s="759"/>
      <c r="S30" s="770">
        <f>G30*0.25</f>
        <v>0</v>
      </c>
      <c r="T30" s="770">
        <f>G30*0.25</f>
        <v>0</v>
      </c>
      <c r="U30" s="770">
        <f>G30*0.25</f>
        <v>0</v>
      </c>
      <c r="V30" s="770">
        <f>G30*0.25</f>
        <v>0</v>
      </c>
      <c r="W30" s="759">
        <f>S30*H30</f>
        <v>0</v>
      </c>
      <c r="X30" s="759">
        <f>T30*H30</f>
        <v>0</v>
      </c>
      <c r="Y30" s="759">
        <f>U30*H30</f>
        <v>0</v>
      </c>
      <c r="Z30" s="759">
        <f>V30*H30</f>
        <v>0</v>
      </c>
      <c r="AA30" s="764">
        <v>0</v>
      </c>
      <c r="AB30" s="668">
        <f t="shared" si="2"/>
        <v>0</v>
      </c>
      <c r="AC30" s="764">
        <v>0</v>
      </c>
      <c r="AD30" s="668">
        <f t="shared" si="3"/>
        <v>0</v>
      </c>
      <c r="AE30" s="764">
        <v>0</v>
      </c>
      <c r="AF30" s="668">
        <f t="shared" si="4"/>
        <v>0</v>
      </c>
      <c r="AG30" s="764">
        <v>0</v>
      </c>
      <c r="AH30" s="668">
        <f t="shared" si="5"/>
        <v>0</v>
      </c>
      <c r="AI30" s="764">
        <v>0</v>
      </c>
      <c r="AJ30" s="668">
        <f t="shared" si="6"/>
        <v>0</v>
      </c>
      <c r="AK30" s="764">
        <v>0</v>
      </c>
      <c r="AL30" s="668">
        <f t="shared" si="7"/>
        <v>0</v>
      </c>
      <c r="AM30" s="764">
        <v>0</v>
      </c>
      <c r="AN30" s="668">
        <f t="shared" si="8"/>
        <v>0</v>
      </c>
      <c r="AO30" s="764">
        <v>0</v>
      </c>
      <c r="AP30" s="668">
        <f t="shared" si="9"/>
        <v>0</v>
      </c>
      <c r="AQ30" s="764">
        <v>0</v>
      </c>
      <c r="AR30" s="668">
        <f t="shared" si="10"/>
        <v>0</v>
      </c>
      <c r="AS30" s="764">
        <v>0</v>
      </c>
      <c r="AT30" s="668">
        <f t="shared" si="11"/>
        <v>0</v>
      </c>
      <c r="AU30" s="764">
        <v>0</v>
      </c>
      <c r="AV30" s="668">
        <f t="shared" si="12"/>
        <v>0</v>
      </c>
      <c r="AW30" s="764">
        <v>0</v>
      </c>
      <c r="AX30" s="632">
        <f>(AW30*F30)</f>
        <v>0</v>
      </c>
      <c r="AY30" s="764">
        <v>0</v>
      </c>
      <c r="AZ30" s="668">
        <f t="shared" si="14"/>
        <v>0</v>
      </c>
      <c r="BA30" s="764">
        <v>0</v>
      </c>
      <c r="BB30" s="668">
        <f t="shared" si="15"/>
        <v>0</v>
      </c>
      <c r="BC30" s="764">
        <v>0</v>
      </c>
      <c r="BD30" s="668">
        <f t="shared" si="16"/>
        <v>0</v>
      </c>
      <c r="BE30" s="764">
        <v>0</v>
      </c>
      <c r="BF30" s="668">
        <f t="shared" si="17"/>
        <v>0</v>
      </c>
      <c r="BG30" s="764">
        <v>0</v>
      </c>
      <c r="BH30" s="668">
        <f>BG30*F30</f>
        <v>0</v>
      </c>
      <c r="BI30" s="764"/>
      <c r="BJ30" s="668">
        <f>BI30*F30</f>
        <v>0</v>
      </c>
      <c r="BK30" s="764">
        <f t="shared" ref="BK30:BK38" si="38">AA30+AC30+AE30+AG30+AI30+AK30+AM30+AO30+AQ30+AS30+AU30+AW30+AY30+BA30+BC30+BE30+BG30+BI30</f>
        <v>0</v>
      </c>
      <c r="BL30" s="668">
        <f t="shared" ref="BL30:BL38" si="39">AB30+AD30+AF30+AH30+AJ30+AL30+AN30+AP30+AR30+AT30+AV30+AX30+AZ30+BB30+BD30+BF30+BH30+BJ30</f>
        <v>0</v>
      </c>
      <c r="BM30" s="724" t="s">
        <v>302</v>
      </c>
      <c r="BN30" s="725"/>
      <c r="BO30" s="726">
        <f>H30</f>
        <v>0</v>
      </c>
      <c r="BP30" s="726"/>
      <c r="BQ30" s="726"/>
      <c r="BR30" s="726"/>
      <c r="BS30" s="726">
        <f t="shared" si="36"/>
        <v>0</v>
      </c>
      <c r="BT30" s="726"/>
      <c r="BU30" s="726"/>
      <c r="BV30" s="726">
        <f>BT30+BU30</f>
        <v>0</v>
      </c>
      <c r="BW30" s="727">
        <f t="shared" si="22"/>
        <v>0</v>
      </c>
      <c r="BX30" s="725"/>
      <c r="BY30" s="725"/>
      <c r="BZ30" s="725"/>
      <c r="CA30" s="725"/>
      <c r="CB30" s="725"/>
      <c r="CC30" s="725"/>
      <c r="CD30" s="725"/>
      <c r="CE30" s="725"/>
      <c r="CF30" s="725"/>
      <c r="CG30" s="725"/>
      <c r="CH30" s="725"/>
      <c r="CI30" s="725"/>
      <c r="CJ30" s="725"/>
      <c r="CK30" s="725"/>
      <c r="CL30" s="725"/>
      <c r="CM30" s="725"/>
      <c r="CN30" s="725"/>
      <c r="CO30" s="725"/>
      <c r="CP30" s="725"/>
      <c r="CQ30" s="725"/>
      <c r="CR30" s="725"/>
      <c r="CS30" s="725"/>
      <c r="CT30" s="725"/>
      <c r="CU30" s="725"/>
      <c r="CV30" s="725"/>
      <c r="CW30" s="725"/>
      <c r="CX30" s="725"/>
      <c r="CY30" s="725"/>
      <c r="CZ30" s="725"/>
      <c r="DA30" s="725"/>
      <c r="DB30" s="725"/>
      <c r="DC30" s="725"/>
      <c r="DD30" s="725"/>
      <c r="DE30" s="725"/>
      <c r="DF30" s="725"/>
      <c r="DG30" s="725"/>
      <c r="DH30" s="725"/>
      <c r="DI30" s="725"/>
      <c r="DJ30" s="725"/>
      <c r="DK30" s="725"/>
      <c r="DL30" s="725"/>
      <c r="DM30" s="725"/>
      <c r="DN30" s="725"/>
      <c r="DO30" s="725"/>
      <c r="DP30" s="725"/>
      <c r="DQ30" s="725"/>
      <c r="DR30" s="725"/>
      <c r="DS30" s="725"/>
      <c r="DT30" s="725"/>
      <c r="DU30" s="725"/>
      <c r="DV30" s="725"/>
      <c r="DW30" s="725"/>
      <c r="DX30" s="725"/>
      <c r="DY30" s="725"/>
      <c r="DZ30" s="725"/>
      <c r="EA30" s="725"/>
      <c r="EB30" s="725"/>
      <c r="EC30" s="725"/>
      <c r="ED30" s="725"/>
      <c r="EE30" s="725"/>
      <c r="EF30" s="725"/>
      <c r="EG30" s="725"/>
      <c r="EH30" s="725"/>
      <c r="EI30" s="725"/>
      <c r="EJ30" s="725"/>
      <c r="EK30" s="725"/>
      <c r="EL30" s="725"/>
      <c r="EM30" s="725"/>
      <c r="EN30" s="725"/>
      <c r="EO30" s="725"/>
      <c r="EP30" s="725"/>
      <c r="EQ30" s="725"/>
      <c r="ER30" s="725"/>
      <c r="ES30" s="725"/>
      <c r="ET30" s="725"/>
      <c r="EU30" s="725"/>
      <c r="EV30" s="725"/>
      <c r="EW30" s="725"/>
      <c r="EX30" s="725"/>
      <c r="EY30" s="725"/>
      <c r="EZ30" s="725"/>
      <c r="FA30" s="725"/>
      <c r="FB30" s="725"/>
      <c r="FC30" s="725"/>
      <c r="FD30" s="725"/>
    </row>
    <row r="31" spans="1:160" s="771" customFormat="1">
      <c r="A31" s="957"/>
      <c r="B31" s="772"/>
      <c r="C31" s="769"/>
      <c r="D31" s="767" t="s">
        <v>571</v>
      </c>
      <c r="E31" s="724" t="s">
        <v>248</v>
      </c>
      <c r="F31" s="711">
        <v>15000</v>
      </c>
      <c r="G31" s="722">
        <f t="shared" si="37"/>
        <v>0</v>
      </c>
      <c r="H31" s="759">
        <f t="shared" ref="H31:H38" si="40">G31*F31</f>
        <v>0</v>
      </c>
      <c r="I31" s="759"/>
      <c r="J31" s="759"/>
      <c r="K31" s="759"/>
      <c r="L31" s="759"/>
      <c r="M31" s="759">
        <f>H31</f>
        <v>0</v>
      </c>
      <c r="N31" s="759"/>
      <c r="O31" s="759"/>
      <c r="P31" s="759"/>
      <c r="Q31" s="759"/>
      <c r="R31" s="759"/>
      <c r="S31" s="770">
        <f>G31*0.25</f>
        <v>0</v>
      </c>
      <c r="T31" s="770">
        <f>G31*0.25</f>
        <v>0</v>
      </c>
      <c r="U31" s="770">
        <f>G31*0.25</f>
        <v>0</v>
      </c>
      <c r="V31" s="770">
        <f>G31*0.25</f>
        <v>0</v>
      </c>
      <c r="W31" s="759">
        <f>S31*H31</f>
        <v>0</v>
      </c>
      <c r="X31" s="759">
        <f>T31*H31</f>
        <v>0</v>
      </c>
      <c r="Y31" s="759">
        <f>U31*H31</f>
        <v>0</v>
      </c>
      <c r="Z31" s="759">
        <f>V31*H31</f>
        <v>0</v>
      </c>
      <c r="AA31" s="764">
        <v>0</v>
      </c>
      <c r="AB31" s="668">
        <f t="shared" si="2"/>
        <v>0</v>
      </c>
      <c r="AC31" s="764">
        <v>0</v>
      </c>
      <c r="AD31" s="668">
        <f t="shared" si="3"/>
        <v>0</v>
      </c>
      <c r="AE31" s="764">
        <v>0</v>
      </c>
      <c r="AF31" s="668">
        <f t="shared" si="4"/>
        <v>0</v>
      </c>
      <c r="AG31" s="764">
        <v>0</v>
      </c>
      <c r="AH31" s="668">
        <f t="shared" si="5"/>
        <v>0</v>
      </c>
      <c r="AI31" s="764">
        <v>0</v>
      </c>
      <c r="AJ31" s="668">
        <f t="shared" si="6"/>
        <v>0</v>
      </c>
      <c r="AK31" s="764">
        <v>0</v>
      </c>
      <c r="AL31" s="668">
        <f t="shared" si="7"/>
        <v>0</v>
      </c>
      <c r="AM31" s="764">
        <v>0</v>
      </c>
      <c r="AN31" s="668">
        <f t="shared" si="8"/>
        <v>0</v>
      </c>
      <c r="AO31" s="764">
        <v>0</v>
      </c>
      <c r="AP31" s="668">
        <f t="shared" si="9"/>
        <v>0</v>
      </c>
      <c r="AQ31" s="764">
        <v>0</v>
      </c>
      <c r="AR31" s="668">
        <f t="shared" si="10"/>
        <v>0</v>
      </c>
      <c r="AS31" s="764">
        <v>0</v>
      </c>
      <c r="AT31" s="668">
        <f t="shared" si="11"/>
        <v>0</v>
      </c>
      <c r="AU31" s="764">
        <v>0</v>
      </c>
      <c r="AV31" s="668">
        <f t="shared" si="12"/>
        <v>0</v>
      </c>
      <c r="AW31" s="764">
        <v>0</v>
      </c>
      <c r="AX31" s="668">
        <f t="shared" si="13"/>
        <v>0</v>
      </c>
      <c r="AY31" s="764">
        <v>0</v>
      </c>
      <c r="AZ31" s="668">
        <f t="shared" si="14"/>
        <v>0</v>
      </c>
      <c r="BA31" s="764">
        <v>0</v>
      </c>
      <c r="BB31" s="668">
        <f t="shared" si="15"/>
        <v>0</v>
      </c>
      <c r="BC31" s="764">
        <v>0</v>
      </c>
      <c r="BD31" s="668">
        <f t="shared" si="16"/>
        <v>0</v>
      </c>
      <c r="BE31" s="764">
        <v>0</v>
      </c>
      <c r="BF31" s="668">
        <f t="shared" si="17"/>
        <v>0</v>
      </c>
      <c r="BG31" s="764">
        <v>0</v>
      </c>
      <c r="BH31" s="668">
        <f>BG31*F31</f>
        <v>0</v>
      </c>
      <c r="BI31" s="764">
        <v>0</v>
      </c>
      <c r="BJ31" s="668">
        <f>BI31*F31</f>
        <v>0</v>
      </c>
      <c r="BK31" s="764">
        <f t="shared" si="38"/>
        <v>0</v>
      </c>
      <c r="BL31" s="668">
        <f t="shared" si="39"/>
        <v>0</v>
      </c>
      <c r="BM31" s="724" t="s">
        <v>302</v>
      </c>
      <c r="BN31" s="725"/>
      <c r="BO31" s="726"/>
      <c r="BP31" s="726">
        <f>BL31</f>
        <v>0</v>
      </c>
      <c r="BQ31" s="726"/>
      <c r="BR31" s="726"/>
      <c r="BS31" s="726">
        <f t="shared" si="36"/>
        <v>0</v>
      </c>
      <c r="BT31" s="726"/>
      <c r="BU31" s="726"/>
      <c r="BV31" s="726">
        <f>BT31+BU31</f>
        <v>0</v>
      </c>
      <c r="BW31" s="727">
        <f t="shared" si="22"/>
        <v>0</v>
      </c>
      <c r="BX31" s="725"/>
      <c r="BY31" s="725"/>
      <c r="BZ31" s="725"/>
      <c r="CA31" s="725"/>
      <c r="CB31" s="725"/>
      <c r="CC31" s="725"/>
      <c r="CD31" s="725"/>
      <c r="CE31" s="725"/>
      <c r="CF31" s="725"/>
      <c r="CG31" s="725"/>
      <c r="CH31" s="725"/>
      <c r="CI31" s="725"/>
      <c r="CJ31" s="725"/>
      <c r="CK31" s="725"/>
      <c r="CL31" s="725"/>
      <c r="CM31" s="725"/>
      <c r="CN31" s="725"/>
      <c r="CO31" s="725"/>
      <c r="CP31" s="725"/>
      <c r="CQ31" s="725"/>
      <c r="CR31" s="725"/>
      <c r="CS31" s="725"/>
      <c r="CT31" s="725"/>
      <c r="CU31" s="725"/>
      <c r="CV31" s="725"/>
      <c r="CW31" s="725"/>
      <c r="CX31" s="725"/>
      <c r="CY31" s="725"/>
      <c r="CZ31" s="725"/>
      <c r="DA31" s="725"/>
      <c r="DB31" s="725"/>
      <c r="DC31" s="725"/>
      <c r="DD31" s="725"/>
      <c r="DE31" s="725"/>
      <c r="DF31" s="725"/>
      <c r="DG31" s="725"/>
      <c r="DH31" s="725"/>
      <c r="DI31" s="725"/>
      <c r="DJ31" s="725"/>
      <c r="DK31" s="725"/>
      <c r="DL31" s="725"/>
      <c r="DM31" s="725"/>
      <c r="DN31" s="725"/>
      <c r="DO31" s="725"/>
      <c r="DP31" s="725"/>
      <c r="DQ31" s="725"/>
      <c r="DR31" s="725"/>
      <c r="DS31" s="725"/>
      <c r="DT31" s="725"/>
      <c r="DU31" s="725"/>
      <c r="DV31" s="725"/>
      <c r="DW31" s="725"/>
      <c r="DX31" s="725"/>
      <c r="DY31" s="725"/>
      <c r="DZ31" s="725"/>
      <c r="EA31" s="725"/>
      <c r="EB31" s="725"/>
      <c r="EC31" s="725"/>
      <c r="ED31" s="725"/>
      <c r="EE31" s="725"/>
      <c r="EF31" s="725"/>
      <c r="EG31" s="725"/>
      <c r="EH31" s="725"/>
      <c r="EI31" s="725"/>
      <c r="EJ31" s="725"/>
      <c r="EK31" s="725"/>
      <c r="EL31" s="725"/>
      <c r="EM31" s="725"/>
      <c r="EN31" s="725"/>
      <c r="EO31" s="725"/>
      <c r="EP31" s="725"/>
      <c r="EQ31" s="725"/>
      <c r="ER31" s="725"/>
      <c r="ES31" s="725"/>
      <c r="ET31" s="725"/>
      <c r="EU31" s="725"/>
      <c r="EV31" s="725"/>
      <c r="EW31" s="725"/>
      <c r="EX31" s="725"/>
      <c r="EY31" s="725"/>
      <c r="EZ31" s="725"/>
      <c r="FA31" s="725"/>
      <c r="FB31" s="725"/>
      <c r="FC31" s="725"/>
      <c r="FD31" s="725"/>
    </row>
    <row r="32" spans="1:160" s="771" customFormat="1">
      <c r="A32" s="957"/>
      <c r="B32" s="772"/>
      <c r="C32" s="769"/>
      <c r="D32" s="767" t="s">
        <v>1022</v>
      </c>
      <c r="E32" s="724"/>
      <c r="F32" s="711">
        <v>350000</v>
      </c>
      <c r="G32" s="722">
        <f t="shared" si="37"/>
        <v>11</v>
      </c>
      <c r="H32" s="722">
        <f t="shared" si="37"/>
        <v>3750000</v>
      </c>
      <c r="I32" s="759"/>
      <c r="J32" s="759"/>
      <c r="K32" s="759"/>
      <c r="L32" s="759"/>
      <c r="M32" s="759">
        <f>H32</f>
        <v>3750000</v>
      </c>
      <c r="N32" s="759"/>
      <c r="O32" s="759"/>
      <c r="P32" s="759"/>
      <c r="Q32" s="759"/>
      <c r="R32" s="759"/>
      <c r="S32" s="770"/>
      <c r="T32" s="770"/>
      <c r="U32" s="770"/>
      <c r="V32" s="770"/>
      <c r="W32" s="759"/>
      <c r="X32" s="759"/>
      <c r="Y32" s="759"/>
      <c r="Z32" s="759"/>
      <c r="AA32" s="764">
        <v>0</v>
      </c>
      <c r="AB32" s="668">
        <f t="shared" si="2"/>
        <v>0</v>
      </c>
      <c r="AC32" s="764">
        <v>1</v>
      </c>
      <c r="AD32" s="668">
        <f t="shared" si="3"/>
        <v>350000</v>
      </c>
      <c r="AE32" s="764">
        <v>1</v>
      </c>
      <c r="AF32" s="668">
        <f t="shared" si="4"/>
        <v>350000</v>
      </c>
      <c r="AG32" s="764">
        <v>1</v>
      </c>
      <c r="AH32" s="668">
        <f t="shared" si="5"/>
        <v>350000</v>
      </c>
      <c r="AI32" s="764">
        <v>1</v>
      </c>
      <c r="AJ32" s="668">
        <f t="shared" si="6"/>
        <v>350000</v>
      </c>
      <c r="AK32" s="764">
        <v>1</v>
      </c>
      <c r="AL32" s="668">
        <f t="shared" si="7"/>
        <v>350000</v>
      </c>
      <c r="AM32" s="764">
        <v>1</v>
      </c>
      <c r="AN32" s="668">
        <v>250000</v>
      </c>
      <c r="AO32" s="764">
        <v>0</v>
      </c>
      <c r="AP32" s="668"/>
      <c r="AQ32" s="764">
        <v>0</v>
      </c>
      <c r="AR32" s="668">
        <f t="shared" si="10"/>
        <v>0</v>
      </c>
      <c r="AS32" s="764">
        <v>1</v>
      </c>
      <c r="AT32" s="668">
        <f t="shared" si="11"/>
        <v>350000</v>
      </c>
      <c r="AU32" s="764">
        <v>1</v>
      </c>
      <c r="AV32" s="668">
        <f t="shared" si="12"/>
        <v>350000</v>
      </c>
      <c r="AW32" s="764">
        <v>1</v>
      </c>
      <c r="AX32" s="668">
        <f t="shared" si="13"/>
        <v>350000</v>
      </c>
      <c r="AY32" s="764">
        <v>1</v>
      </c>
      <c r="AZ32" s="668">
        <f t="shared" si="14"/>
        <v>350000</v>
      </c>
      <c r="BA32" s="764">
        <v>0</v>
      </c>
      <c r="BB32" s="668">
        <f t="shared" si="15"/>
        <v>0</v>
      </c>
      <c r="BC32" s="764">
        <v>1</v>
      </c>
      <c r="BD32" s="668">
        <f t="shared" si="16"/>
        <v>350000</v>
      </c>
      <c r="BE32" s="764">
        <v>0</v>
      </c>
      <c r="BF32" s="668">
        <f t="shared" si="17"/>
        <v>0</v>
      </c>
      <c r="BG32" s="764">
        <v>0</v>
      </c>
      <c r="BH32" s="668">
        <f>BG32*F32</f>
        <v>0</v>
      </c>
      <c r="BI32" s="764"/>
      <c r="BJ32" s="668"/>
      <c r="BK32" s="764">
        <f t="shared" si="38"/>
        <v>11</v>
      </c>
      <c r="BL32" s="668">
        <f t="shared" si="39"/>
        <v>3750000</v>
      </c>
      <c r="BM32" s="724" t="s">
        <v>302</v>
      </c>
      <c r="BN32" s="725"/>
      <c r="BO32" s="726"/>
      <c r="BP32" s="726"/>
      <c r="BQ32" s="726"/>
      <c r="BR32" s="726"/>
      <c r="BS32" s="726"/>
      <c r="BT32" s="726"/>
      <c r="BU32" s="726"/>
      <c r="BV32" s="726"/>
      <c r="BW32" s="727"/>
      <c r="BX32" s="725"/>
      <c r="BY32" s="725"/>
      <c r="BZ32" s="725"/>
      <c r="CA32" s="725"/>
      <c r="CB32" s="725"/>
      <c r="CC32" s="725"/>
      <c r="CD32" s="725"/>
      <c r="CE32" s="725"/>
      <c r="CF32" s="725"/>
      <c r="CG32" s="725"/>
      <c r="CH32" s="725"/>
      <c r="CI32" s="725"/>
      <c r="CJ32" s="725"/>
      <c r="CK32" s="725"/>
      <c r="CL32" s="725"/>
      <c r="CM32" s="725"/>
      <c r="CN32" s="725"/>
      <c r="CO32" s="725"/>
      <c r="CP32" s="725"/>
      <c r="CQ32" s="725"/>
      <c r="CR32" s="725"/>
      <c r="CS32" s="725"/>
      <c r="CT32" s="725"/>
      <c r="CU32" s="725"/>
      <c r="CV32" s="725"/>
      <c r="CW32" s="725"/>
      <c r="CX32" s="725"/>
      <c r="CY32" s="725"/>
      <c r="CZ32" s="725"/>
      <c r="DA32" s="725"/>
      <c r="DB32" s="725"/>
      <c r="DC32" s="725"/>
      <c r="DD32" s="725"/>
      <c r="DE32" s="725"/>
      <c r="DF32" s="725"/>
      <c r="DG32" s="725"/>
      <c r="DH32" s="725"/>
      <c r="DI32" s="725"/>
      <c r="DJ32" s="725"/>
      <c r="DK32" s="725"/>
      <c r="DL32" s="725"/>
      <c r="DM32" s="725"/>
      <c r="DN32" s="725"/>
      <c r="DO32" s="725"/>
      <c r="DP32" s="725"/>
      <c r="DQ32" s="725"/>
      <c r="DR32" s="725"/>
      <c r="DS32" s="725"/>
      <c r="DT32" s="725"/>
      <c r="DU32" s="725"/>
      <c r="DV32" s="725"/>
      <c r="DW32" s="725"/>
      <c r="DX32" s="725"/>
      <c r="DY32" s="725"/>
      <c r="DZ32" s="725"/>
      <c r="EA32" s="725"/>
      <c r="EB32" s="725"/>
      <c r="EC32" s="725"/>
      <c r="ED32" s="725"/>
      <c r="EE32" s="725"/>
      <c r="EF32" s="725"/>
      <c r="EG32" s="725"/>
      <c r="EH32" s="725"/>
      <c r="EI32" s="725"/>
      <c r="EJ32" s="725"/>
      <c r="EK32" s="725"/>
      <c r="EL32" s="725"/>
      <c r="EM32" s="725"/>
      <c r="EN32" s="725"/>
      <c r="EO32" s="725"/>
      <c r="EP32" s="725"/>
      <c r="EQ32" s="725"/>
      <c r="ER32" s="725"/>
      <c r="ES32" s="725"/>
      <c r="ET32" s="725"/>
      <c r="EU32" s="725"/>
      <c r="EV32" s="725"/>
      <c r="EW32" s="725"/>
      <c r="EX32" s="725"/>
      <c r="EY32" s="725"/>
      <c r="EZ32" s="725"/>
      <c r="FA32" s="725"/>
      <c r="FB32" s="725"/>
      <c r="FC32" s="725"/>
      <c r="FD32" s="725"/>
    </row>
    <row r="33" spans="1:160" s="341" customFormat="1" ht="31.5">
      <c r="A33" s="957"/>
      <c r="B33" s="346"/>
      <c r="C33" s="343"/>
      <c r="D33" s="134" t="s">
        <v>580</v>
      </c>
      <c r="E33" s="159" t="s">
        <v>248</v>
      </c>
      <c r="F33" s="135">
        <v>20000</v>
      </c>
      <c r="G33" s="253">
        <f t="shared" si="37"/>
        <v>7</v>
      </c>
      <c r="H33" s="319">
        <f t="shared" si="37"/>
        <v>149000</v>
      </c>
      <c r="I33" s="334">
        <f>H33*0.2</f>
        <v>29800</v>
      </c>
      <c r="J33" s="334">
        <f>H33*0.8</f>
        <v>119200</v>
      </c>
      <c r="K33" s="334"/>
      <c r="L33" s="334"/>
      <c r="M33" s="759"/>
      <c r="N33" s="334"/>
      <c r="O33" s="334"/>
      <c r="P33" s="334"/>
      <c r="Q33" s="334"/>
      <c r="R33" s="334"/>
      <c r="S33" s="180">
        <f>G33*0.25</f>
        <v>1.75</v>
      </c>
      <c r="T33" s="180">
        <f>G33*0.25</f>
        <v>1.75</v>
      </c>
      <c r="U33" s="180">
        <f>G33*0.25</f>
        <v>1.75</v>
      </c>
      <c r="V33" s="180">
        <f>G33*0.25</f>
        <v>1.75</v>
      </c>
      <c r="W33" s="334">
        <f>S33*F33</f>
        <v>35000</v>
      </c>
      <c r="X33" s="334">
        <f>T33*F33</f>
        <v>35000</v>
      </c>
      <c r="Y33" s="334">
        <f>U33*F33</f>
        <v>35000</v>
      </c>
      <c r="Z33" s="334">
        <f>V33*F33</f>
        <v>35000</v>
      </c>
      <c r="AA33" s="150">
        <v>0</v>
      </c>
      <c r="AB33" s="202">
        <f t="shared" si="2"/>
        <v>0</v>
      </c>
      <c r="AC33" s="493">
        <v>7</v>
      </c>
      <c r="AD33" s="202">
        <f t="shared" si="3"/>
        <v>140000</v>
      </c>
      <c r="AE33" s="150">
        <v>0</v>
      </c>
      <c r="AF33" s="202">
        <f t="shared" si="4"/>
        <v>0</v>
      </c>
      <c r="AG33" s="150">
        <v>0</v>
      </c>
      <c r="AH33" s="202">
        <f t="shared" si="5"/>
        <v>0</v>
      </c>
      <c r="AI33" s="150">
        <v>0</v>
      </c>
      <c r="AJ33" s="202">
        <f t="shared" si="6"/>
        <v>0</v>
      </c>
      <c r="AK33" s="150">
        <v>0</v>
      </c>
      <c r="AL33" s="202">
        <f t="shared" si="7"/>
        <v>0</v>
      </c>
      <c r="AM33" s="150">
        <v>0</v>
      </c>
      <c r="AN33" s="202">
        <f t="shared" si="8"/>
        <v>0</v>
      </c>
      <c r="AO33" s="150">
        <v>0</v>
      </c>
      <c r="AP33" s="202">
        <f t="shared" si="9"/>
        <v>0</v>
      </c>
      <c r="AQ33" s="150">
        <v>0</v>
      </c>
      <c r="AR33" s="202">
        <f t="shared" si="10"/>
        <v>0</v>
      </c>
      <c r="AS33" s="150">
        <v>0</v>
      </c>
      <c r="AT33" s="202">
        <v>9000</v>
      </c>
      <c r="AU33" s="150">
        <v>0</v>
      </c>
      <c r="AV33" s="202">
        <f t="shared" si="12"/>
        <v>0</v>
      </c>
      <c r="AW33" s="150">
        <v>0</v>
      </c>
      <c r="AX33" s="202">
        <f t="shared" si="13"/>
        <v>0</v>
      </c>
      <c r="AY33" s="150">
        <v>0</v>
      </c>
      <c r="AZ33" s="202">
        <f t="shared" si="14"/>
        <v>0</v>
      </c>
      <c r="BA33" s="150">
        <v>0</v>
      </c>
      <c r="BB33" s="202">
        <f t="shared" si="15"/>
        <v>0</v>
      </c>
      <c r="BC33" s="150">
        <v>0</v>
      </c>
      <c r="BD33" s="202">
        <f t="shared" si="16"/>
        <v>0</v>
      </c>
      <c r="BE33" s="150">
        <v>0</v>
      </c>
      <c r="BF33" s="202">
        <f t="shared" si="17"/>
        <v>0</v>
      </c>
      <c r="BG33" s="150">
        <v>0</v>
      </c>
      <c r="BH33" s="202">
        <f>BG33*F33</f>
        <v>0</v>
      </c>
      <c r="BI33" s="150">
        <v>0</v>
      </c>
      <c r="BJ33" s="202">
        <f>BI33*F33</f>
        <v>0</v>
      </c>
      <c r="BK33" s="150">
        <f t="shared" si="38"/>
        <v>7</v>
      </c>
      <c r="BL33" s="202">
        <f t="shared" si="39"/>
        <v>149000</v>
      </c>
      <c r="BM33" s="159" t="s">
        <v>581</v>
      </c>
      <c r="BN33" s="178"/>
      <c r="BO33" s="254"/>
      <c r="BP33" s="254"/>
      <c r="BQ33" s="254">
        <f>BL33</f>
        <v>149000</v>
      </c>
      <c r="BR33" s="254"/>
      <c r="BS33" s="254">
        <f t="shared" si="36"/>
        <v>149000</v>
      </c>
      <c r="BT33" s="254"/>
      <c r="BU33" s="254"/>
      <c r="BV33" s="254">
        <f>BT33+BU33</f>
        <v>0</v>
      </c>
      <c r="BW33" s="255">
        <f t="shared" si="22"/>
        <v>149000</v>
      </c>
      <c r="BX33" s="178"/>
      <c r="BY33" s="178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178"/>
      <c r="CP33" s="178"/>
      <c r="CQ33" s="178"/>
      <c r="CR33" s="178"/>
      <c r="CS33" s="178"/>
      <c r="CT33" s="178"/>
      <c r="CU33" s="178"/>
      <c r="CV33" s="178"/>
      <c r="CW33" s="178"/>
      <c r="CX33" s="178"/>
      <c r="CY33" s="178"/>
      <c r="CZ33" s="178"/>
      <c r="DA33" s="178"/>
      <c r="DB33" s="178"/>
      <c r="DC33" s="178"/>
      <c r="DD33" s="178"/>
      <c r="DE33" s="178"/>
      <c r="DF33" s="178"/>
      <c r="DG33" s="178"/>
      <c r="DH33" s="178"/>
      <c r="DI33" s="178"/>
      <c r="DJ33" s="178"/>
      <c r="DK33" s="178"/>
      <c r="DL33" s="178"/>
      <c r="DM33" s="178"/>
      <c r="DN33" s="178"/>
      <c r="DO33" s="178"/>
      <c r="DP33" s="178"/>
      <c r="DQ33" s="178"/>
      <c r="DR33" s="178"/>
      <c r="DS33" s="178"/>
      <c r="DT33" s="178"/>
      <c r="DU33" s="178"/>
      <c r="DV33" s="178"/>
      <c r="DW33" s="178"/>
      <c r="DX33" s="178"/>
      <c r="DY33" s="178"/>
      <c r="DZ33" s="178"/>
      <c r="EA33" s="178"/>
      <c r="EB33" s="178"/>
      <c r="EC33" s="178"/>
      <c r="ED33" s="178"/>
      <c r="EE33" s="178"/>
      <c r="EF33" s="178"/>
      <c r="EG33" s="178"/>
      <c r="EH33" s="178"/>
      <c r="EI33" s="178"/>
      <c r="EJ33" s="178"/>
      <c r="EK33" s="178"/>
      <c r="EL33" s="178"/>
      <c r="EM33" s="178"/>
      <c r="EN33" s="178"/>
      <c r="EO33" s="178"/>
      <c r="EP33" s="178"/>
      <c r="EQ33" s="178"/>
      <c r="ER33" s="178"/>
      <c r="ES33" s="178"/>
      <c r="ET33" s="178"/>
      <c r="EU33" s="178"/>
      <c r="EV33" s="178"/>
      <c r="EW33" s="178"/>
      <c r="EX33" s="178"/>
      <c r="EY33" s="178"/>
      <c r="EZ33" s="178"/>
      <c r="FA33" s="178"/>
      <c r="FB33" s="178"/>
      <c r="FC33" s="178"/>
      <c r="FD33" s="178"/>
    </row>
    <row r="34" spans="1:160" s="643" customFormat="1">
      <c r="A34" s="957"/>
      <c r="B34" s="645"/>
      <c r="C34" s="343"/>
      <c r="D34" s="134" t="s">
        <v>930</v>
      </c>
      <c r="E34" s="159" t="s">
        <v>16</v>
      </c>
      <c r="F34" s="135">
        <v>4000000</v>
      </c>
      <c r="G34" s="253">
        <f t="shared" si="37"/>
        <v>0</v>
      </c>
      <c r="H34" s="334">
        <f t="shared" si="40"/>
        <v>0</v>
      </c>
      <c r="I34" s="334"/>
      <c r="J34" s="334"/>
      <c r="K34" s="334"/>
      <c r="L34" s="334">
        <f>H34*1</f>
        <v>0</v>
      </c>
      <c r="M34" s="759"/>
      <c r="N34" s="334"/>
      <c r="O34" s="334"/>
      <c r="P34" s="334"/>
      <c r="Q34" s="334"/>
      <c r="R34" s="334"/>
      <c r="S34" s="180"/>
      <c r="T34" s="180"/>
      <c r="U34" s="180"/>
      <c r="V34" s="180"/>
      <c r="W34" s="334"/>
      <c r="X34" s="334"/>
      <c r="Y34" s="334"/>
      <c r="Z34" s="334"/>
      <c r="AA34" s="150"/>
      <c r="AB34" s="202"/>
      <c r="AC34" s="150"/>
      <c r="AD34" s="202"/>
      <c r="AE34" s="150"/>
      <c r="AF34" s="202"/>
      <c r="AG34" s="150"/>
      <c r="AH34" s="202"/>
      <c r="AI34" s="150"/>
      <c r="AJ34" s="202"/>
      <c r="AK34" s="150"/>
      <c r="AL34" s="202"/>
      <c r="AM34" s="150"/>
      <c r="AN34" s="202"/>
      <c r="AO34" s="150"/>
      <c r="AP34" s="202"/>
      <c r="AQ34" s="150"/>
      <c r="AR34" s="202"/>
      <c r="AS34" s="150"/>
      <c r="AT34" s="202"/>
      <c r="AU34" s="150"/>
      <c r="AV34" s="202"/>
      <c r="AW34" s="150"/>
      <c r="AX34" s="202"/>
      <c r="AY34" s="150"/>
      <c r="AZ34" s="202"/>
      <c r="BA34" s="150"/>
      <c r="BB34" s="202"/>
      <c r="BC34" s="150"/>
      <c r="BD34" s="202"/>
      <c r="BE34" s="150"/>
      <c r="BF34" s="202"/>
      <c r="BG34" s="150"/>
      <c r="BH34" s="202"/>
      <c r="BI34" s="150">
        <v>0</v>
      </c>
      <c r="BJ34" s="202">
        <f>BI34*F34</f>
        <v>0</v>
      </c>
      <c r="BK34" s="150">
        <f t="shared" si="38"/>
        <v>0</v>
      </c>
      <c r="BL34" s="202">
        <f t="shared" si="39"/>
        <v>0</v>
      </c>
      <c r="BM34" s="159" t="s">
        <v>427</v>
      </c>
      <c r="BN34" s="178"/>
      <c r="BO34" s="254"/>
      <c r="BP34" s="254"/>
      <c r="BQ34" s="254"/>
      <c r="BR34" s="254"/>
      <c r="BS34" s="254"/>
      <c r="BT34" s="254"/>
      <c r="BU34" s="254"/>
      <c r="BV34" s="254"/>
      <c r="BW34" s="255"/>
      <c r="BX34" s="178"/>
      <c r="BY34" s="178"/>
      <c r="BZ34" s="178"/>
      <c r="CA34" s="178"/>
      <c r="CB34" s="178"/>
      <c r="CC34" s="178"/>
      <c r="CD34" s="178"/>
      <c r="CE34" s="178"/>
      <c r="CF34" s="178"/>
      <c r="CG34" s="178"/>
      <c r="CH34" s="178"/>
      <c r="CI34" s="178"/>
      <c r="CJ34" s="178"/>
      <c r="CK34" s="178"/>
      <c r="CL34" s="178"/>
      <c r="CM34" s="178"/>
      <c r="CN34" s="178"/>
      <c r="CO34" s="178"/>
      <c r="CP34" s="178"/>
      <c r="CQ34" s="178"/>
      <c r="CR34" s="178"/>
      <c r="CS34" s="178"/>
      <c r="CT34" s="178"/>
      <c r="CU34" s="178"/>
      <c r="CV34" s="178"/>
      <c r="CW34" s="178"/>
      <c r="CX34" s="178"/>
      <c r="CY34" s="178"/>
      <c r="CZ34" s="178"/>
      <c r="DA34" s="178"/>
      <c r="DB34" s="178"/>
      <c r="DC34" s="178"/>
      <c r="DD34" s="178"/>
      <c r="DE34" s="178"/>
      <c r="DF34" s="178"/>
      <c r="DG34" s="178"/>
      <c r="DH34" s="178"/>
      <c r="DI34" s="178"/>
      <c r="DJ34" s="178"/>
      <c r="DK34" s="178"/>
      <c r="DL34" s="178"/>
      <c r="DM34" s="178"/>
      <c r="DN34" s="178"/>
      <c r="DO34" s="178"/>
      <c r="DP34" s="178"/>
      <c r="DQ34" s="178"/>
      <c r="DR34" s="178"/>
      <c r="DS34" s="178"/>
      <c r="DT34" s="178"/>
      <c r="DU34" s="178"/>
      <c r="DV34" s="178"/>
      <c r="DW34" s="178"/>
      <c r="DX34" s="178"/>
      <c r="DY34" s="178"/>
      <c r="DZ34" s="178"/>
      <c r="EA34" s="178"/>
      <c r="EB34" s="178"/>
      <c r="EC34" s="178"/>
      <c r="ED34" s="178"/>
      <c r="EE34" s="178"/>
      <c r="EF34" s="178"/>
      <c r="EG34" s="178"/>
      <c r="EH34" s="178"/>
      <c r="EI34" s="178"/>
      <c r="EJ34" s="178"/>
      <c r="EK34" s="178"/>
      <c r="EL34" s="178"/>
      <c r="EM34" s="178"/>
      <c r="EN34" s="178"/>
      <c r="EO34" s="178"/>
      <c r="EP34" s="178"/>
      <c r="EQ34" s="178"/>
      <c r="ER34" s="178"/>
      <c r="ES34" s="178"/>
      <c r="ET34" s="178"/>
      <c r="EU34" s="178"/>
      <c r="EV34" s="178"/>
      <c r="EW34" s="178"/>
      <c r="EX34" s="178"/>
      <c r="EY34" s="178"/>
      <c r="EZ34" s="178"/>
      <c r="FA34" s="178"/>
      <c r="FB34" s="178"/>
      <c r="FC34" s="178"/>
      <c r="FD34" s="178"/>
    </row>
    <row r="35" spans="1:160" s="643" customFormat="1">
      <c r="A35" s="957"/>
      <c r="B35" s="645"/>
      <c r="C35" s="343"/>
      <c r="D35" s="134" t="s">
        <v>921</v>
      </c>
      <c r="E35" s="159"/>
      <c r="F35" s="135">
        <v>400000</v>
      </c>
      <c r="G35" s="253">
        <f t="shared" si="37"/>
        <v>0</v>
      </c>
      <c r="H35" s="334">
        <f t="shared" si="40"/>
        <v>0</v>
      </c>
      <c r="I35" s="334"/>
      <c r="J35" s="334"/>
      <c r="K35" s="334"/>
      <c r="L35" s="334">
        <f>H35*1</f>
        <v>0</v>
      </c>
      <c r="M35" s="759"/>
      <c r="N35" s="334"/>
      <c r="O35" s="334"/>
      <c r="P35" s="334"/>
      <c r="Q35" s="334"/>
      <c r="R35" s="334"/>
      <c r="S35" s="180"/>
      <c r="T35" s="180"/>
      <c r="U35" s="180"/>
      <c r="V35" s="180"/>
      <c r="W35" s="334"/>
      <c r="X35" s="334"/>
      <c r="Y35" s="334"/>
      <c r="Z35" s="334"/>
      <c r="AA35" s="150">
        <v>0</v>
      </c>
      <c r="AB35" s="202">
        <f t="shared" si="2"/>
        <v>0</v>
      </c>
      <c r="AC35" s="150">
        <v>0</v>
      </c>
      <c r="AD35" s="202">
        <f t="shared" si="3"/>
        <v>0</v>
      </c>
      <c r="AE35" s="150">
        <v>0</v>
      </c>
      <c r="AF35" s="202">
        <f t="shared" si="4"/>
        <v>0</v>
      </c>
      <c r="AG35" s="150">
        <v>0</v>
      </c>
      <c r="AH35" s="202">
        <f t="shared" si="5"/>
        <v>0</v>
      </c>
      <c r="AI35" s="150">
        <v>0</v>
      </c>
      <c r="AJ35" s="202">
        <f t="shared" si="6"/>
        <v>0</v>
      </c>
      <c r="AK35" s="150">
        <v>0</v>
      </c>
      <c r="AL35" s="202">
        <f t="shared" si="7"/>
        <v>0</v>
      </c>
      <c r="AM35" s="150">
        <v>0</v>
      </c>
      <c r="AN35" s="202">
        <f t="shared" si="8"/>
        <v>0</v>
      </c>
      <c r="AO35" s="150">
        <v>0</v>
      </c>
      <c r="AP35" s="202">
        <f t="shared" si="9"/>
        <v>0</v>
      </c>
      <c r="AQ35" s="150">
        <v>0</v>
      </c>
      <c r="AR35" s="202">
        <f t="shared" si="10"/>
        <v>0</v>
      </c>
      <c r="AS35" s="150">
        <v>0</v>
      </c>
      <c r="AT35" s="202">
        <f t="shared" si="11"/>
        <v>0</v>
      </c>
      <c r="AU35" s="150">
        <v>0</v>
      </c>
      <c r="AV35" s="202">
        <f t="shared" si="12"/>
        <v>0</v>
      </c>
      <c r="AW35" s="150">
        <v>0</v>
      </c>
      <c r="AX35" s="202">
        <f t="shared" si="13"/>
        <v>0</v>
      </c>
      <c r="AY35" s="150">
        <v>0</v>
      </c>
      <c r="AZ35" s="202">
        <f t="shared" si="14"/>
        <v>0</v>
      </c>
      <c r="BA35" s="150">
        <v>0</v>
      </c>
      <c r="BB35" s="202">
        <f t="shared" si="15"/>
        <v>0</v>
      </c>
      <c r="BC35" s="150">
        <v>0</v>
      </c>
      <c r="BD35" s="202">
        <f t="shared" si="16"/>
        <v>0</v>
      </c>
      <c r="BE35" s="150">
        <v>0</v>
      </c>
      <c r="BF35" s="202">
        <f t="shared" si="17"/>
        <v>0</v>
      </c>
      <c r="BG35" s="150">
        <v>0</v>
      </c>
      <c r="BH35" s="202">
        <f>BG35*F35</f>
        <v>0</v>
      </c>
      <c r="BI35" s="150"/>
      <c r="BJ35" s="202"/>
      <c r="BK35" s="150">
        <f t="shared" si="38"/>
        <v>0</v>
      </c>
      <c r="BL35" s="202">
        <f t="shared" si="39"/>
        <v>0</v>
      </c>
      <c r="BM35" s="159" t="s">
        <v>427</v>
      </c>
      <c r="BN35" s="178"/>
      <c r="BO35" s="254"/>
      <c r="BP35" s="254"/>
      <c r="BQ35" s="254"/>
      <c r="BR35" s="254"/>
      <c r="BS35" s="254"/>
      <c r="BT35" s="254"/>
      <c r="BU35" s="254"/>
      <c r="BV35" s="254"/>
      <c r="BW35" s="255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8"/>
      <c r="CI35" s="178"/>
      <c r="CJ35" s="178"/>
      <c r="CK35" s="178"/>
      <c r="CL35" s="178"/>
      <c r="CM35" s="178"/>
      <c r="CN35" s="178"/>
      <c r="CO35" s="178"/>
      <c r="CP35" s="178"/>
      <c r="CQ35" s="178"/>
      <c r="CR35" s="178"/>
      <c r="CS35" s="178"/>
      <c r="CT35" s="178"/>
      <c r="CU35" s="178"/>
      <c r="CV35" s="178"/>
      <c r="CW35" s="178"/>
      <c r="CX35" s="178"/>
      <c r="CY35" s="178"/>
      <c r="CZ35" s="178"/>
      <c r="DA35" s="178"/>
      <c r="DB35" s="178"/>
      <c r="DC35" s="178"/>
      <c r="DD35" s="178"/>
      <c r="DE35" s="178"/>
      <c r="DF35" s="178"/>
      <c r="DG35" s="178"/>
      <c r="DH35" s="178"/>
      <c r="DI35" s="178"/>
      <c r="DJ35" s="178"/>
      <c r="DK35" s="178"/>
      <c r="DL35" s="178"/>
      <c r="DM35" s="178"/>
      <c r="DN35" s="178"/>
      <c r="DO35" s="178"/>
      <c r="DP35" s="178"/>
      <c r="DQ35" s="178"/>
      <c r="DR35" s="178"/>
      <c r="DS35" s="178"/>
      <c r="DT35" s="178"/>
      <c r="DU35" s="178"/>
      <c r="DV35" s="178"/>
      <c r="DW35" s="178"/>
      <c r="DX35" s="178"/>
      <c r="DY35" s="178"/>
      <c r="DZ35" s="178"/>
      <c r="EA35" s="178"/>
      <c r="EB35" s="178"/>
      <c r="EC35" s="178"/>
      <c r="ED35" s="178"/>
      <c r="EE35" s="178"/>
      <c r="EF35" s="178"/>
      <c r="EG35" s="178"/>
      <c r="EH35" s="178"/>
      <c r="EI35" s="178"/>
      <c r="EJ35" s="178"/>
      <c r="EK35" s="178"/>
      <c r="EL35" s="178"/>
      <c r="EM35" s="178"/>
      <c r="EN35" s="178"/>
      <c r="EO35" s="178"/>
      <c r="EP35" s="178"/>
      <c r="EQ35" s="178"/>
      <c r="ER35" s="178"/>
      <c r="ES35" s="178"/>
      <c r="ET35" s="178"/>
      <c r="EU35" s="178"/>
      <c r="EV35" s="178"/>
      <c r="EW35" s="178"/>
      <c r="EX35" s="178"/>
      <c r="EY35" s="178"/>
      <c r="EZ35" s="178"/>
      <c r="FA35" s="178"/>
      <c r="FB35" s="178"/>
      <c r="FC35" s="178"/>
      <c r="FD35" s="178"/>
    </row>
    <row r="36" spans="1:160" s="643" customFormat="1">
      <c r="A36" s="957"/>
      <c r="B36" s="645"/>
      <c r="C36" s="343"/>
      <c r="D36" s="134" t="s">
        <v>922</v>
      </c>
      <c r="E36" s="159"/>
      <c r="F36" s="135">
        <v>300000</v>
      </c>
      <c r="G36" s="253">
        <f t="shared" si="37"/>
        <v>0</v>
      </c>
      <c r="H36" s="334">
        <f t="shared" si="40"/>
        <v>0</v>
      </c>
      <c r="I36" s="334"/>
      <c r="J36" s="334"/>
      <c r="K36" s="334"/>
      <c r="L36" s="334">
        <f>H36*1</f>
        <v>0</v>
      </c>
      <c r="M36" s="759"/>
      <c r="N36" s="334"/>
      <c r="O36" s="334"/>
      <c r="P36" s="334"/>
      <c r="Q36" s="334"/>
      <c r="R36" s="334"/>
      <c r="S36" s="180"/>
      <c r="T36" s="180"/>
      <c r="U36" s="180"/>
      <c r="V36" s="180"/>
      <c r="W36" s="334"/>
      <c r="X36" s="334"/>
      <c r="Y36" s="334"/>
      <c r="Z36" s="334"/>
      <c r="AA36" s="150">
        <v>0</v>
      </c>
      <c r="AB36" s="202">
        <f t="shared" si="2"/>
        <v>0</v>
      </c>
      <c r="AC36" s="150">
        <v>0</v>
      </c>
      <c r="AD36" s="202">
        <f t="shared" si="3"/>
        <v>0</v>
      </c>
      <c r="AE36" s="150">
        <v>0</v>
      </c>
      <c r="AF36" s="202">
        <f t="shared" si="4"/>
        <v>0</v>
      </c>
      <c r="AG36" s="150">
        <v>0</v>
      </c>
      <c r="AH36" s="202">
        <f t="shared" si="5"/>
        <v>0</v>
      </c>
      <c r="AI36" s="150">
        <v>0</v>
      </c>
      <c r="AJ36" s="202">
        <f t="shared" si="6"/>
        <v>0</v>
      </c>
      <c r="AK36" s="150">
        <v>0</v>
      </c>
      <c r="AL36" s="202">
        <f t="shared" si="7"/>
        <v>0</v>
      </c>
      <c r="AM36" s="150">
        <v>0</v>
      </c>
      <c r="AN36" s="202">
        <f t="shared" si="8"/>
        <v>0</v>
      </c>
      <c r="AO36" s="150">
        <v>0</v>
      </c>
      <c r="AP36" s="202">
        <f t="shared" si="9"/>
        <v>0</v>
      </c>
      <c r="AQ36" s="150">
        <v>0</v>
      </c>
      <c r="AR36" s="202">
        <f t="shared" si="10"/>
        <v>0</v>
      </c>
      <c r="AS36" s="150">
        <v>0</v>
      </c>
      <c r="AT36" s="202">
        <f t="shared" si="11"/>
        <v>0</v>
      </c>
      <c r="AU36" s="150">
        <v>0</v>
      </c>
      <c r="AV36" s="202">
        <f t="shared" si="12"/>
        <v>0</v>
      </c>
      <c r="AW36" s="150">
        <v>0</v>
      </c>
      <c r="AX36" s="202">
        <f t="shared" si="13"/>
        <v>0</v>
      </c>
      <c r="AY36" s="150">
        <v>0</v>
      </c>
      <c r="AZ36" s="202">
        <f t="shared" si="14"/>
        <v>0</v>
      </c>
      <c r="BA36" s="150">
        <v>0</v>
      </c>
      <c r="BB36" s="202">
        <f t="shared" si="15"/>
        <v>0</v>
      </c>
      <c r="BC36" s="150">
        <v>0</v>
      </c>
      <c r="BD36" s="202">
        <f t="shared" si="16"/>
        <v>0</v>
      </c>
      <c r="BE36" s="150">
        <v>0</v>
      </c>
      <c r="BF36" s="202">
        <f t="shared" si="17"/>
        <v>0</v>
      </c>
      <c r="BG36" s="150">
        <v>0</v>
      </c>
      <c r="BH36" s="202">
        <f>BG36*F36</f>
        <v>0</v>
      </c>
      <c r="BI36" s="150"/>
      <c r="BJ36" s="202"/>
      <c r="BK36" s="150">
        <f t="shared" si="38"/>
        <v>0</v>
      </c>
      <c r="BL36" s="202">
        <f t="shared" si="39"/>
        <v>0</v>
      </c>
      <c r="BM36" s="159" t="s">
        <v>427</v>
      </c>
      <c r="BN36" s="178"/>
      <c r="BO36" s="254"/>
      <c r="BP36" s="254"/>
      <c r="BQ36" s="254"/>
      <c r="BR36" s="254"/>
      <c r="BS36" s="254"/>
      <c r="BT36" s="254"/>
      <c r="BU36" s="254"/>
      <c r="BV36" s="254"/>
      <c r="BW36" s="255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8"/>
      <c r="CI36" s="178"/>
      <c r="CJ36" s="178"/>
      <c r="CK36" s="178"/>
      <c r="CL36" s="178"/>
      <c r="CM36" s="178"/>
      <c r="CN36" s="178"/>
      <c r="CO36" s="178"/>
      <c r="CP36" s="178"/>
      <c r="CQ36" s="178"/>
      <c r="CR36" s="178"/>
      <c r="CS36" s="178"/>
      <c r="CT36" s="178"/>
      <c r="CU36" s="178"/>
      <c r="CV36" s="178"/>
      <c r="CW36" s="178"/>
      <c r="CX36" s="178"/>
      <c r="CY36" s="178"/>
      <c r="CZ36" s="178"/>
      <c r="DA36" s="178"/>
      <c r="DB36" s="178"/>
      <c r="DC36" s="178"/>
      <c r="DD36" s="178"/>
      <c r="DE36" s="178"/>
      <c r="DF36" s="178"/>
      <c r="DG36" s="178"/>
      <c r="DH36" s="178"/>
      <c r="DI36" s="178"/>
      <c r="DJ36" s="178"/>
      <c r="DK36" s="178"/>
      <c r="DL36" s="178"/>
      <c r="DM36" s="178"/>
      <c r="DN36" s="178"/>
      <c r="DO36" s="178"/>
      <c r="DP36" s="178"/>
      <c r="DQ36" s="178"/>
      <c r="DR36" s="178"/>
      <c r="DS36" s="178"/>
      <c r="DT36" s="178"/>
      <c r="DU36" s="178"/>
      <c r="DV36" s="178"/>
      <c r="DW36" s="178"/>
      <c r="DX36" s="178"/>
      <c r="DY36" s="178"/>
      <c r="DZ36" s="178"/>
      <c r="EA36" s="178"/>
      <c r="EB36" s="178"/>
      <c r="EC36" s="178"/>
      <c r="ED36" s="178"/>
      <c r="EE36" s="178"/>
      <c r="EF36" s="178"/>
      <c r="EG36" s="178"/>
      <c r="EH36" s="178"/>
      <c r="EI36" s="178"/>
      <c r="EJ36" s="178"/>
      <c r="EK36" s="178"/>
      <c r="EL36" s="178"/>
      <c r="EM36" s="178"/>
      <c r="EN36" s="178"/>
      <c r="EO36" s="178"/>
      <c r="EP36" s="178"/>
      <c r="EQ36" s="178"/>
      <c r="ER36" s="178"/>
      <c r="ES36" s="178"/>
      <c r="ET36" s="178"/>
      <c r="EU36" s="178"/>
      <c r="EV36" s="178"/>
      <c r="EW36" s="178"/>
      <c r="EX36" s="178"/>
      <c r="EY36" s="178"/>
      <c r="EZ36" s="178"/>
      <c r="FA36" s="178"/>
      <c r="FB36" s="178"/>
      <c r="FC36" s="178"/>
      <c r="FD36" s="178"/>
    </row>
    <row r="37" spans="1:160" s="658" customFormat="1" ht="47.25">
      <c r="A37" s="957"/>
      <c r="B37" s="646"/>
      <c r="C37" s="647"/>
      <c r="D37" s="134" t="s">
        <v>1011</v>
      </c>
      <c r="E37" s="648" t="s">
        <v>95</v>
      </c>
      <c r="F37" s="649">
        <v>200000</v>
      </c>
      <c r="G37" s="650">
        <f t="shared" si="37"/>
        <v>1</v>
      </c>
      <c r="H37" s="651">
        <f>BL37</f>
        <v>1828382</v>
      </c>
      <c r="I37" s="651"/>
      <c r="J37" s="651"/>
      <c r="K37" s="651"/>
      <c r="L37" s="651">
        <f>H37*0</f>
        <v>0</v>
      </c>
      <c r="M37" s="759">
        <f>H37</f>
        <v>1828382</v>
      </c>
      <c r="N37" s="651"/>
      <c r="O37" s="651"/>
      <c r="P37" s="651"/>
      <c r="Q37" s="651"/>
      <c r="R37" s="651"/>
      <c r="S37" s="652"/>
      <c r="T37" s="652"/>
      <c r="U37" s="652"/>
      <c r="V37" s="652"/>
      <c r="W37" s="651"/>
      <c r="X37" s="651"/>
      <c r="Y37" s="651"/>
      <c r="Z37" s="651"/>
      <c r="AA37" s="653">
        <v>0</v>
      </c>
      <c r="AB37" s="654">
        <f t="shared" si="2"/>
        <v>0</v>
      </c>
      <c r="AC37" s="653">
        <v>0</v>
      </c>
      <c r="AD37" s="654">
        <f t="shared" si="3"/>
        <v>0</v>
      </c>
      <c r="AE37" s="653">
        <v>0</v>
      </c>
      <c r="AF37" s="654">
        <f t="shared" si="4"/>
        <v>0</v>
      </c>
      <c r="AG37" s="653">
        <v>0</v>
      </c>
      <c r="AH37" s="654">
        <f t="shared" si="5"/>
        <v>0</v>
      </c>
      <c r="AI37" s="653">
        <v>0</v>
      </c>
      <c r="AJ37" s="654">
        <f t="shared" si="6"/>
        <v>0</v>
      </c>
      <c r="AK37" s="653">
        <v>0</v>
      </c>
      <c r="AL37" s="654">
        <f t="shared" si="7"/>
        <v>0</v>
      </c>
      <c r="AM37" s="653">
        <v>1</v>
      </c>
      <c r="AN37" s="654">
        <f>AM37*F37+436000+88000</f>
        <v>724000</v>
      </c>
      <c r="AO37" s="653">
        <v>0</v>
      </c>
      <c r="AP37" s="654">
        <f t="shared" si="9"/>
        <v>0</v>
      </c>
      <c r="AQ37" s="653">
        <v>0</v>
      </c>
      <c r="AR37" s="654">
        <f t="shared" si="10"/>
        <v>0</v>
      </c>
      <c r="AS37" s="653">
        <v>0</v>
      </c>
      <c r="AT37" s="654">
        <f t="shared" si="11"/>
        <v>0</v>
      </c>
      <c r="AU37" s="653">
        <v>0</v>
      </c>
      <c r="AV37" s="654">
        <f>474000+492382+138000</f>
        <v>1104382</v>
      </c>
      <c r="AW37" s="653">
        <v>0</v>
      </c>
      <c r="AX37" s="654">
        <f t="shared" si="13"/>
        <v>0</v>
      </c>
      <c r="AY37" s="653">
        <v>0</v>
      </c>
      <c r="AZ37" s="654">
        <f t="shared" si="14"/>
        <v>0</v>
      </c>
      <c r="BA37" s="653">
        <v>0</v>
      </c>
      <c r="BB37" s="654">
        <f t="shared" si="15"/>
        <v>0</v>
      </c>
      <c r="BC37" s="653">
        <v>0</v>
      </c>
      <c r="BD37" s="654">
        <f t="shared" si="16"/>
        <v>0</v>
      </c>
      <c r="BE37" s="653">
        <v>0</v>
      </c>
      <c r="BF37" s="654">
        <f t="shared" si="17"/>
        <v>0</v>
      </c>
      <c r="BG37" s="653">
        <v>0</v>
      </c>
      <c r="BH37" s="654">
        <f>BG37*F37</f>
        <v>0</v>
      </c>
      <c r="BI37" s="653"/>
      <c r="BJ37" s="654"/>
      <c r="BK37" s="653">
        <f t="shared" si="38"/>
        <v>1</v>
      </c>
      <c r="BL37" s="654">
        <f t="shared" si="39"/>
        <v>1828382</v>
      </c>
      <c r="BM37" s="648" t="s">
        <v>1004</v>
      </c>
      <c r="BN37" s="655"/>
      <c r="BO37" s="656"/>
      <c r="BP37" s="656"/>
      <c r="BQ37" s="656"/>
      <c r="BR37" s="656"/>
      <c r="BS37" s="656"/>
      <c r="BT37" s="656"/>
      <c r="BU37" s="656"/>
      <c r="BV37" s="656"/>
      <c r="BW37" s="657"/>
      <c r="BX37" s="655"/>
      <c r="BY37" s="655"/>
      <c r="BZ37" s="655"/>
      <c r="CA37" s="655"/>
      <c r="CB37" s="655"/>
      <c r="CC37" s="655"/>
      <c r="CD37" s="655"/>
      <c r="CE37" s="655"/>
      <c r="CF37" s="655"/>
      <c r="CG37" s="655"/>
      <c r="CH37" s="655"/>
      <c r="CI37" s="655"/>
      <c r="CJ37" s="655"/>
      <c r="CK37" s="655"/>
      <c r="CL37" s="655"/>
      <c r="CM37" s="655"/>
      <c r="CN37" s="655"/>
      <c r="CO37" s="655"/>
      <c r="CP37" s="655"/>
      <c r="CQ37" s="655"/>
      <c r="CR37" s="655"/>
      <c r="CS37" s="655"/>
      <c r="CT37" s="655"/>
      <c r="CU37" s="655"/>
      <c r="CV37" s="655"/>
      <c r="CW37" s="655"/>
      <c r="CX37" s="655"/>
      <c r="CY37" s="655"/>
      <c r="CZ37" s="655"/>
      <c r="DA37" s="655"/>
      <c r="DB37" s="655"/>
      <c r="DC37" s="655"/>
      <c r="DD37" s="655"/>
      <c r="DE37" s="655"/>
      <c r="DF37" s="655"/>
      <c r="DG37" s="655"/>
      <c r="DH37" s="655"/>
      <c r="DI37" s="655"/>
      <c r="DJ37" s="655"/>
      <c r="DK37" s="655"/>
      <c r="DL37" s="655"/>
      <c r="DM37" s="655"/>
      <c r="DN37" s="655"/>
      <c r="DO37" s="655"/>
      <c r="DP37" s="655"/>
      <c r="DQ37" s="655"/>
      <c r="DR37" s="655"/>
      <c r="DS37" s="655"/>
      <c r="DT37" s="655"/>
      <c r="DU37" s="655"/>
      <c r="DV37" s="655"/>
      <c r="DW37" s="655"/>
      <c r="DX37" s="655"/>
      <c r="DY37" s="655"/>
      <c r="DZ37" s="655"/>
      <c r="EA37" s="655"/>
      <c r="EB37" s="655"/>
      <c r="EC37" s="655"/>
      <c r="ED37" s="655"/>
      <c r="EE37" s="655"/>
      <c r="EF37" s="655"/>
      <c r="EG37" s="655"/>
      <c r="EH37" s="655"/>
      <c r="EI37" s="655"/>
      <c r="EJ37" s="655"/>
      <c r="EK37" s="655"/>
      <c r="EL37" s="655"/>
      <c r="EM37" s="655"/>
      <c r="EN37" s="655"/>
      <c r="EO37" s="655"/>
      <c r="EP37" s="655"/>
      <c r="EQ37" s="655"/>
      <c r="ER37" s="655"/>
      <c r="ES37" s="655"/>
      <c r="ET37" s="655"/>
      <c r="EU37" s="655"/>
      <c r="EV37" s="655"/>
      <c r="EW37" s="655"/>
      <c r="EX37" s="655"/>
      <c r="EY37" s="655"/>
      <c r="EZ37" s="655"/>
      <c r="FA37" s="655"/>
      <c r="FB37" s="655"/>
      <c r="FC37" s="655"/>
      <c r="FD37" s="655"/>
    </row>
    <row r="38" spans="1:160" s="658" customFormat="1">
      <c r="A38" s="957"/>
      <c r="B38" s="646"/>
      <c r="C38" s="647"/>
      <c r="D38" s="659" t="s">
        <v>595</v>
      </c>
      <c r="E38" s="648" t="s">
        <v>95</v>
      </c>
      <c r="F38" s="649" t="s">
        <v>350</v>
      </c>
      <c r="G38" s="650">
        <f t="shared" si="37"/>
        <v>0</v>
      </c>
      <c r="H38" s="651">
        <f t="shared" si="40"/>
        <v>0</v>
      </c>
      <c r="I38" s="651"/>
      <c r="J38" s="651"/>
      <c r="K38" s="651"/>
      <c r="L38" s="651">
        <f>H38*1</f>
        <v>0</v>
      </c>
      <c r="M38" s="759"/>
      <c r="N38" s="651"/>
      <c r="O38" s="651"/>
      <c r="P38" s="651"/>
      <c r="Q38" s="651"/>
      <c r="R38" s="651"/>
      <c r="S38" s="660">
        <f>G38*0.25</f>
        <v>0</v>
      </c>
      <c r="T38" s="652">
        <f>G38*0.25</f>
        <v>0</v>
      </c>
      <c r="U38" s="652">
        <f>G38*0.25</f>
        <v>0</v>
      </c>
      <c r="V38" s="652">
        <f>G38*0.25</f>
        <v>0</v>
      </c>
      <c r="W38" s="651">
        <f>S38*H38</f>
        <v>0</v>
      </c>
      <c r="X38" s="651">
        <f>T38*H38</f>
        <v>0</v>
      </c>
      <c r="Y38" s="651">
        <f>U38*H38</f>
        <v>0</v>
      </c>
      <c r="Z38" s="651">
        <f>V38*H38</f>
        <v>0</v>
      </c>
      <c r="AA38" s="653">
        <v>0</v>
      </c>
      <c r="AB38" s="654">
        <f t="shared" si="2"/>
        <v>0</v>
      </c>
      <c r="AC38" s="653">
        <v>0</v>
      </c>
      <c r="AD38" s="654">
        <f t="shared" si="3"/>
        <v>0</v>
      </c>
      <c r="AE38" s="653">
        <v>0</v>
      </c>
      <c r="AF38" s="654">
        <f t="shared" si="4"/>
        <v>0</v>
      </c>
      <c r="AG38" s="653">
        <v>0</v>
      </c>
      <c r="AH38" s="654">
        <f t="shared" si="5"/>
        <v>0</v>
      </c>
      <c r="AI38" s="653">
        <v>0</v>
      </c>
      <c r="AJ38" s="654">
        <f t="shared" si="6"/>
        <v>0</v>
      </c>
      <c r="AK38" s="653">
        <v>0</v>
      </c>
      <c r="AL38" s="654">
        <f t="shared" si="7"/>
        <v>0</v>
      </c>
      <c r="AM38" s="653">
        <v>0</v>
      </c>
      <c r="AN38" s="654">
        <f t="shared" si="8"/>
        <v>0</v>
      </c>
      <c r="AO38" s="653">
        <v>0</v>
      </c>
      <c r="AP38" s="654">
        <f t="shared" si="9"/>
        <v>0</v>
      </c>
      <c r="AQ38" s="653">
        <v>0</v>
      </c>
      <c r="AR38" s="654">
        <f t="shared" si="10"/>
        <v>0</v>
      </c>
      <c r="AS38" s="653">
        <v>0</v>
      </c>
      <c r="AT38" s="654">
        <f t="shared" si="11"/>
        <v>0</v>
      </c>
      <c r="AU38" s="653">
        <v>0</v>
      </c>
      <c r="AV38" s="654">
        <f t="shared" si="12"/>
        <v>0</v>
      </c>
      <c r="AW38" s="653">
        <v>0</v>
      </c>
      <c r="AX38" s="654">
        <f t="shared" si="13"/>
        <v>0</v>
      </c>
      <c r="AY38" s="653">
        <v>0</v>
      </c>
      <c r="AZ38" s="654">
        <f t="shared" si="14"/>
        <v>0</v>
      </c>
      <c r="BA38" s="653">
        <v>0</v>
      </c>
      <c r="BB38" s="654">
        <f t="shared" si="15"/>
        <v>0</v>
      </c>
      <c r="BC38" s="653">
        <v>0</v>
      </c>
      <c r="BD38" s="654">
        <f t="shared" si="16"/>
        <v>0</v>
      </c>
      <c r="BE38" s="653">
        <v>0</v>
      </c>
      <c r="BF38" s="654">
        <f t="shared" si="17"/>
        <v>0</v>
      </c>
      <c r="BG38" s="653">
        <v>0</v>
      </c>
      <c r="BH38" s="654">
        <f>BG38*F38</f>
        <v>0</v>
      </c>
      <c r="BI38" s="653">
        <v>0</v>
      </c>
      <c r="BJ38" s="654">
        <f>BI38*F38</f>
        <v>0</v>
      </c>
      <c r="BK38" s="653">
        <f t="shared" si="38"/>
        <v>0</v>
      </c>
      <c r="BL38" s="654">
        <f t="shared" si="39"/>
        <v>0</v>
      </c>
      <c r="BM38" s="648" t="s">
        <v>427</v>
      </c>
      <c r="BN38" s="655"/>
      <c r="BO38" s="656">
        <f>H38</f>
        <v>0</v>
      </c>
      <c r="BP38" s="656"/>
      <c r="BQ38" s="656"/>
      <c r="BR38" s="656"/>
      <c r="BS38" s="656">
        <f t="shared" si="36"/>
        <v>0</v>
      </c>
      <c r="BT38" s="656"/>
      <c r="BU38" s="656"/>
      <c r="BV38" s="656">
        <f>BT38+BU38</f>
        <v>0</v>
      </c>
      <c r="BW38" s="657">
        <f t="shared" si="22"/>
        <v>0</v>
      </c>
      <c r="BX38" s="655"/>
      <c r="BY38" s="655"/>
      <c r="BZ38" s="655"/>
      <c r="CA38" s="655"/>
      <c r="CB38" s="655"/>
      <c r="CC38" s="655"/>
      <c r="CD38" s="655"/>
      <c r="CE38" s="655"/>
      <c r="CF38" s="655"/>
      <c r="CG38" s="655"/>
      <c r="CH38" s="655"/>
      <c r="CI38" s="655"/>
      <c r="CJ38" s="655"/>
      <c r="CK38" s="655"/>
      <c r="CL38" s="655"/>
      <c r="CM38" s="655"/>
      <c r="CN38" s="655"/>
      <c r="CO38" s="655"/>
      <c r="CP38" s="655"/>
      <c r="CQ38" s="655"/>
      <c r="CR38" s="655"/>
      <c r="CS38" s="655"/>
      <c r="CT38" s="655"/>
      <c r="CU38" s="655"/>
      <c r="CV38" s="655"/>
      <c r="CW38" s="655"/>
      <c r="CX38" s="655"/>
      <c r="CY38" s="655"/>
      <c r="CZ38" s="655"/>
      <c r="DA38" s="655"/>
      <c r="DB38" s="655"/>
      <c r="DC38" s="655"/>
      <c r="DD38" s="655"/>
      <c r="DE38" s="655"/>
      <c r="DF38" s="655"/>
      <c r="DG38" s="655"/>
      <c r="DH38" s="655"/>
      <c r="DI38" s="655"/>
      <c r="DJ38" s="655"/>
      <c r="DK38" s="655"/>
      <c r="DL38" s="655"/>
      <c r="DM38" s="655"/>
      <c r="DN38" s="655"/>
      <c r="DO38" s="655"/>
      <c r="DP38" s="655"/>
      <c r="DQ38" s="655"/>
      <c r="DR38" s="655"/>
      <c r="DS38" s="655"/>
      <c r="DT38" s="655"/>
      <c r="DU38" s="655"/>
      <c r="DV38" s="655"/>
      <c r="DW38" s="655"/>
      <c r="DX38" s="655"/>
      <c r="DY38" s="655"/>
      <c r="DZ38" s="655"/>
      <c r="EA38" s="655"/>
      <c r="EB38" s="655"/>
      <c r="EC38" s="655"/>
      <c r="ED38" s="655"/>
      <c r="EE38" s="655"/>
      <c r="EF38" s="655"/>
      <c r="EG38" s="655"/>
      <c r="EH38" s="655"/>
      <c r="EI38" s="655"/>
      <c r="EJ38" s="655"/>
      <c r="EK38" s="655"/>
      <c r="EL38" s="655"/>
      <c r="EM38" s="655"/>
      <c r="EN38" s="655"/>
      <c r="EO38" s="655"/>
      <c r="EP38" s="655"/>
      <c r="EQ38" s="655"/>
      <c r="ER38" s="655"/>
      <c r="ES38" s="655"/>
      <c r="ET38" s="655"/>
      <c r="EU38" s="655"/>
      <c r="EV38" s="655"/>
      <c r="EW38" s="655"/>
      <c r="EX38" s="655"/>
      <c r="EY38" s="655"/>
      <c r="EZ38" s="655"/>
      <c r="FA38" s="655"/>
      <c r="FB38" s="655"/>
      <c r="FC38" s="655"/>
      <c r="FD38" s="655"/>
    </row>
    <row r="39" spans="1:160" s="341" customFormat="1">
      <c r="A39" s="957"/>
      <c r="B39" s="346"/>
      <c r="C39" s="343"/>
      <c r="D39" s="158" t="s">
        <v>419</v>
      </c>
      <c r="E39" s="159" t="s">
        <v>115</v>
      </c>
      <c r="F39" s="135"/>
      <c r="G39" s="246">
        <f t="shared" ref="G39:AL39" si="41">SUM(G30:G38)</f>
        <v>19</v>
      </c>
      <c r="H39" s="246">
        <f t="shared" si="41"/>
        <v>5727382</v>
      </c>
      <c r="I39" s="246">
        <f t="shared" si="41"/>
        <v>29800</v>
      </c>
      <c r="J39" s="246">
        <f t="shared" si="41"/>
        <v>119200</v>
      </c>
      <c r="K39" s="246">
        <f t="shared" si="41"/>
        <v>0</v>
      </c>
      <c r="L39" s="246">
        <f t="shared" si="41"/>
        <v>0</v>
      </c>
      <c r="M39" s="762">
        <f t="shared" si="41"/>
        <v>5578382</v>
      </c>
      <c r="N39" s="246">
        <f t="shared" si="41"/>
        <v>0</v>
      </c>
      <c r="O39" s="246">
        <f t="shared" si="41"/>
        <v>0</v>
      </c>
      <c r="P39" s="246">
        <f t="shared" si="41"/>
        <v>0</v>
      </c>
      <c r="Q39" s="246">
        <f t="shared" si="41"/>
        <v>0</v>
      </c>
      <c r="R39" s="246">
        <f t="shared" si="41"/>
        <v>0</v>
      </c>
      <c r="S39" s="246">
        <f t="shared" si="41"/>
        <v>1.75</v>
      </c>
      <c r="T39" s="246">
        <f t="shared" si="41"/>
        <v>1.75</v>
      </c>
      <c r="U39" s="246">
        <f t="shared" si="41"/>
        <v>1.75</v>
      </c>
      <c r="V39" s="246">
        <f t="shared" si="41"/>
        <v>1.75</v>
      </c>
      <c r="W39" s="246">
        <f t="shared" si="41"/>
        <v>35000</v>
      </c>
      <c r="X39" s="246">
        <f t="shared" si="41"/>
        <v>35000</v>
      </c>
      <c r="Y39" s="246">
        <f t="shared" si="41"/>
        <v>35000</v>
      </c>
      <c r="Z39" s="246">
        <f t="shared" si="41"/>
        <v>35000</v>
      </c>
      <c r="AA39" s="246">
        <f t="shared" si="41"/>
        <v>0</v>
      </c>
      <c r="AB39" s="246">
        <f t="shared" si="41"/>
        <v>0</v>
      </c>
      <c r="AC39" s="246">
        <f t="shared" si="41"/>
        <v>8</v>
      </c>
      <c r="AD39" s="246">
        <f t="shared" si="41"/>
        <v>490000</v>
      </c>
      <c r="AE39" s="246">
        <f t="shared" si="41"/>
        <v>1</v>
      </c>
      <c r="AF39" s="246">
        <f t="shared" si="41"/>
        <v>350000</v>
      </c>
      <c r="AG39" s="246">
        <f t="shared" si="41"/>
        <v>1</v>
      </c>
      <c r="AH39" s="246">
        <f t="shared" si="41"/>
        <v>350000</v>
      </c>
      <c r="AI39" s="246">
        <f t="shared" si="41"/>
        <v>1</v>
      </c>
      <c r="AJ39" s="246">
        <f t="shared" si="41"/>
        <v>350000</v>
      </c>
      <c r="AK39" s="246">
        <f t="shared" si="41"/>
        <v>1</v>
      </c>
      <c r="AL39" s="246">
        <f t="shared" si="41"/>
        <v>350000</v>
      </c>
      <c r="AM39" s="246">
        <f t="shared" ref="AM39:BR39" si="42">SUM(AM30:AM38)</f>
        <v>2</v>
      </c>
      <c r="AN39" s="246">
        <f t="shared" si="42"/>
        <v>974000</v>
      </c>
      <c r="AO39" s="246">
        <f t="shared" si="42"/>
        <v>0</v>
      </c>
      <c r="AP39" s="246">
        <f t="shared" si="42"/>
        <v>0</v>
      </c>
      <c r="AQ39" s="246">
        <f t="shared" si="42"/>
        <v>0</v>
      </c>
      <c r="AR39" s="246">
        <f t="shared" si="42"/>
        <v>0</v>
      </c>
      <c r="AS39" s="246">
        <f t="shared" si="42"/>
        <v>1</v>
      </c>
      <c r="AT39" s="246">
        <f t="shared" si="42"/>
        <v>359000</v>
      </c>
      <c r="AU39" s="246">
        <f t="shared" si="42"/>
        <v>1</v>
      </c>
      <c r="AV39" s="246">
        <f t="shared" si="42"/>
        <v>1454382</v>
      </c>
      <c r="AW39" s="246">
        <f t="shared" si="42"/>
        <v>1</v>
      </c>
      <c r="AX39" s="246">
        <f t="shared" si="42"/>
        <v>350000</v>
      </c>
      <c r="AY39" s="246">
        <f t="shared" si="42"/>
        <v>1</v>
      </c>
      <c r="AZ39" s="246">
        <f t="shared" si="42"/>
        <v>350000</v>
      </c>
      <c r="BA39" s="246">
        <f t="shared" si="42"/>
        <v>0</v>
      </c>
      <c r="BB39" s="246">
        <f t="shared" si="42"/>
        <v>0</v>
      </c>
      <c r="BC39" s="246">
        <f t="shared" si="42"/>
        <v>1</v>
      </c>
      <c r="BD39" s="246">
        <f t="shared" si="42"/>
        <v>350000</v>
      </c>
      <c r="BE39" s="246">
        <f t="shared" si="42"/>
        <v>0</v>
      </c>
      <c r="BF39" s="246">
        <f t="shared" si="42"/>
        <v>0</v>
      </c>
      <c r="BG39" s="246">
        <f t="shared" si="42"/>
        <v>0</v>
      </c>
      <c r="BH39" s="246">
        <f t="shared" si="42"/>
        <v>0</v>
      </c>
      <c r="BI39" s="246">
        <f t="shared" si="42"/>
        <v>0</v>
      </c>
      <c r="BJ39" s="246">
        <f t="shared" si="42"/>
        <v>0</v>
      </c>
      <c r="BK39" s="246">
        <f t="shared" si="42"/>
        <v>19</v>
      </c>
      <c r="BL39" s="246">
        <f t="shared" si="42"/>
        <v>5727382</v>
      </c>
      <c r="BM39" s="246">
        <f t="shared" si="42"/>
        <v>0</v>
      </c>
      <c r="BN39" s="246">
        <f t="shared" si="42"/>
        <v>0</v>
      </c>
      <c r="BO39" s="246">
        <f t="shared" si="42"/>
        <v>0</v>
      </c>
      <c r="BP39" s="246">
        <f t="shared" si="42"/>
        <v>0</v>
      </c>
      <c r="BQ39" s="246">
        <f t="shared" si="42"/>
        <v>149000</v>
      </c>
      <c r="BR39" s="246">
        <f t="shared" si="42"/>
        <v>0</v>
      </c>
      <c r="BS39" s="246">
        <f t="shared" ref="BS39:BW39" si="43">SUM(BS30:BS38)</f>
        <v>149000</v>
      </c>
      <c r="BT39" s="246">
        <f t="shared" si="43"/>
        <v>0</v>
      </c>
      <c r="BU39" s="246">
        <f t="shared" si="43"/>
        <v>0</v>
      </c>
      <c r="BV39" s="246">
        <f t="shared" si="43"/>
        <v>0</v>
      </c>
      <c r="BW39" s="246">
        <f t="shared" si="43"/>
        <v>149000</v>
      </c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8"/>
      <c r="CI39" s="178"/>
      <c r="CJ39" s="178"/>
      <c r="CK39" s="178"/>
      <c r="CL39" s="178"/>
      <c r="CM39" s="178"/>
      <c r="CN39" s="178"/>
      <c r="CO39" s="178"/>
      <c r="CP39" s="178"/>
      <c r="CQ39" s="178"/>
      <c r="CR39" s="178"/>
      <c r="CS39" s="178"/>
      <c r="CT39" s="178"/>
      <c r="CU39" s="178"/>
      <c r="CV39" s="178"/>
      <c r="CW39" s="178"/>
      <c r="CX39" s="178"/>
      <c r="CY39" s="178"/>
      <c r="CZ39" s="178"/>
      <c r="DA39" s="178"/>
      <c r="DB39" s="178"/>
      <c r="DC39" s="178"/>
      <c r="DD39" s="178"/>
      <c r="DE39" s="178"/>
      <c r="DF39" s="178"/>
      <c r="DG39" s="178"/>
      <c r="DH39" s="178"/>
      <c r="DI39" s="178"/>
      <c r="DJ39" s="178"/>
      <c r="DK39" s="178"/>
      <c r="DL39" s="178"/>
      <c r="DM39" s="178"/>
      <c r="DN39" s="178"/>
      <c r="DO39" s="178"/>
      <c r="DP39" s="178"/>
      <c r="DQ39" s="178"/>
      <c r="DR39" s="178"/>
      <c r="DS39" s="178"/>
      <c r="DT39" s="178"/>
      <c r="DU39" s="178"/>
      <c r="DV39" s="178"/>
      <c r="DW39" s="178"/>
      <c r="DX39" s="178"/>
      <c r="DY39" s="178"/>
      <c r="DZ39" s="178"/>
      <c r="EA39" s="178"/>
      <c r="EB39" s="178"/>
      <c r="EC39" s="178"/>
      <c r="ED39" s="178"/>
      <c r="EE39" s="178"/>
      <c r="EF39" s="178"/>
      <c r="EG39" s="178"/>
      <c r="EH39" s="178"/>
      <c r="EI39" s="178"/>
      <c r="EJ39" s="178"/>
      <c r="EK39" s="178"/>
      <c r="EL39" s="178"/>
      <c r="EM39" s="178"/>
      <c r="EN39" s="178"/>
      <c r="EO39" s="178"/>
      <c r="EP39" s="178"/>
      <c r="EQ39" s="178"/>
      <c r="ER39" s="178"/>
      <c r="ES39" s="178"/>
      <c r="ET39" s="178"/>
      <c r="EU39" s="178"/>
      <c r="EV39" s="178"/>
      <c r="EW39" s="178"/>
      <c r="EX39" s="178"/>
      <c r="EY39" s="178"/>
      <c r="EZ39" s="178"/>
      <c r="FA39" s="178"/>
      <c r="FB39" s="178"/>
      <c r="FC39" s="178"/>
      <c r="FD39" s="178"/>
    </row>
    <row r="40" spans="1:160" s="341" customFormat="1">
      <c r="A40" s="957"/>
      <c r="B40" s="346"/>
      <c r="C40" s="343"/>
      <c r="D40" s="158" t="s">
        <v>420</v>
      </c>
      <c r="E40" s="159"/>
      <c r="F40" s="135"/>
      <c r="G40" s="246"/>
      <c r="H40" s="334"/>
      <c r="I40" s="334"/>
      <c r="J40" s="334"/>
      <c r="K40" s="334"/>
      <c r="L40" s="334"/>
      <c r="M40" s="759"/>
      <c r="N40" s="334"/>
      <c r="O40" s="334"/>
      <c r="P40" s="334"/>
      <c r="Q40" s="334"/>
      <c r="R40" s="334"/>
      <c r="S40" s="180"/>
      <c r="T40" s="180"/>
      <c r="U40" s="180"/>
      <c r="V40" s="180"/>
      <c r="W40" s="334"/>
      <c r="X40" s="334"/>
      <c r="Y40" s="334"/>
      <c r="Z40" s="334"/>
      <c r="AA40" s="150"/>
      <c r="AB40" s="202"/>
      <c r="AC40" s="150"/>
      <c r="AD40" s="202"/>
      <c r="AE40" s="150"/>
      <c r="AF40" s="202"/>
      <c r="AG40" s="150"/>
      <c r="AH40" s="202"/>
      <c r="AI40" s="150"/>
      <c r="AJ40" s="202"/>
      <c r="AK40" s="150"/>
      <c r="AL40" s="202"/>
      <c r="AM40" s="150"/>
      <c r="AN40" s="202"/>
      <c r="AO40" s="150"/>
      <c r="AP40" s="202"/>
      <c r="AQ40" s="150"/>
      <c r="AR40" s="202"/>
      <c r="AS40" s="150"/>
      <c r="AT40" s="202"/>
      <c r="AU40" s="150"/>
      <c r="AV40" s="202"/>
      <c r="AW40" s="150"/>
      <c r="AX40" s="202"/>
      <c r="AY40" s="150"/>
      <c r="AZ40" s="202"/>
      <c r="BA40" s="150"/>
      <c r="BB40" s="202"/>
      <c r="BC40" s="150"/>
      <c r="BD40" s="202"/>
      <c r="BE40" s="150"/>
      <c r="BF40" s="202"/>
      <c r="BG40" s="150"/>
      <c r="BH40" s="202"/>
      <c r="BI40" s="150"/>
      <c r="BJ40" s="202"/>
      <c r="BK40" s="150"/>
      <c r="BL40" s="202"/>
      <c r="BM40" s="159"/>
      <c r="BN40" s="178"/>
      <c r="BO40" s="254">
        <f>H40</f>
        <v>0</v>
      </c>
      <c r="BP40" s="254"/>
      <c r="BQ40" s="254"/>
      <c r="BR40" s="254"/>
      <c r="BS40" s="254">
        <f t="shared" si="36"/>
        <v>0</v>
      </c>
      <c r="BT40" s="254"/>
      <c r="BU40" s="254"/>
      <c r="BV40" s="254">
        <f>BT40+BU40</f>
        <v>0</v>
      </c>
      <c r="BW40" s="255">
        <f t="shared" si="22"/>
        <v>0</v>
      </c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8"/>
      <c r="CI40" s="178"/>
      <c r="CJ40" s="178"/>
      <c r="CK40" s="178"/>
      <c r="CL40" s="178"/>
      <c r="CM40" s="178"/>
      <c r="CN40" s="178"/>
      <c r="CO40" s="178"/>
      <c r="CP40" s="178"/>
      <c r="CQ40" s="178"/>
      <c r="CR40" s="178"/>
      <c r="CS40" s="178"/>
      <c r="CT40" s="178"/>
      <c r="CU40" s="178"/>
      <c r="CV40" s="178"/>
      <c r="CW40" s="178"/>
      <c r="CX40" s="178"/>
      <c r="CY40" s="178"/>
      <c r="CZ40" s="178"/>
      <c r="DA40" s="178"/>
      <c r="DB40" s="178"/>
      <c r="DC40" s="178"/>
      <c r="DD40" s="178"/>
      <c r="DE40" s="178"/>
      <c r="DF40" s="178"/>
      <c r="DG40" s="178"/>
      <c r="DH40" s="178"/>
      <c r="DI40" s="178"/>
      <c r="DJ40" s="178"/>
      <c r="DK40" s="178"/>
      <c r="DL40" s="178"/>
      <c r="DM40" s="178"/>
      <c r="DN40" s="178"/>
      <c r="DO40" s="178"/>
      <c r="DP40" s="178"/>
      <c r="DQ40" s="178"/>
      <c r="DR40" s="178"/>
      <c r="DS40" s="178"/>
      <c r="DT40" s="178"/>
      <c r="DU40" s="178"/>
      <c r="DV40" s="178"/>
      <c r="DW40" s="178"/>
      <c r="DX40" s="178"/>
      <c r="DY40" s="178"/>
      <c r="DZ40" s="178"/>
      <c r="EA40" s="178"/>
      <c r="EB40" s="178"/>
      <c r="EC40" s="178"/>
      <c r="ED40" s="178"/>
      <c r="EE40" s="178"/>
      <c r="EF40" s="178"/>
      <c r="EG40" s="178"/>
      <c r="EH40" s="178"/>
      <c r="EI40" s="178"/>
      <c r="EJ40" s="178"/>
      <c r="EK40" s="178"/>
      <c r="EL40" s="178"/>
      <c r="EM40" s="178"/>
      <c r="EN40" s="178"/>
      <c r="EO40" s="178"/>
      <c r="EP40" s="178"/>
      <c r="EQ40" s="178"/>
      <c r="ER40" s="178"/>
      <c r="ES40" s="178"/>
      <c r="ET40" s="178"/>
      <c r="EU40" s="178"/>
      <c r="EV40" s="178"/>
      <c r="EW40" s="178"/>
      <c r="EX40" s="178"/>
      <c r="EY40" s="178"/>
      <c r="EZ40" s="178"/>
      <c r="FA40" s="178"/>
      <c r="FB40" s="178"/>
      <c r="FC40" s="178"/>
      <c r="FD40" s="178"/>
    </row>
    <row r="41" spans="1:160" s="341" customFormat="1">
      <c r="A41" s="957"/>
      <c r="B41" s="346"/>
      <c r="C41" s="343"/>
      <c r="D41" s="166" t="s">
        <v>100</v>
      </c>
      <c r="E41" s="159" t="s">
        <v>95</v>
      </c>
      <c r="F41" s="135" t="s">
        <v>350</v>
      </c>
      <c r="G41" s="253">
        <f>BK41</f>
        <v>0</v>
      </c>
      <c r="H41" s="334">
        <f>G41*F41</f>
        <v>0</v>
      </c>
      <c r="I41" s="334"/>
      <c r="J41" s="334"/>
      <c r="K41" s="334"/>
      <c r="L41" s="334"/>
      <c r="M41" s="759">
        <f>H41*1</f>
        <v>0</v>
      </c>
      <c r="N41" s="334"/>
      <c r="O41" s="334"/>
      <c r="P41" s="334"/>
      <c r="Q41" s="334"/>
      <c r="R41" s="334"/>
      <c r="S41" s="180">
        <f>G41*0.25</f>
        <v>0</v>
      </c>
      <c r="T41" s="180">
        <f>G41*0.25</f>
        <v>0</v>
      </c>
      <c r="U41" s="180">
        <f>G41*0.25</f>
        <v>0</v>
      </c>
      <c r="V41" s="180">
        <f>G41*0.25</f>
        <v>0</v>
      </c>
      <c r="W41" s="334">
        <f>S41*H41</f>
        <v>0</v>
      </c>
      <c r="X41" s="334">
        <f>T41*H41</f>
        <v>0</v>
      </c>
      <c r="Y41" s="334">
        <f>U41*H41</f>
        <v>0</v>
      </c>
      <c r="Z41" s="334">
        <f>V41*H41</f>
        <v>0</v>
      </c>
      <c r="AA41" s="150"/>
      <c r="AB41" s="202">
        <f t="shared" si="2"/>
        <v>0</v>
      </c>
      <c r="AC41" s="150">
        <v>0</v>
      </c>
      <c r="AD41" s="202">
        <f t="shared" si="3"/>
        <v>0</v>
      </c>
      <c r="AE41" s="150">
        <v>0</v>
      </c>
      <c r="AF41" s="202">
        <f t="shared" si="4"/>
        <v>0</v>
      </c>
      <c r="AG41" s="150">
        <v>0</v>
      </c>
      <c r="AH41" s="202">
        <f t="shared" si="5"/>
        <v>0</v>
      </c>
      <c r="AI41" s="150">
        <v>0</v>
      </c>
      <c r="AJ41" s="202">
        <f t="shared" si="6"/>
        <v>0</v>
      </c>
      <c r="AK41" s="150"/>
      <c r="AL41" s="202">
        <f t="shared" si="7"/>
        <v>0</v>
      </c>
      <c r="AM41" s="150"/>
      <c r="AN41" s="202">
        <f t="shared" si="8"/>
        <v>0</v>
      </c>
      <c r="AO41" s="150"/>
      <c r="AP41" s="202">
        <f t="shared" si="9"/>
        <v>0</v>
      </c>
      <c r="AQ41" s="150">
        <v>0</v>
      </c>
      <c r="AR41" s="202">
        <f t="shared" si="10"/>
        <v>0</v>
      </c>
      <c r="AS41" s="150"/>
      <c r="AT41" s="202">
        <f t="shared" si="11"/>
        <v>0</v>
      </c>
      <c r="AU41" s="150"/>
      <c r="AV41" s="202">
        <f t="shared" si="12"/>
        <v>0</v>
      </c>
      <c r="AW41" s="150"/>
      <c r="AX41" s="202">
        <f t="shared" si="13"/>
        <v>0</v>
      </c>
      <c r="AY41" s="150"/>
      <c r="AZ41" s="202">
        <f t="shared" si="14"/>
        <v>0</v>
      </c>
      <c r="BA41" s="150"/>
      <c r="BB41" s="202">
        <f t="shared" si="15"/>
        <v>0</v>
      </c>
      <c r="BC41" s="150"/>
      <c r="BD41" s="202">
        <f t="shared" si="16"/>
        <v>0</v>
      </c>
      <c r="BE41" s="150"/>
      <c r="BF41" s="202">
        <f t="shared" si="17"/>
        <v>0</v>
      </c>
      <c r="BG41" s="150">
        <v>0</v>
      </c>
      <c r="BH41" s="202">
        <f>BG41*F41</f>
        <v>0</v>
      </c>
      <c r="BI41" s="150"/>
      <c r="BJ41" s="202">
        <f>BI41*F41</f>
        <v>0</v>
      </c>
      <c r="BK41" s="150">
        <f t="shared" ref="BK41:BL45" si="44">AA41+AC41+AE41+AG41+AI41+AK41+AM41+AO41+AQ41+AS41+AU41+AW41+AY41+BA41+BC41+BE41+BG41+BI41</f>
        <v>0</v>
      </c>
      <c r="BL41" s="202">
        <f t="shared" si="44"/>
        <v>0</v>
      </c>
      <c r="BM41" s="159" t="s">
        <v>302</v>
      </c>
      <c r="BN41" s="178"/>
      <c r="BO41" s="254">
        <f>H41</f>
        <v>0</v>
      </c>
      <c r="BP41" s="254"/>
      <c r="BQ41" s="254">
        <f>BL41</f>
        <v>0</v>
      </c>
      <c r="BR41" s="254"/>
      <c r="BS41" s="254">
        <f t="shared" si="36"/>
        <v>0</v>
      </c>
      <c r="BT41" s="254"/>
      <c r="BU41" s="254"/>
      <c r="BV41" s="254">
        <f>BT41+BU41</f>
        <v>0</v>
      </c>
      <c r="BW41" s="255">
        <f t="shared" si="22"/>
        <v>0</v>
      </c>
      <c r="BX41" s="178"/>
      <c r="BY41" s="178"/>
      <c r="BZ41" s="178"/>
      <c r="CA41" s="178"/>
      <c r="CB41" s="178"/>
      <c r="CC41" s="178"/>
      <c r="CD41" s="178"/>
      <c r="CE41" s="178"/>
      <c r="CF41" s="178"/>
      <c r="CG41" s="178"/>
      <c r="CH41" s="178"/>
      <c r="CI41" s="178"/>
      <c r="CJ41" s="178"/>
      <c r="CK41" s="178"/>
      <c r="CL41" s="178"/>
      <c r="CM41" s="178"/>
      <c r="CN41" s="178"/>
      <c r="CO41" s="178"/>
      <c r="CP41" s="178"/>
      <c r="CQ41" s="178"/>
      <c r="CR41" s="178"/>
      <c r="CS41" s="178"/>
      <c r="CT41" s="178"/>
      <c r="CU41" s="178"/>
      <c r="CV41" s="178"/>
      <c r="CW41" s="178"/>
      <c r="CX41" s="178"/>
      <c r="CY41" s="178"/>
      <c r="CZ41" s="178"/>
      <c r="DA41" s="178"/>
      <c r="DB41" s="178"/>
      <c r="DC41" s="178"/>
      <c r="DD41" s="178"/>
      <c r="DE41" s="178"/>
      <c r="DF41" s="178"/>
      <c r="DG41" s="178"/>
      <c r="DH41" s="178"/>
      <c r="DI41" s="178"/>
      <c r="DJ41" s="178"/>
      <c r="DK41" s="178"/>
      <c r="DL41" s="178"/>
      <c r="DM41" s="178"/>
      <c r="DN41" s="178"/>
      <c r="DO41" s="178"/>
      <c r="DP41" s="178"/>
      <c r="DQ41" s="178"/>
      <c r="DR41" s="178"/>
      <c r="DS41" s="178"/>
      <c r="DT41" s="178"/>
      <c r="DU41" s="178"/>
      <c r="DV41" s="178"/>
      <c r="DW41" s="178"/>
      <c r="DX41" s="178"/>
      <c r="DY41" s="178"/>
      <c r="DZ41" s="178"/>
      <c r="EA41" s="178"/>
      <c r="EB41" s="178"/>
      <c r="EC41" s="178"/>
      <c r="ED41" s="178"/>
      <c r="EE41" s="178"/>
      <c r="EF41" s="178"/>
      <c r="EG41" s="178"/>
      <c r="EH41" s="178"/>
      <c r="EI41" s="178"/>
      <c r="EJ41" s="178"/>
      <c r="EK41" s="178"/>
      <c r="EL41" s="178"/>
      <c r="EM41" s="178"/>
      <c r="EN41" s="178"/>
      <c r="EO41" s="178"/>
      <c r="EP41" s="178"/>
      <c r="EQ41" s="178"/>
      <c r="ER41" s="178"/>
      <c r="ES41" s="178"/>
      <c r="ET41" s="178"/>
      <c r="EU41" s="178"/>
      <c r="EV41" s="178"/>
      <c r="EW41" s="178"/>
      <c r="EX41" s="178"/>
      <c r="EY41" s="178"/>
      <c r="EZ41" s="178"/>
      <c r="FA41" s="178"/>
      <c r="FB41" s="178"/>
      <c r="FC41" s="178"/>
      <c r="FD41" s="178"/>
    </row>
    <row r="42" spans="1:160" s="474" customFormat="1">
      <c r="A42" s="957"/>
      <c r="B42" s="477"/>
      <c r="C42" s="343"/>
      <c r="D42" s="166" t="s">
        <v>936</v>
      </c>
      <c r="E42" s="159" t="s">
        <v>935</v>
      </c>
      <c r="F42" s="135">
        <v>250000</v>
      </c>
      <c r="G42" s="253">
        <f>BK42</f>
        <v>0</v>
      </c>
      <c r="H42" s="334">
        <f>G42*F42</f>
        <v>0</v>
      </c>
      <c r="I42" s="334">
        <f>H42*0.2</f>
        <v>0</v>
      </c>
      <c r="J42" s="334">
        <f>H42*0.8</f>
        <v>0</v>
      </c>
      <c r="K42" s="334"/>
      <c r="L42" s="334"/>
      <c r="M42" s="759"/>
      <c r="N42" s="334"/>
      <c r="O42" s="334"/>
      <c r="P42" s="334"/>
      <c r="Q42" s="334"/>
      <c r="R42" s="334"/>
      <c r="S42" s="180"/>
      <c r="T42" s="180"/>
      <c r="U42" s="180"/>
      <c r="V42" s="180"/>
      <c r="W42" s="334"/>
      <c r="X42" s="334"/>
      <c r="Y42" s="334"/>
      <c r="Z42" s="334"/>
      <c r="AA42" s="150">
        <v>0</v>
      </c>
      <c r="AB42" s="202">
        <f t="shared" si="2"/>
        <v>0</v>
      </c>
      <c r="AC42" s="150">
        <v>0</v>
      </c>
      <c r="AD42" s="202">
        <f t="shared" si="3"/>
        <v>0</v>
      </c>
      <c r="AE42" s="150">
        <v>0</v>
      </c>
      <c r="AF42" s="202">
        <f t="shared" si="4"/>
        <v>0</v>
      </c>
      <c r="AG42" s="150">
        <v>0</v>
      </c>
      <c r="AH42" s="202">
        <f t="shared" si="5"/>
        <v>0</v>
      </c>
      <c r="AI42" s="150">
        <v>0</v>
      </c>
      <c r="AJ42" s="202">
        <f t="shared" si="6"/>
        <v>0</v>
      </c>
      <c r="AK42" s="150">
        <v>0</v>
      </c>
      <c r="AL42" s="202">
        <f t="shared" si="7"/>
        <v>0</v>
      </c>
      <c r="AM42" s="150">
        <v>0</v>
      </c>
      <c r="AN42" s="202">
        <f t="shared" si="8"/>
        <v>0</v>
      </c>
      <c r="AO42" s="150">
        <v>0</v>
      </c>
      <c r="AP42" s="202">
        <f t="shared" si="9"/>
        <v>0</v>
      </c>
      <c r="AQ42" s="150">
        <v>0</v>
      </c>
      <c r="AR42" s="202">
        <f t="shared" si="10"/>
        <v>0</v>
      </c>
      <c r="AS42" s="150">
        <v>0</v>
      </c>
      <c r="AT42" s="202">
        <f t="shared" si="11"/>
        <v>0</v>
      </c>
      <c r="AU42" s="150">
        <v>0</v>
      </c>
      <c r="AV42" s="202">
        <f t="shared" si="12"/>
        <v>0</v>
      </c>
      <c r="AW42" s="150">
        <v>0</v>
      </c>
      <c r="AX42" s="202">
        <f t="shared" si="13"/>
        <v>0</v>
      </c>
      <c r="AY42" s="150">
        <v>0</v>
      </c>
      <c r="AZ42" s="202">
        <f t="shared" si="14"/>
        <v>0</v>
      </c>
      <c r="BA42" s="150">
        <v>0</v>
      </c>
      <c r="BB42" s="202">
        <f t="shared" si="15"/>
        <v>0</v>
      </c>
      <c r="BC42" s="150">
        <v>0</v>
      </c>
      <c r="BD42" s="202">
        <f t="shared" si="16"/>
        <v>0</v>
      </c>
      <c r="BE42" s="150">
        <v>0</v>
      </c>
      <c r="BF42" s="202">
        <f t="shared" si="17"/>
        <v>0</v>
      </c>
      <c r="BG42" s="150">
        <v>0</v>
      </c>
      <c r="BH42" s="202">
        <f>BG42*F42</f>
        <v>0</v>
      </c>
      <c r="BI42" s="150"/>
      <c r="BJ42" s="202"/>
      <c r="BK42" s="150">
        <f t="shared" si="44"/>
        <v>0</v>
      </c>
      <c r="BL42" s="202">
        <f t="shared" si="44"/>
        <v>0</v>
      </c>
      <c r="BM42" s="159" t="s">
        <v>581</v>
      </c>
      <c r="BN42" s="178"/>
      <c r="BO42" s="254"/>
      <c r="BP42" s="254"/>
      <c r="BQ42" s="254"/>
      <c r="BR42" s="254"/>
      <c r="BS42" s="254"/>
      <c r="BT42" s="254"/>
      <c r="BU42" s="254"/>
      <c r="BV42" s="254"/>
      <c r="BW42" s="255"/>
      <c r="BX42" s="178"/>
      <c r="BY42" s="178"/>
      <c r="BZ42" s="178"/>
      <c r="CA42" s="178"/>
      <c r="CB42" s="178"/>
      <c r="CC42" s="178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8"/>
      <c r="CO42" s="178"/>
      <c r="CP42" s="178"/>
      <c r="CQ42" s="178"/>
      <c r="CR42" s="178"/>
      <c r="CS42" s="178"/>
      <c r="CT42" s="178"/>
      <c r="CU42" s="178"/>
      <c r="CV42" s="178"/>
      <c r="CW42" s="178"/>
      <c r="CX42" s="178"/>
      <c r="CY42" s="178"/>
      <c r="CZ42" s="178"/>
      <c r="DA42" s="178"/>
      <c r="DB42" s="178"/>
      <c r="DC42" s="178"/>
      <c r="DD42" s="178"/>
      <c r="DE42" s="178"/>
      <c r="DF42" s="178"/>
      <c r="DG42" s="178"/>
      <c r="DH42" s="178"/>
      <c r="DI42" s="178"/>
      <c r="DJ42" s="178"/>
      <c r="DK42" s="178"/>
      <c r="DL42" s="178"/>
      <c r="DM42" s="178"/>
      <c r="DN42" s="178"/>
      <c r="DO42" s="178"/>
      <c r="DP42" s="178"/>
      <c r="DQ42" s="178"/>
      <c r="DR42" s="178"/>
      <c r="DS42" s="178"/>
      <c r="DT42" s="178"/>
      <c r="DU42" s="178"/>
      <c r="DV42" s="178"/>
      <c r="DW42" s="178"/>
      <c r="DX42" s="178"/>
      <c r="DY42" s="178"/>
      <c r="DZ42" s="178"/>
      <c r="EA42" s="178"/>
      <c r="EB42" s="178"/>
      <c r="EC42" s="178"/>
      <c r="ED42" s="178"/>
      <c r="EE42" s="178"/>
      <c r="EF42" s="178"/>
      <c r="EG42" s="178"/>
      <c r="EH42" s="178"/>
      <c r="EI42" s="178"/>
      <c r="EJ42" s="178"/>
      <c r="EK42" s="178"/>
      <c r="EL42" s="178"/>
      <c r="EM42" s="178"/>
      <c r="EN42" s="178"/>
      <c r="EO42" s="178"/>
      <c r="EP42" s="178"/>
      <c r="EQ42" s="178"/>
      <c r="ER42" s="178"/>
      <c r="ES42" s="178"/>
      <c r="ET42" s="178"/>
      <c r="EU42" s="178"/>
      <c r="EV42" s="178"/>
      <c r="EW42" s="178"/>
      <c r="EX42" s="178"/>
      <c r="EY42" s="178"/>
      <c r="EZ42" s="178"/>
      <c r="FA42" s="178"/>
      <c r="FB42" s="178"/>
      <c r="FC42" s="178"/>
      <c r="FD42" s="178"/>
    </row>
    <row r="43" spans="1:160" s="474" customFormat="1">
      <c r="A43" s="957"/>
      <c r="B43" s="477"/>
      <c r="C43" s="343"/>
      <c r="D43" s="166" t="s">
        <v>948</v>
      </c>
      <c r="E43" s="159" t="s">
        <v>248</v>
      </c>
      <c r="F43" s="135">
        <v>15000</v>
      </c>
      <c r="G43" s="253">
        <f>BK43</f>
        <v>112</v>
      </c>
      <c r="H43" s="319">
        <f>BL43</f>
        <v>1500000</v>
      </c>
      <c r="I43" s="334">
        <f>H43*0.2</f>
        <v>300000</v>
      </c>
      <c r="J43" s="334">
        <f>H43*0.8</f>
        <v>1200000</v>
      </c>
      <c r="K43" s="334"/>
      <c r="L43" s="334"/>
      <c r="M43" s="759"/>
      <c r="N43" s="334"/>
      <c r="O43" s="334"/>
      <c r="P43" s="334"/>
      <c r="Q43" s="334"/>
      <c r="R43" s="334"/>
      <c r="S43" s="180"/>
      <c r="T43" s="180"/>
      <c r="U43" s="180"/>
      <c r="V43" s="180"/>
      <c r="W43" s="334"/>
      <c r="X43" s="334"/>
      <c r="Y43" s="334"/>
      <c r="Z43" s="334"/>
      <c r="AA43" s="150">
        <v>6</v>
      </c>
      <c r="AB43" s="202">
        <f t="shared" si="2"/>
        <v>90000</v>
      </c>
      <c r="AC43" s="150">
        <v>5</v>
      </c>
      <c r="AD43" s="202">
        <f t="shared" si="3"/>
        <v>75000</v>
      </c>
      <c r="AE43" s="150">
        <v>6</v>
      </c>
      <c r="AF43" s="202">
        <f t="shared" si="4"/>
        <v>90000</v>
      </c>
      <c r="AG43" s="150">
        <v>7</v>
      </c>
      <c r="AH43" s="202">
        <f t="shared" si="5"/>
        <v>105000</v>
      </c>
      <c r="AI43" s="150">
        <v>6</v>
      </c>
      <c r="AJ43" s="202">
        <f t="shared" si="6"/>
        <v>90000</v>
      </c>
      <c r="AK43" s="150">
        <v>6</v>
      </c>
      <c r="AL43" s="202">
        <f t="shared" si="7"/>
        <v>90000</v>
      </c>
      <c r="AM43" s="150">
        <v>5</v>
      </c>
      <c r="AN43" s="202">
        <f t="shared" si="8"/>
        <v>75000</v>
      </c>
      <c r="AO43" s="150">
        <v>6</v>
      </c>
      <c r="AP43" s="202">
        <f t="shared" si="9"/>
        <v>90000</v>
      </c>
      <c r="AQ43" s="150">
        <v>4</v>
      </c>
      <c r="AR43" s="202">
        <f t="shared" si="10"/>
        <v>60000</v>
      </c>
      <c r="AS43" s="150">
        <v>5</v>
      </c>
      <c r="AT43" s="202">
        <f t="shared" si="11"/>
        <v>75000</v>
      </c>
      <c r="AU43" s="150">
        <v>6</v>
      </c>
      <c r="AV43" s="202">
        <f t="shared" si="12"/>
        <v>90000</v>
      </c>
      <c r="AW43" s="150">
        <v>6</v>
      </c>
      <c r="AX43" s="202">
        <f t="shared" si="13"/>
        <v>90000</v>
      </c>
      <c r="AY43" s="150">
        <v>7</v>
      </c>
      <c r="AZ43" s="202">
        <f t="shared" si="14"/>
        <v>105000</v>
      </c>
      <c r="BA43" s="150">
        <v>7</v>
      </c>
      <c r="BB43" s="202">
        <f t="shared" si="15"/>
        <v>105000</v>
      </c>
      <c r="BC43" s="150">
        <v>6</v>
      </c>
      <c r="BD43" s="202">
        <f t="shared" si="16"/>
        <v>90000</v>
      </c>
      <c r="BE43" s="150">
        <v>6</v>
      </c>
      <c r="BF43" s="202">
        <f t="shared" si="17"/>
        <v>90000</v>
      </c>
      <c r="BG43" s="493">
        <v>18</v>
      </c>
      <c r="BH43" s="202">
        <v>90000</v>
      </c>
      <c r="BI43" s="150"/>
      <c r="BJ43" s="202"/>
      <c r="BK43" s="150">
        <f t="shared" si="44"/>
        <v>112</v>
      </c>
      <c r="BL43" s="202">
        <f t="shared" si="44"/>
        <v>1500000</v>
      </c>
      <c r="BM43" s="159" t="s">
        <v>581</v>
      </c>
      <c r="BN43" s="178"/>
      <c r="BO43" s="254"/>
      <c r="BP43" s="254"/>
      <c r="BQ43" s="254"/>
      <c r="BR43" s="254"/>
      <c r="BS43" s="254"/>
      <c r="BT43" s="254"/>
      <c r="BU43" s="254"/>
      <c r="BV43" s="254"/>
      <c r="BW43" s="255"/>
      <c r="BX43" s="178"/>
      <c r="BY43" s="178"/>
      <c r="BZ43" s="178"/>
      <c r="CA43" s="178"/>
      <c r="CB43" s="178"/>
      <c r="CC43" s="178"/>
      <c r="CD43" s="178"/>
      <c r="CE43" s="178"/>
      <c r="CF43" s="178"/>
      <c r="CG43" s="178"/>
      <c r="CH43" s="178"/>
      <c r="CI43" s="178"/>
      <c r="CJ43" s="178"/>
      <c r="CK43" s="178"/>
      <c r="CL43" s="178"/>
      <c r="CM43" s="178"/>
      <c r="CN43" s="178"/>
      <c r="CO43" s="178"/>
      <c r="CP43" s="178"/>
      <c r="CQ43" s="178"/>
      <c r="CR43" s="178"/>
      <c r="CS43" s="178"/>
      <c r="CT43" s="178"/>
      <c r="CU43" s="178"/>
      <c r="CV43" s="178"/>
      <c r="CW43" s="178"/>
      <c r="CX43" s="178"/>
      <c r="CY43" s="178"/>
      <c r="CZ43" s="178"/>
      <c r="DA43" s="178"/>
      <c r="DB43" s="178"/>
      <c r="DC43" s="178"/>
      <c r="DD43" s="178"/>
      <c r="DE43" s="178"/>
      <c r="DF43" s="178"/>
      <c r="DG43" s="178"/>
      <c r="DH43" s="178"/>
      <c r="DI43" s="178"/>
      <c r="DJ43" s="178"/>
      <c r="DK43" s="178"/>
      <c r="DL43" s="178"/>
      <c r="DM43" s="178"/>
      <c r="DN43" s="178"/>
      <c r="DO43" s="178"/>
      <c r="DP43" s="178"/>
      <c r="DQ43" s="178"/>
      <c r="DR43" s="178"/>
      <c r="DS43" s="178"/>
      <c r="DT43" s="178"/>
      <c r="DU43" s="178"/>
      <c r="DV43" s="178"/>
      <c r="DW43" s="178"/>
      <c r="DX43" s="178"/>
      <c r="DY43" s="178"/>
      <c r="DZ43" s="178"/>
      <c r="EA43" s="178"/>
      <c r="EB43" s="178"/>
      <c r="EC43" s="178"/>
      <c r="ED43" s="178"/>
      <c r="EE43" s="178"/>
      <c r="EF43" s="178"/>
      <c r="EG43" s="178"/>
      <c r="EH43" s="178"/>
      <c r="EI43" s="178"/>
      <c r="EJ43" s="178"/>
      <c r="EK43" s="178"/>
      <c r="EL43" s="178"/>
      <c r="EM43" s="178"/>
      <c r="EN43" s="178"/>
      <c r="EO43" s="178"/>
      <c r="EP43" s="178"/>
      <c r="EQ43" s="178"/>
      <c r="ER43" s="178"/>
      <c r="ES43" s="178"/>
      <c r="ET43" s="178"/>
      <c r="EU43" s="178"/>
      <c r="EV43" s="178"/>
      <c r="EW43" s="178"/>
      <c r="EX43" s="178"/>
      <c r="EY43" s="178"/>
      <c r="EZ43" s="178"/>
      <c r="FA43" s="178"/>
      <c r="FB43" s="178"/>
      <c r="FC43" s="178"/>
      <c r="FD43" s="178"/>
    </row>
    <row r="44" spans="1:160" s="658" customFormat="1">
      <c r="A44" s="957"/>
      <c r="B44" s="646"/>
      <c r="C44" s="647"/>
      <c r="D44" s="166" t="s">
        <v>1003</v>
      </c>
      <c r="E44" s="648" t="s">
        <v>935</v>
      </c>
      <c r="F44" s="649">
        <v>250000</v>
      </c>
      <c r="G44" s="650">
        <f>BK44</f>
        <v>1</v>
      </c>
      <c r="H44" s="651">
        <f>G44*F44</f>
        <v>250000</v>
      </c>
      <c r="I44" s="651"/>
      <c r="J44" s="651"/>
      <c r="K44" s="651"/>
      <c r="L44" s="651"/>
      <c r="M44" s="759">
        <f>H44</f>
        <v>250000</v>
      </c>
      <c r="N44" s="651"/>
      <c r="O44" s="651"/>
      <c r="P44" s="651"/>
      <c r="Q44" s="651"/>
      <c r="R44" s="651"/>
      <c r="S44" s="652"/>
      <c r="T44" s="652"/>
      <c r="U44" s="652"/>
      <c r="V44" s="652">
        <f>G44</f>
        <v>1</v>
      </c>
      <c r="W44" s="651"/>
      <c r="X44" s="651"/>
      <c r="Y44" s="651"/>
      <c r="Z44" s="651">
        <f>H44</f>
        <v>250000</v>
      </c>
      <c r="AA44" s="653">
        <v>0</v>
      </c>
      <c r="AB44" s="654">
        <f t="shared" si="2"/>
        <v>0</v>
      </c>
      <c r="AC44" s="653">
        <v>0</v>
      </c>
      <c r="AD44" s="654">
        <f t="shared" si="3"/>
        <v>0</v>
      </c>
      <c r="AE44" s="653">
        <v>0</v>
      </c>
      <c r="AF44" s="654">
        <f t="shared" si="4"/>
        <v>0</v>
      </c>
      <c r="AG44" s="653">
        <v>0</v>
      </c>
      <c r="AH44" s="654">
        <f t="shared" si="5"/>
        <v>0</v>
      </c>
      <c r="AI44" s="653">
        <v>0</v>
      </c>
      <c r="AJ44" s="654">
        <f t="shared" si="6"/>
        <v>0</v>
      </c>
      <c r="AK44" s="653">
        <v>0</v>
      </c>
      <c r="AL44" s="654">
        <f t="shared" si="7"/>
        <v>0</v>
      </c>
      <c r="AM44" s="653">
        <v>1</v>
      </c>
      <c r="AN44" s="654">
        <f t="shared" si="8"/>
        <v>250000</v>
      </c>
      <c r="AO44" s="653">
        <v>0</v>
      </c>
      <c r="AP44" s="654">
        <f t="shared" si="9"/>
        <v>0</v>
      </c>
      <c r="AQ44" s="653">
        <v>0</v>
      </c>
      <c r="AR44" s="654">
        <f t="shared" si="10"/>
        <v>0</v>
      </c>
      <c r="AS44" s="653">
        <v>0</v>
      </c>
      <c r="AT44" s="654">
        <f t="shared" si="11"/>
        <v>0</v>
      </c>
      <c r="AU44" s="653">
        <v>0</v>
      </c>
      <c r="AV44" s="654">
        <f t="shared" si="12"/>
        <v>0</v>
      </c>
      <c r="AW44" s="653">
        <v>0</v>
      </c>
      <c r="AX44" s="654">
        <f t="shared" si="13"/>
        <v>0</v>
      </c>
      <c r="AY44" s="653">
        <v>0</v>
      </c>
      <c r="AZ44" s="654">
        <f t="shared" si="14"/>
        <v>0</v>
      </c>
      <c r="BA44" s="653">
        <v>0</v>
      </c>
      <c r="BB44" s="654">
        <f t="shared" si="15"/>
        <v>0</v>
      </c>
      <c r="BC44" s="653">
        <v>0</v>
      </c>
      <c r="BD44" s="654">
        <f t="shared" si="16"/>
        <v>0</v>
      </c>
      <c r="BE44" s="653">
        <v>0</v>
      </c>
      <c r="BF44" s="654">
        <f t="shared" si="17"/>
        <v>0</v>
      </c>
      <c r="BG44" s="653">
        <v>0</v>
      </c>
      <c r="BH44" s="654">
        <f>BG44*F44</f>
        <v>0</v>
      </c>
      <c r="BI44" s="653"/>
      <c r="BJ44" s="654"/>
      <c r="BK44" s="653">
        <f t="shared" si="44"/>
        <v>1</v>
      </c>
      <c r="BL44" s="654">
        <f t="shared" si="44"/>
        <v>250000</v>
      </c>
      <c r="BM44" s="648" t="s">
        <v>579</v>
      </c>
      <c r="BN44" s="655"/>
      <c r="BO44" s="656"/>
      <c r="BP44" s="656"/>
      <c r="BQ44" s="656"/>
      <c r="BR44" s="656"/>
      <c r="BS44" s="656"/>
      <c r="BT44" s="656"/>
      <c r="BU44" s="656"/>
      <c r="BV44" s="656"/>
      <c r="BW44" s="657"/>
      <c r="BX44" s="655"/>
      <c r="BY44" s="655"/>
      <c r="BZ44" s="655"/>
      <c r="CA44" s="655"/>
      <c r="CB44" s="655"/>
      <c r="CC44" s="655"/>
      <c r="CD44" s="655"/>
      <c r="CE44" s="655"/>
      <c r="CF44" s="655"/>
      <c r="CG44" s="655"/>
      <c r="CH44" s="655"/>
      <c r="CI44" s="655"/>
      <c r="CJ44" s="655"/>
      <c r="CK44" s="655"/>
      <c r="CL44" s="655"/>
      <c r="CM44" s="655"/>
      <c r="CN44" s="655"/>
      <c r="CO44" s="655"/>
      <c r="CP44" s="655"/>
      <c r="CQ44" s="655"/>
      <c r="CR44" s="655"/>
      <c r="CS44" s="655"/>
      <c r="CT44" s="655"/>
      <c r="CU44" s="655"/>
      <c r="CV44" s="655"/>
      <c r="CW44" s="655"/>
      <c r="CX44" s="655"/>
      <c r="CY44" s="655"/>
      <c r="CZ44" s="655"/>
      <c r="DA44" s="655"/>
      <c r="DB44" s="655"/>
      <c r="DC44" s="655"/>
      <c r="DD44" s="655"/>
      <c r="DE44" s="655"/>
      <c r="DF44" s="655"/>
      <c r="DG44" s="655"/>
      <c r="DH44" s="655"/>
      <c r="DI44" s="655"/>
      <c r="DJ44" s="655"/>
      <c r="DK44" s="655"/>
      <c r="DL44" s="655"/>
      <c r="DM44" s="655"/>
      <c r="DN44" s="655"/>
      <c r="DO44" s="655"/>
      <c r="DP44" s="655"/>
      <c r="DQ44" s="655"/>
      <c r="DR44" s="655"/>
      <c r="DS44" s="655"/>
      <c r="DT44" s="655"/>
      <c r="DU44" s="655"/>
      <c r="DV44" s="655"/>
      <c r="DW44" s="655"/>
      <c r="DX44" s="655"/>
      <c r="DY44" s="655"/>
      <c r="DZ44" s="655"/>
      <c r="EA44" s="655"/>
      <c r="EB44" s="655"/>
      <c r="EC44" s="655"/>
      <c r="ED44" s="655"/>
      <c r="EE44" s="655"/>
      <c r="EF44" s="655"/>
      <c r="EG44" s="655"/>
      <c r="EH44" s="655"/>
      <c r="EI44" s="655"/>
      <c r="EJ44" s="655"/>
      <c r="EK44" s="655"/>
      <c r="EL44" s="655"/>
      <c r="EM44" s="655"/>
      <c r="EN44" s="655"/>
      <c r="EO44" s="655"/>
      <c r="EP44" s="655"/>
      <c r="EQ44" s="655"/>
      <c r="ER44" s="655"/>
      <c r="ES44" s="655"/>
      <c r="ET44" s="655"/>
      <c r="EU44" s="655"/>
      <c r="EV44" s="655"/>
      <c r="EW44" s="655"/>
      <c r="EX44" s="655"/>
      <c r="EY44" s="655"/>
      <c r="EZ44" s="655"/>
      <c r="FA44" s="655"/>
      <c r="FB44" s="655"/>
      <c r="FC44" s="655"/>
      <c r="FD44" s="655"/>
    </row>
    <row r="45" spans="1:160" s="658" customFormat="1" ht="31.5">
      <c r="A45" s="957"/>
      <c r="B45" s="646"/>
      <c r="C45" s="647"/>
      <c r="D45" s="566" t="s">
        <v>926</v>
      </c>
      <c r="E45" s="648" t="s">
        <v>95</v>
      </c>
      <c r="F45" s="649">
        <v>500000</v>
      </c>
      <c r="G45" s="650">
        <f>BK45</f>
        <v>0</v>
      </c>
      <c r="H45" s="651">
        <f>G45*F45</f>
        <v>0</v>
      </c>
      <c r="I45" s="651"/>
      <c r="J45" s="651"/>
      <c r="K45" s="651">
        <f>H45</f>
        <v>0</v>
      </c>
      <c r="L45" s="651"/>
      <c r="M45" s="759"/>
      <c r="N45" s="651"/>
      <c r="O45" s="651"/>
      <c r="P45" s="651"/>
      <c r="Q45" s="651"/>
      <c r="R45" s="651"/>
      <c r="S45" s="652">
        <f>G45*0.25</f>
        <v>0</v>
      </c>
      <c r="T45" s="652">
        <f>G45*0.25</f>
        <v>0</v>
      </c>
      <c r="U45" s="652">
        <f>G45*0.25</f>
        <v>0</v>
      </c>
      <c r="V45" s="652">
        <f>G45*0.25</f>
        <v>0</v>
      </c>
      <c r="W45" s="651">
        <f>S45*H45</f>
        <v>0</v>
      </c>
      <c r="X45" s="651">
        <f>T45*H45</f>
        <v>0</v>
      </c>
      <c r="Y45" s="651">
        <f>U45*H45</f>
        <v>0</v>
      </c>
      <c r="Z45" s="651">
        <f>V45*H45</f>
        <v>0</v>
      </c>
      <c r="AA45" s="653">
        <v>0</v>
      </c>
      <c r="AB45" s="654">
        <f t="shared" si="2"/>
        <v>0</v>
      </c>
      <c r="AC45" s="653">
        <v>0</v>
      </c>
      <c r="AD45" s="654">
        <f t="shared" si="3"/>
        <v>0</v>
      </c>
      <c r="AE45" s="653">
        <v>0</v>
      </c>
      <c r="AF45" s="654">
        <f t="shared" si="4"/>
        <v>0</v>
      </c>
      <c r="AG45" s="653">
        <v>0</v>
      </c>
      <c r="AH45" s="654">
        <f t="shared" si="5"/>
        <v>0</v>
      </c>
      <c r="AI45" s="653">
        <v>0</v>
      </c>
      <c r="AJ45" s="654">
        <f t="shared" si="6"/>
        <v>0</v>
      </c>
      <c r="AK45" s="653">
        <v>0</v>
      </c>
      <c r="AL45" s="654">
        <f t="shared" si="7"/>
        <v>0</v>
      </c>
      <c r="AM45" s="653">
        <v>0</v>
      </c>
      <c r="AN45" s="654">
        <f t="shared" si="8"/>
        <v>0</v>
      </c>
      <c r="AO45" s="653">
        <v>0</v>
      </c>
      <c r="AP45" s="654">
        <f t="shared" si="9"/>
        <v>0</v>
      </c>
      <c r="AQ45" s="653">
        <v>0</v>
      </c>
      <c r="AR45" s="654">
        <f t="shared" si="10"/>
        <v>0</v>
      </c>
      <c r="AS45" s="653">
        <v>0</v>
      </c>
      <c r="AT45" s="654">
        <f t="shared" si="11"/>
        <v>0</v>
      </c>
      <c r="AU45" s="653">
        <v>0</v>
      </c>
      <c r="AV45" s="654">
        <f t="shared" si="12"/>
        <v>0</v>
      </c>
      <c r="AW45" s="653">
        <v>0</v>
      </c>
      <c r="AX45" s="654">
        <f t="shared" si="13"/>
        <v>0</v>
      </c>
      <c r="AY45" s="653">
        <v>0</v>
      </c>
      <c r="AZ45" s="654">
        <f t="shared" si="14"/>
        <v>0</v>
      </c>
      <c r="BA45" s="653">
        <v>0</v>
      </c>
      <c r="BB45" s="654">
        <f t="shared" si="15"/>
        <v>0</v>
      </c>
      <c r="BC45" s="653">
        <v>0</v>
      </c>
      <c r="BD45" s="654">
        <f t="shared" si="16"/>
        <v>0</v>
      </c>
      <c r="BE45" s="653">
        <v>0</v>
      </c>
      <c r="BF45" s="654">
        <f t="shared" si="17"/>
        <v>0</v>
      </c>
      <c r="BG45" s="653">
        <v>0</v>
      </c>
      <c r="BH45" s="654">
        <f>BG45*F45</f>
        <v>0</v>
      </c>
      <c r="BI45" s="653"/>
      <c r="BJ45" s="654"/>
      <c r="BK45" s="653">
        <f t="shared" si="44"/>
        <v>0</v>
      </c>
      <c r="BL45" s="654">
        <f t="shared" si="44"/>
        <v>0</v>
      </c>
      <c r="BM45" s="648" t="s">
        <v>562</v>
      </c>
      <c r="BN45" s="655"/>
      <c r="BO45" s="656">
        <f>H45</f>
        <v>0</v>
      </c>
      <c r="BP45" s="656"/>
      <c r="BQ45" s="656"/>
      <c r="BR45" s="656"/>
      <c r="BS45" s="656">
        <f t="shared" si="36"/>
        <v>0</v>
      </c>
      <c r="BT45" s="656"/>
      <c r="BU45" s="656"/>
      <c r="BV45" s="656"/>
      <c r="BW45" s="657">
        <f t="shared" si="22"/>
        <v>0</v>
      </c>
      <c r="BX45" s="655"/>
      <c r="BY45" s="655"/>
      <c r="BZ45" s="655"/>
      <c r="CA45" s="655"/>
      <c r="CB45" s="655"/>
      <c r="CC45" s="655"/>
      <c r="CD45" s="655"/>
      <c r="CE45" s="655"/>
      <c r="CF45" s="655"/>
      <c r="CG45" s="655"/>
      <c r="CH45" s="655"/>
      <c r="CI45" s="655"/>
      <c r="CJ45" s="655"/>
      <c r="CK45" s="655"/>
      <c r="CL45" s="655"/>
      <c r="CM45" s="655"/>
      <c r="CN45" s="655"/>
      <c r="CO45" s="655"/>
      <c r="CP45" s="655"/>
      <c r="CQ45" s="655"/>
      <c r="CR45" s="655"/>
      <c r="CS45" s="655"/>
      <c r="CT45" s="655"/>
      <c r="CU45" s="655"/>
      <c r="CV45" s="655"/>
      <c r="CW45" s="655"/>
      <c r="CX45" s="655"/>
      <c r="CY45" s="655"/>
      <c r="CZ45" s="655"/>
      <c r="DA45" s="655"/>
      <c r="DB45" s="655"/>
      <c r="DC45" s="655"/>
      <c r="DD45" s="655"/>
      <c r="DE45" s="655"/>
      <c r="DF45" s="655"/>
      <c r="DG45" s="655"/>
      <c r="DH45" s="655"/>
      <c r="DI45" s="655"/>
      <c r="DJ45" s="655"/>
      <c r="DK45" s="655"/>
      <c r="DL45" s="655"/>
      <c r="DM45" s="655"/>
      <c r="DN45" s="655"/>
      <c r="DO45" s="655"/>
      <c r="DP45" s="655"/>
      <c r="DQ45" s="655"/>
      <c r="DR45" s="655"/>
      <c r="DS45" s="655"/>
      <c r="DT45" s="655"/>
      <c r="DU45" s="655"/>
      <c r="DV45" s="655"/>
      <c r="DW45" s="655"/>
      <c r="DX45" s="655"/>
      <c r="DY45" s="655"/>
      <c r="DZ45" s="655"/>
      <c r="EA45" s="655"/>
      <c r="EB45" s="655"/>
      <c r="EC45" s="655"/>
      <c r="ED45" s="655"/>
      <c r="EE45" s="655"/>
      <c r="EF45" s="655"/>
      <c r="EG45" s="655"/>
      <c r="EH45" s="655"/>
      <c r="EI45" s="655"/>
      <c r="EJ45" s="655"/>
      <c r="EK45" s="655"/>
      <c r="EL45" s="655"/>
      <c r="EM45" s="655"/>
      <c r="EN45" s="655"/>
      <c r="EO45" s="655"/>
      <c r="EP45" s="655"/>
      <c r="EQ45" s="655"/>
      <c r="ER45" s="655"/>
      <c r="ES45" s="655"/>
      <c r="ET45" s="655"/>
      <c r="EU45" s="655"/>
      <c r="EV45" s="655"/>
      <c r="EW45" s="655"/>
      <c r="EX45" s="655"/>
      <c r="EY45" s="655"/>
      <c r="EZ45" s="655"/>
      <c r="FA45" s="655"/>
      <c r="FB45" s="655"/>
      <c r="FC45" s="655"/>
      <c r="FD45" s="655"/>
    </row>
    <row r="46" spans="1:160" s="349" customFormat="1">
      <c r="A46" s="957"/>
      <c r="B46" s="347"/>
      <c r="C46" s="348"/>
      <c r="D46" s="177" t="s">
        <v>563</v>
      </c>
      <c r="E46" s="135"/>
      <c r="F46" s="135"/>
      <c r="G46" s="246">
        <f>SUM(G41:G45)</f>
        <v>113</v>
      </c>
      <c r="H46" s="246">
        <f t="shared" ref="H46:BS46" si="45">SUM(H41:H45)</f>
        <v>1750000</v>
      </c>
      <c r="I46" s="246">
        <f t="shared" si="45"/>
        <v>300000</v>
      </c>
      <c r="J46" s="246">
        <f t="shared" si="45"/>
        <v>1200000</v>
      </c>
      <c r="K46" s="246">
        <f t="shared" si="45"/>
        <v>0</v>
      </c>
      <c r="L46" s="246">
        <f t="shared" si="45"/>
        <v>0</v>
      </c>
      <c r="M46" s="762">
        <f t="shared" si="45"/>
        <v>250000</v>
      </c>
      <c r="N46" s="246">
        <f t="shared" si="45"/>
        <v>0</v>
      </c>
      <c r="O46" s="246">
        <f t="shared" si="45"/>
        <v>0</v>
      </c>
      <c r="P46" s="246">
        <f t="shared" si="45"/>
        <v>0</v>
      </c>
      <c r="Q46" s="246">
        <f t="shared" si="45"/>
        <v>0</v>
      </c>
      <c r="R46" s="246">
        <f t="shared" si="45"/>
        <v>0</v>
      </c>
      <c r="S46" s="246">
        <f t="shared" si="45"/>
        <v>0</v>
      </c>
      <c r="T46" s="246">
        <f t="shared" si="45"/>
        <v>0</v>
      </c>
      <c r="U46" s="246">
        <f t="shared" si="45"/>
        <v>0</v>
      </c>
      <c r="V46" s="246">
        <f t="shared" si="45"/>
        <v>1</v>
      </c>
      <c r="W46" s="246">
        <f t="shared" si="45"/>
        <v>0</v>
      </c>
      <c r="X46" s="246">
        <f t="shared" si="45"/>
        <v>0</v>
      </c>
      <c r="Y46" s="246">
        <f t="shared" si="45"/>
        <v>0</v>
      </c>
      <c r="Z46" s="246">
        <f t="shared" si="45"/>
        <v>250000</v>
      </c>
      <c r="AA46" s="246">
        <f t="shared" si="45"/>
        <v>6</v>
      </c>
      <c r="AB46" s="246">
        <f t="shared" si="45"/>
        <v>90000</v>
      </c>
      <c r="AC46" s="246">
        <f t="shared" si="45"/>
        <v>5</v>
      </c>
      <c r="AD46" s="246">
        <f t="shared" si="45"/>
        <v>75000</v>
      </c>
      <c r="AE46" s="246">
        <f t="shared" si="45"/>
        <v>6</v>
      </c>
      <c r="AF46" s="246">
        <f t="shared" si="45"/>
        <v>90000</v>
      </c>
      <c r="AG46" s="246">
        <f t="shared" si="45"/>
        <v>7</v>
      </c>
      <c r="AH46" s="246">
        <f t="shared" si="45"/>
        <v>105000</v>
      </c>
      <c r="AI46" s="246">
        <f t="shared" si="45"/>
        <v>6</v>
      </c>
      <c r="AJ46" s="246">
        <f t="shared" si="45"/>
        <v>90000</v>
      </c>
      <c r="AK46" s="246">
        <f t="shared" si="45"/>
        <v>6</v>
      </c>
      <c r="AL46" s="246">
        <f t="shared" si="45"/>
        <v>90000</v>
      </c>
      <c r="AM46" s="246">
        <f t="shared" si="45"/>
        <v>6</v>
      </c>
      <c r="AN46" s="246">
        <f t="shared" si="45"/>
        <v>325000</v>
      </c>
      <c r="AO46" s="246">
        <f t="shared" si="45"/>
        <v>6</v>
      </c>
      <c r="AP46" s="246">
        <f t="shared" si="45"/>
        <v>90000</v>
      </c>
      <c r="AQ46" s="246">
        <f t="shared" si="45"/>
        <v>4</v>
      </c>
      <c r="AR46" s="246">
        <f t="shared" si="45"/>
        <v>60000</v>
      </c>
      <c r="AS46" s="246">
        <f t="shared" si="45"/>
        <v>5</v>
      </c>
      <c r="AT46" s="246">
        <f t="shared" si="45"/>
        <v>75000</v>
      </c>
      <c r="AU46" s="246">
        <f t="shared" si="45"/>
        <v>6</v>
      </c>
      <c r="AV46" s="246">
        <f t="shared" si="45"/>
        <v>90000</v>
      </c>
      <c r="AW46" s="246">
        <f t="shared" si="45"/>
        <v>6</v>
      </c>
      <c r="AX46" s="246">
        <f t="shared" si="45"/>
        <v>90000</v>
      </c>
      <c r="AY46" s="246">
        <f t="shared" si="45"/>
        <v>7</v>
      </c>
      <c r="AZ46" s="246">
        <f t="shared" si="45"/>
        <v>105000</v>
      </c>
      <c r="BA46" s="246">
        <f t="shared" si="45"/>
        <v>7</v>
      </c>
      <c r="BB46" s="246">
        <f t="shared" si="45"/>
        <v>105000</v>
      </c>
      <c r="BC46" s="246">
        <f t="shared" si="45"/>
        <v>6</v>
      </c>
      <c r="BD46" s="246">
        <f t="shared" si="45"/>
        <v>90000</v>
      </c>
      <c r="BE46" s="246">
        <f t="shared" si="45"/>
        <v>6</v>
      </c>
      <c r="BF46" s="246">
        <f t="shared" si="45"/>
        <v>90000</v>
      </c>
      <c r="BG46" s="246">
        <f t="shared" si="45"/>
        <v>18</v>
      </c>
      <c r="BH46" s="246">
        <f t="shared" si="45"/>
        <v>90000</v>
      </c>
      <c r="BI46" s="246">
        <f t="shared" si="45"/>
        <v>0</v>
      </c>
      <c r="BJ46" s="246">
        <f t="shared" si="45"/>
        <v>0</v>
      </c>
      <c r="BK46" s="246">
        <f t="shared" si="45"/>
        <v>113</v>
      </c>
      <c r="BL46" s="246">
        <f t="shared" si="45"/>
        <v>1750000</v>
      </c>
      <c r="BM46" s="246">
        <f t="shared" si="45"/>
        <v>0</v>
      </c>
      <c r="BN46" s="246">
        <f t="shared" si="45"/>
        <v>0</v>
      </c>
      <c r="BO46" s="246">
        <f t="shared" si="45"/>
        <v>0</v>
      </c>
      <c r="BP46" s="246">
        <f t="shared" si="45"/>
        <v>0</v>
      </c>
      <c r="BQ46" s="246">
        <f t="shared" si="45"/>
        <v>0</v>
      </c>
      <c r="BR46" s="246">
        <f t="shared" si="45"/>
        <v>0</v>
      </c>
      <c r="BS46" s="246">
        <f t="shared" si="45"/>
        <v>0</v>
      </c>
      <c r="BT46" s="246">
        <f>SUM(BT41:BT45)</f>
        <v>0</v>
      </c>
      <c r="BU46" s="246">
        <f>SUM(BU41:BU45)</f>
        <v>0</v>
      </c>
      <c r="BV46" s="246">
        <f>SUM(BV41:BV45)</f>
        <v>0</v>
      </c>
      <c r="BW46" s="246">
        <f>SUM(BW41:BW45)</f>
        <v>0</v>
      </c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</row>
    <row r="47" spans="1:160" s="341" customFormat="1">
      <c r="A47" s="957"/>
      <c r="B47" s="346"/>
      <c r="C47" s="343"/>
      <c r="D47" s="158" t="s">
        <v>421</v>
      </c>
      <c r="E47" s="159"/>
      <c r="F47" s="135"/>
      <c r="G47" s="246"/>
      <c r="H47" s="334"/>
      <c r="I47" s="334"/>
      <c r="J47" s="334"/>
      <c r="K47" s="334"/>
      <c r="L47" s="334"/>
      <c r="M47" s="759"/>
      <c r="N47" s="334"/>
      <c r="O47" s="334"/>
      <c r="P47" s="334"/>
      <c r="Q47" s="334"/>
      <c r="R47" s="334"/>
      <c r="S47" s="350"/>
      <c r="T47" s="180"/>
      <c r="U47" s="180"/>
      <c r="V47" s="180"/>
      <c r="W47" s="334"/>
      <c r="X47" s="334"/>
      <c r="Y47" s="334"/>
      <c r="Z47" s="334"/>
      <c r="AA47" s="150"/>
      <c r="AB47" s="202">
        <f t="shared" si="2"/>
        <v>0</v>
      </c>
      <c r="AC47" s="150">
        <v>1</v>
      </c>
      <c r="AD47" s="202">
        <f t="shared" si="3"/>
        <v>0</v>
      </c>
      <c r="AE47" s="150"/>
      <c r="AF47" s="202">
        <f t="shared" si="4"/>
        <v>0</v>
      </c>
      <c r="AG47" s="150"/>
      <c r="AH47" s="202">
        <f t="shared" si="5"/>
        <v>0</v>
      </c>
      <c r="AI47" s="150"/>
      <c r="AJ47" s="202">
        <f t="shared" si="6"/>
        <v>0</v>
      </c>
      <c r="AK47" s="150"/>
      <c r="AL47" s="202">
        <f t="shared" si="7"/>
        <v>0</v>
      </c>
      <c r="AM47" s="150"/>
      <c r="AN47" s="202">
        <f t="shared" si="8"/>
        <v>0</v>
      </c>
      <c r="AO47" s="150"/>
      <c r="AP47" s="202">
        <f t="shared" si="9"/>
        <v>0</v>
      </c>
      <c r="AQ47" s="150"/>
      <c r="AR47" s="202">
        <f t="shared" si="10"/>
        <v>0</v>
      </c>
      <c r="AS47" s="150"/>
      <c r="AT47" s="202">
        <f t="shared" si="11"/>
        <v>0</v>
      </c>
      <c r="AU47" s="150"/>
      <c r="AV47" s="202">
        <f t="shared" si="12"/>
        <v>0</v>
      </c>
      <c r="AW47" s="150"/>
      <c r="AX47" s="202">
        <f t="shared" si="13"/>
        <v>0</v>
      </c>
      <c r="AY47" s="150"/>
      <c r="AZ47" s="202">
        <f t="shared" si="14"/>
        <v>0</v>
      </c>
      <c r="BA47" s="150"/>
      <c r="BB47" s="202">
        <f t="shared" si="15"/>
        <v>0</v>
      </c>
      <c r="BC47" s="150"/>
      <c r="BD47" s="202">
        <f t="shared" si="16"/>
        <v>0</v>
      </c>
      <c r="BE47" s="150"/>
      <c r="BF47" s="202">
        <f t="shared" si="17"/>
        <v>0</v>
      </c>
      <c r="BG47" s="150"/>
      <c r="BH47" s="202">
        <f>BG47*F47</f>
        <v>0</v>
      </c>
      <c r="BI47" s="150"/>
      <c r="BJ47" s="202">
        <f>BI47*F47</f>
        <v>0</v>
      </c>
      <c r="BK47" s="150"/>
      <c r="BL47" s="202"/>
      <c r="BM47" s="159"/>
      <c r="BN47" s="178"/>
      <c r="BO47" s="254">
        <f>H47</f>
        <v>0</v>
      </c>
      <c r="BP47" s="254"/>
      <c r="BQ47" s="254"/>
      <c r="BR47" s="254"/>
      <c r="BS47" s="254">
        <f t="shared" si="36"/>
        <v>0</v>
      </c>
      <c r="BT47" s="254"/>
      <c r="BU47" s="254"/>
      <c r="BV47" s="254">
        <f>BT47+BU47</f>
        <v>0</v>
      </c>
      <c r="BW47" s="255">
        <f t="shared" si="22"/>
        <v>0</v>
      </c>
      <c r="BX47" s="178"/>
      <c r="BY47" s="178"/>
      <c r="BZ47" s="178"/>
      <c r="CA47" s="178"/>
      <c r="CB47" s="178"/>
      <c r="CC47" s="178"/>
      <c r="CD47" s="178"/>
      <c r="CE47" s="178"/>
      <c r="CF47" s="178"/>
      <c r="CG47" s="178"/>
      <c r="CH47" s="178"/>
      <c r="CI47" s="178"/>
      <c r="CJ47" s="178"/>
      <c r="CK47" s="178"/>
      <c r="CL47" s="178"/>
      <c r="CM47" s="178"/>
      <c r="CN47" s="178"/>
      <c r="CO47" s="178"/>
      <c r="CP47" s="178"/>
      <c r="CQ47" s="178"/>
      <c r="CR47" s="178"/>
      <c r="CS47" s="178"/>
      <c r="CT47" s="178"/>
      <c r="CU47" s="178"/>
      <c r="CV47" s="178"/>
      <c r="CW47" s="178"/>
      <c r="CX47" s="178"/>
      <c r="CY47" s="178"/>
      <c r="CZ47" s="178"/>
      <c r="DA47" s="178"/>
      <c r="DB47" s="178"/>
      <c r="DC47" s="178"/>
      <c r="DD47" s="178"/>
      <c r="DE47" s="178"/>
      <c r="DF47" s="178"/>
      <c r="DG47" s="178"/>
      <c r="DH47" s="178"/>
      <c r="DI47" s="178"/>
      <c r="DJ47" s="178"/>
      <c r="DK47" s="178"/>
      <c r="DL47" s="178"/>
      <c r="DM47" s="178"/>
      <c r="DN47" s="178"/>
      <c r="DO47" s="178"/>
      <c r="DP47" s="178"/>
      <c r="DQ47" s="178"/>
      <c r="DR47" s="178"/>
      <c r="DS47" s="178"/>
      <c r="DT47" s="178"/>
      <c r="DU47" s="178"/>
      <c r="DV47" s="178"/>
      <c r="DW47" s="178"/>
      <c r="DX47" s="178"/>
      <c r="DY47" s="178"/>
      <c r="DZ47" s="178"/>
      <c r="EA47" s="178"/>
      <c r="EB47" s="178"/>
      <c r="EC47" s="178"/>
      <c r="ED47" s="178"/>
      <c r="EE47" s="178"/>
      <c r="EF47" s="178"/>
      <c r="EG47" s="178"/>
      <c r="EH47" s="178"/>
      <c r="EI47" s="178"/>
      <c r="EJ47" s="178"/>
      <c r="EK47" s="178"/>
      <c r="EL47" s="178"/>
      <c r="EM47" s="178"/>
      <c r="EN47" s="178"/>
      <c r="EO47" s="178"/>
      <c r="EP47" s="178"/>
      <c r="EQ47" s="178"/>
      <c r="ER47" s="178"/>
      <c r="ES47" s="178"/>
      <c r="ET47" s="178"/>
      <c r="EU47" s="178"/>
      <c r="EV47" s="178"/>
      <c r="EW47" s="178"/>
      <c r="EX47" s="178"/>
      <c r="EY47" s="178"/>
      <c r="EZ47" s="178"/>
      <c r="FA47" s="178"/>
      <c r="FB47" s="178"/>
      <c r="FC47" s="178"/>
      <c r="FD47" s="178"/>
    </row>
    <row r="48" spans="1:160" s="341" customFormat="1" ht="31.5">
      <c r="A48" s="957"/>
      <c r="B48" s="346"/>
      <c r="C48" s="343"/>
      <c r="D48" s="134" t="s">
        <v>665</v>
      </c>
      <c r="E48" s="159" t="s">
        <v>101</v>
      </c>
      <c r="F48" s="135">
        <v>500000</v>
      </c>
      <c r="G48" s="253">
        <f>BK48</f>
        <v>0</v>
      </c>
      <c r="H48" s="334">
        <f>G48*F48</f>
        <v>0</v>
      </c>
      <c r="I48" s="334"/>
      <c r="J48" s="334"/>
      <c r="K48" s="334">
        <f>H48*1</f>
        <v>0</v>
      </c>
      <c r="L48" s="334"/>
      <c r="M48" s="759"/>
      <c r="N48" s="334"/>
      <c r="O48" s="334"/>
      <c r="P48" s="334"/>
      <c r="Q48" s="334"/>
      <c r="R48" s="334"/>
      <c r="S48" s="350">
        <f>G48*0.25</f>
        <v>0</v>
      </c>
      <c r="T48" s="180">
        <f>G48*0.25</f>
        <v>0</v>
      </c>
      <c r="U48" s="180">
        <f>G48*0.25</f>
        <v>0</v>
      </c>
      <c r="V48" s="180">
        <f>G48*0.25</f>
        <v>0</v>
      </c>
      <c r="W48" s="334">
        <f>S48*H48</f>
        <v>0</v>
      </c>
      <c r="X48" s="334">
        <f>T48*H48</f>
        <v>0</v>
      </c>
      <c r="Y48" s="334">
        <f>U48*H48</f>
        <v>0</v>
      </c>
      <c r="Z48" s="334">
        <f>V48*H48</f>
        <v>0</v>
      </c>
      <c r="AA48" s="150">
        <v>0</v>
      </c>
      <c r="AB48" s="202">
        <f t="shared" si="2"/>
        <v>0</v>
      </c>
      <c r="AC48" s="150">
        <v>0</v>
      </c>
      <c r="AD48" s="202">
        <f t="shared" si="3"/>
        <v>0</v>
      </c>
      <c r="AE48" s="150">
        <v>0</v>
      </c>
      <c r="AF48" s="202">
        <f t="shared" si="4"/>
        <v>0</v>
      </c>
      <c r="AG48" s="150">
        <v>0</v>
      </c>
      <c r="AH48" s="202">
        <f t="shared" si="5"/>
        <v>0</v>
      </c>
      <c r="AI48" s="150">
        <v>0</v>
      </c>
      <c r="AJ48" s="202">
        <f t="shared" si="6"/>
        <v>0</v>
      </c>
      <c r="AK48" s="150">
        <v>0</v>
      </c>
      <c r="AL48" s="202">
        <f t="shared" si="7"/>
        <v>0</v>
      </c>
      <c r="AM48" s="150">
        <v>0</v>
      </c>
      <c r="AN48" s="202">
        <f t="shared" si="8"/>
        <v>0</v>
      </c>
      <c r="AO48" s="150">
        <v>0</v>
      </c>
      <c r="AP48" s="202">
        <f t="shared" si="9"/>
        <v>0</v>
      </c>
      <c r="AQ48" s="150">
        <v>0</v>
      </c>
      <c r="AR48" s="202">
        <f t="shared" si="10"/>
        <v>0</v>
      </c>
      <c r="AS48" s="493">
        <v>0</v>
      </c>
      <c r="AT48" s="202">
        <f t="shared" si="11"/>
        <v>0</v>
      </c>
      <c r="AU48" s="150">
        <v>0</v>
      </c>
      <c r="AV48" s="202">
        <f t="shared" si="12"/>
        <v>0</v>
      </c>
      <c r="AW48" s="150">
        <v>0</v>
      </c>
      <c r="AX48" s="202">
        <f t="shared" si="13"/>
        <v>0</v>
      </c>
      <c r="AY48" s="150">
        <v>0</v>
      </c>
      <c r="AZ48" s="202">
        <f t="shared" si="14"/>
        <v>0</v>
      </c>
      <c r="BA48" s="150">
        <v>0</v>
      </c>
      <c r="BB48" s="202">
        <f t="shared" si="15"/>
        <v>0</v>
      </c>
      <c r="BC48" s="150">
        <v>0</v>
      </c>
      <c r="BD48" s="202">
        <f t="shared" si="16"/>
        <v>0</v>
      </c>
      <c r="BE48" s="150">
        <v>0</v>
      </c>
      <c r="BF48" s="202">
        <f t="shared" si="17"/>
        <v>0</v>
      </c>
      <c r="BG48" s="150">
        <v>0</v>
      </c>
      <c r="BH48" s="202">
        <f>BG48*F48</f>
        <v>0</v>
      </c>
      <c r="BI48" s="150"/>
      <c r="BJ48" s="202">
        <f>BI48*F48</f>
        <v>0</v>
      </c>
      <c r="BK48" s="150">
        <f t="shared" ref="BK48:BL51" si="46">AA48+AC48+AE48+AG48+AI48+AK48+AM48+AO48+AQ48+AS48+AU48+AW48+AY48+BA48+BC48+BE48+BG48+BI48</f>
        <v>0</v>
      </c>
      <c r="BL48" s="202">
        <f t="shared" si="46"/>
        <v>0</v>
      </c>
      <c r="BM48" s="159" t="s">
        <v>562</v>
      </c>
      <c r="BN48" s="178"/>
      <c r="BO48" s="254"/>
      <c r="BP48" s="254"/>
      <c r="BQ48" s="254">
        <f>BL48</f>
        <v>0</v>
      </c>
      <c r="BR48" s="254"/>
      <c r="BS48" s="254">
        <f t="shared" si="36"/>
        <v>0</v>
      </c>
      <c r="BT48" s="254"/>
      <c r="BU48" s="254"/>
      <c r="BV48" s="254">
        <f>BT48+BU48</f>
        <v>0</v>
      </c>
      <c r="BW48" s="255">
        <f t="shared" si="22"/>
        <v>0</v>
      </c>
      <c r="BX48" s="178"/>
      <c r="BY48" s="178"/>
      <c r="BZ48" s="178"/>
      <c r="CA48" s="178"/>
      <c r="CB48" s="178"/>
      <c r="CC48" s="178"/>
      <c r="CD48" s="178"/>
      <c r="CE48" s="178"/>
      <c r="CF48" s="178"/>
      <c r="CG48" s="178"/>
      <c r="CH48" s="178"/>
      <c r="CI48" s="178"/>
      <c r="CJ48" s="178"/>
      <c r="CK48" s="178"/>
      <c r="CL48" s="178"/>
      <c r="CM48" s="178"/>
      <c r="CN48" s="178"/>
      <c r="CO48" s="178"/>
      <c r="CP48" s="178"/>
      <c r="CQ48" s="178"/>
      <c r="CR48" s="178"/>
      <c r="CS48" s="178"/>
      <c r="CT48" s="178"/>
      <c r="CU48" s="178"/>
      <c r="CV48" s="178"/>
      <c r="CW48" s="178"/>
      <c r="CX48" s="178"/>
      <c r="CY48" s="178"/>
      <c r="CZ48" s="178"/>
      <c r="DA48" s="178"/>
      <c r="DB48" s="178"/>
      <c r="DC48" s="178"/>
      <c r="DD48" s="178"/>
      <c r="DE48" s="178"/>
      <c r="DF48" s="178"/>
      <c r="DG48" s="178"/>
      <c r="DH48" s="178"/>
      <c r="DI48" s="178"/>
      <c r="DJ48" s="178"/>
      <c r="DK48" s="178"/>
      <c r="DL48" s="178"/>
      <c r="DM48" s="178"/>
      <c r="DN48" s="178"/>
      <c r="DO48" s="178"/>
      <c r="DP48" s="178"/>
      <c r="DQ48" s="178"/>
      <c r="DR48" s="178"/>
      <c r="DS48" s="178"/>
      <c r="DT48" s="178"/>
      <c r="DU48" s="178"/>
      <c r="DV48" s="178"/>
      <c r="DW48" s="178"/>
      <c r="DX48" s="178"/>
      <c r="DY48" s="178"/>
      <c r="DZ48" s="178"/>
      <c r="EA48" s="178"/>
      <c r="EB48" s="178"/>
      <c r="EC48" s="178"/>
      <c r="ED48" s="178"/>
      <c r="EE48" s="178"/>
      <c r="EF48" s="178"/>
      <c r="EG48" s="178"/>
      <c r="EH48" s="178"/>
      <c r="EI48" s="178"/>
      <c r="EJ48" s="178"/>
      <c r="EK48" s="178"/>
      <c r="EL48" s="178"/>
      <c r="EM48" s="178"/>
      <c r="EN48" s="178"/>
      <c r="EO48" s="178"/>
      <c r="EP48" s="178"/>
      <c r="EQ48" s="178"/>
      <c r="ER48" s="178"/>
      <c r="ES48" s="178"/>
      <c r="ET48" s="178"/>
      <c r="EU48" s="178"/>
      <c r="EV48" s="178"/>
      <c r="EW48" s="178"/>
      <c r="EX48" s="178"/>
      <c r="EY48" s="178"/>
      <c r="EZ48" s="178"/>
      <c r="FA48" s="178"/>
      <c r="FB48" s="178"/>
      <c r="FC48" s="178"/>
      <c r="FD48" s="178"/>
    </row>
    <row r="49" spans="1:160">
      <c r="A49" s="957"/>
      <c r="B49" s="534"/>
      <c r="C49" s="145"/>
      <c r="D49" s="166" t="s">
        <v>917</v>
      </c>
      <c r="E49" s="159" t="s">
        <v>101</v>
      </c>
      <c r="F49" s="135">
        <v>300000</v>
      </c>
      <c r="G49" s="253">
        <f>BK49</f>
        <v>7</v>
      </c>
      <c r="H49" s="334">
        <f>G49*F49</f>
        <v>2100000</v>
      </c>
      <c r="I49" s="150">
        <f>H49*0</f>
        <v>0</v>
      </c>
      <c r="J49" s="150">
        <f>H49*0.8</f>
        <v>1680000</v>
      </c>
      <c r="K49" s="150"/>
      <c r="L49" s="150"/>
      <c r="M49" s="764"/>
      <c r="N49" s="150"/>
      <c r="O49" s="150"/>
      <c r="P49" s="150"/>
      <c r="Q49" s="150">
        <f>H49*0.2</f>
        <v>420000</v>
      </c>
      <c r="R49" s="150"/>
      <c r="S49" s="150">
        <f>G49*0.25</f>
        <v>1.75</v>
      </c>
      <c r="T49" s="150">
        <f>G49*0.25</f>
        <v>1.75</v>
      </c>
      <c r="U49" s="150">
        <f>G49*0.25</f>
        <v>1.75</v>
      </c>
      <c r="V49" s="150">
        <f>G49*0.25</f>
        <v>1.75</v>
      </c>
      <c r="W49" s="150">
        <f>S49*H49</f>
        <v>3675000</v>
      </c>
      <c r="X49" s="150">
        <f>T49*H49</f>
        <v>3675000</v>
      </c>
      <c r="Y49" s="150">
        <f>U49*H49</f>
        <v>3675000</v>
      </c>
      <c r="Z49" s="150">
        <f>V49*H49</f>
        <v>3675000</v>
      </c>
      <c r="AA49" s="150">
        <v>0</v>
      </c>
      <c r="AB49" s="150">
        <f t="shared" si="2"/>
        <v>0</v>
      </c>
      <c r="AC49" s="150">
        <v>1</v>
      </c>
      <c r="AD49" s="150">
        <f t="shared" si="3"/>
        <v>300000</v>
      </c>
      <c r="AE49" s="150">
        <v>0</v>
      </c>
      <c r="AF49" s="150">
        <f t="shared" si="4"/>
        <v>0</v>
      </c>
      <c r="AG49" s="150">
        <v>0</v>
      </c>
      <c r="AH49" s="150">
        <f t="shared" si="5"/>
        <v>0</v>
      </c>
      <c r="AI49" s="150">
        <v>1</v>
      </c>
      <c r="AJ49" s="150">
        <f t="shared" si="6"/>
        <v>300000</v>
      </c>
      <c r="AK49" s="150">
        <v>1</v>
      </c>
      <c r="AL49" s="150">
        <f t="shared" si="7"/>
        <v>300000</v>
      </c>
      <c r="AM49" s="150">
        <v>0</v>
      </c>
      <c r="AN49" s="150">
        <f t="shared" si="8"/>
        <v>0</v>
      </c>
      <c r="AO49" s="150">
        <v>1</v>
      </c>
      <c r="AP49" s="150">
        <f t="shared" si="9"/>
        <v>300000</v>
      </c>
      <c r="AQ49" s="150">
        <v>0</v>
      </c>
      <c r="AR49" s="150">
        <f t="shared" si="10"/>
        <v>0</v>
      </c>
      <c r="AS49" s="150">
        <v>1</v>
      </c>
      <c r="AT49" s="150">
        <f t="shared" si="11"/>
        <v>300000</v>
      </c>
      <c r="AU49" s="150">
        <v>0</v>
      </c>
      <c r="AV49" s="150">
        <f t="shared" si="12"/>
        <v>0</v>
      </c>
      <c r="AW49" s="150">
        <v>1</v>
      </c>
      <c r="AX49" s="150">
        <f t="shared" si="13"/>
        <v>300000</v>
      </c>
      <c r="AY49" s="150">
        <v>0</v>
      </c>
      <c r="AZ49" s="150">
        <f t="shared" si="14"/>
        <v>0</v>
      </c>
      <c r="BA49" s="150">
        <v>0</v>
      </c>
      <c r="BB49" s="150">
        <f t="shared" si="15"/>
        <v>0</v>
      </c>
      <c r="BC49" s="150">
        <v>0</v>
      </c>
      <c r="BD49" s="150">
        <f t="shared" si="16"/>
        <v>0</v>
      </c>
      <c r="BE49" s="150">
        <v>1</v>
      </c>
      <c r="BF49" s="150">
        <f t="shared" si="17"/>
        <v>300000</v>
      </c>
      <c r="BG49" s="150">
        <v>0</v>
      </c>
      <c r="BH49" s="150">
        <f>BG49*F49</f>
        <v>0</v>
      </c>
      <c r="BI49" s="150"/>
      <c r="BJ49" s="150">
        <f>BI49*F49</f>
        <v>0</v>
      </c>
      <c r="BK49" s="351">
        <f t="shared" si="46"/>
        <v>7</v>
      </c>
      <c r="BL49" s="150">
        <f t="shared" si="46"/>
        <v>2100000</v>
      </c>
      <c r="BM49" s="159" t="s">
        <v>220</v>
      </c>
      <c r="BN49" s="139"/>
      <c r="BO49" s="145"/>
      <c r="BP49" s="145"/>
      <c r="BQ49" s="254">
        <f>BL49</f>
        <v>2100000</v>
      </c>
      <c r="BR49" s="145">
        <f>SUM(BR28:BR48)</f>
        <v>0</v>
      </c>
      <c r="BS49" s="254">
        <f t="shared" si="36"/>
        <v>2100000</v>
      </c>
      <c r="BT49" s="145">
        <f>SUM(BT28:BT48)</f>
        <v>0</v>
      </c>
      <c r="BU49" s="145">
        <f>SUM(BU28:BU48)</f>
        <v>0</v>
      </c>
      <c r="BV49" s="145">
        <f>SUM(BV28:BV48)</f>
        <v>0</v>
      </c>
      <c r="BW49" s="255">
        <f t="shared" si="22"/>
        <v>2100000</v>
      </c>
    </row>
    <row r="50" spans="1:160">
      <c r="A50" s="957"/>
      <c r="B50" s="346"/>
      <c r="C50" s="156">
        <v>31500</v>
      </c>
      <c r="D50" s="166" t="s">
        <v>422</v>
      </c>
      <c r="E50" s="159" t="s">
        <v>95</v>
      </c>
      <c r="F50" s="135" t="s">
        <v>320</v>
      </c>
      <c r="G50" s="253">
        <f>BK50</f>
        <v>320</v>
      </c>
      <c r="H50" s="253">
        <f t="shared" ref="H50:AB51" si="47">BL50</f>
        <v>1508500</v>
      </c>
      <c r="I50" s="150">
        <f>H50*0</f>
        <v>0</v>
      </c>
      <c r="J50" s="150">
        <f>H50*0.8</f>
        <v>1206800</v>
      </c>
      <c r="K50" s="253">
        <f t="shared" si="47"/>
        <v>0</v>
      </c>
      <c r="L50" s="253">
        <f t="shared" si="47"/>
        <v>0</v>
      </c>
      <c r="M50" s="722">
        <v>0</v>
      </c>
      <c r="N50" s="253">
        <f t="shared" si="47"/>
        <v>0</v>
      </c>
      <c r="O50" s="253">
        <v>0</v>
      </c>
      <c r="P50" s="253">
        <f t="shared" si="47"/>
        <v>0</v>
      </c>
      <c r="Q50" s="253">
        <f>H50*0.2</f>
        <v>301700</v>
      </c>
      <c r="R50" s="253">
        <f t="shared" si="47"/>
        <v>0</v>
      </c>
      <c r="S50" s="253">
        <f t="shared" si="47"/>
        <v>1508500</v>
      </c>
      <c r="T50" s="253">
        <f t="shared" si="47"/>
        <v>0</v>
      </c>
      <c r="U50" s="253">
        <f t="shared" si="47"/>
        <v>0</v>
      </c>
      <c r="V50" s="253">
        <f t="shared" si="47"/>
        <v>0</v>
      </c>
      <c r="W50" s="253">
        <f t="shared" si="47"/>
        <v>0</v>
      </c>
      <c r="X50" s="253">
        <f t="shared" si="47"/>
        <v>0</v>
      </c>
      <c r="Y50" s="253">
        <f t="shared" si="47"/>
        <v>0</v>
      </c>
      <c r="Z50" s="253">
        <f t="shared" si="47"/>
        <v>0</v>
      </c>
      <c r="AA50" s="253">
        <f t="shared" si="47"/>
        <v>0</v>
      </c>
      <c r="AB50" s="253">
        <f t="shared" si="47"/>
        <v>0</v>
      </c>
      <c r="AC50" s="493">
        <v>100</v>
      </c>
      <c r="AD50" s="202">
        <v>300000</v>
      </c>
      <c r="AE50" s="150">
        <v>20</v>
      </c>
      <c r="AF50" s="202">
        <f t="shared" si="4"/>
        <v>100000</v>
      </c>
      <c r="AG50" s="150">
        <v>20</v>
      </c>
      <c r="AH50" s="202">
        <f t="shared" si="5"/>
        <v>100000</v>
      </c>
      <c r="AI50" s="150">
        <v>20</v>
      </c>
      <c r="AJ50" s="202">
        <f t="shared" si="6"/>
        <v>100000</v>
      </c>
      <c r="AK50" s="150">
        <v>20</v>
      </c>
      <c r="AL50" s="202">
        <f t="shared" si="7"/>
        <v>100000</v>
      </c>
      <c r="AM50" s="150">
        <v>20</v>
      </c>
      <c r="AN50" s="202">
        <f t="shared" si="8"/>
        <v>100000</v>
      </c>
      <c r="AO50" s="150">
        <v>20</v>
      </c>
      <c r="AP50" s="202">
        <f t="shared" si="9"/>
        <v>100000</v>
      </c>
      <c r="AQ50" s="150">
        <v>0</v>
      </c>
      <c r="AR50" s="202">
        <f t="shared" si="10"/>
        <v>0</v>
      </c>
      <c r="AS50" s="150">
        <v>20</v>
      </c>
      <c r="AT50" s="511">
        <f>(AS50*F50)+108500</f>
        <v>208500</v>
      </c>
      <c r="AU50" s="150">
        <v>20</v>
      </c>
      <c r="AV50" s="202">
        <f t="shared" si="12"/>
        <v>100000</v>
      </c>
      <c r="AW50" s="150">
        <v>20</v>
      </c>
      <c r="AX50" s="202">
        <f t="shared" si="13"/>
        <v>100000</v>
      </c>
      <c r="AY50" s="150">
        <v>20</v>
      </c>
      <c r="AZ50" s="202">
        <f t="shared" si="14"/>
        <v>100000</v>
      </c>
      <c r="BA50" s="150">
        <v>0</v>
      </c>
      <c r="BB50" s="202">
        <f t="shared" si="15"/>
        <v>0</v>
      </c>
      <c r="BC50" s="150">
        <v>0</v>
      </c>
      <c r="BD50" s="202">
        <f t="shared" si="16"/>
        <v>0</v>
      </c>
      <c r="BE50" s="150">
        <v>20</v>
      </c>
      <c r="BF50" s="202">
        <f t="shared" si="17"/>
        <v>100000</v>
      </c>
      <c r="BG50" s="150">
        <v>0</v>
      </c>
      <c r="BH50" s="202">
        <f>BG50*F50</f>
        <v>0</v>
      </c>
      <c r="BI50" s="150"/>
      <c r="BJ50" s="202">
        <f>BI50*F50</f>
        <v>0</v>
      </c>
      <c r="BK50" s="150">
        <f t="shared" si="46"/>
        <v>320</v>
      </c>
      <c r="BL50" s="202">
        <f t="shared" si="46"/>
        <v>1508500</v>
      </c>
      <c r="BM50" s="159" t="s">
        <v>220</v>
      </c>
      <c r="BO50" s="254"/>
      <c r="BP50" s="254"/>
      <c r="BQ50" s="254">
        <f>BL50</f>
        <v>1508500</v>
      </c>
      <c r="BR50" s="254"/>
      <c r="BS50" s="254">
        <f t="shared" si="36"/>
        <v>1508500</v>
      </c>
      <c r="BT50" s="254"/>
      <c r="BU50" s="254"/>
      <c r="BV50" s="254"/>
      <c r="BW50" s="255">
        <f t="shared" si="22"/>
        <v>1508500</v>
      </c>
    </row>
    <row r="51" spans="1:160">
      <c r="A51" s="957"/>
      <c r="B51" s="346"/>
      <c r="C51" s="352"/>
      <c r="D51" s="166" t="s">
        <v>1013</v>
      </c>
      <c r="E51" s="159" t="s">
        <v>101</v>
      </c>
      <c r="F51" s="135">
        <v>1000000</v>
      </c>
      <c r="G51" s="253">
        <f>BK51</f>
        <v>3</v>
      </c>
      <c r="H51" s="253">
        <f t="shared" si="47"/>
        <v>563000</v>
      </c>
      <c r="I51" s="150"/>
      <c r="J51" s="150"/>
      <c r="K51" s="334">
        <f>H51*1</f>
        <v>563000</v>
      </c>
      <c r="L51" s="202"/>
      <c r="M51" s="668"/>
      <c r="N51" s="202"/>
      <c r="O51" s="202"/>
      <c r="P51" s="202"/>
      <c r="Q51" s="202"/>
      <c r="R51" s="202"/>
      <c r="S51" s="180">
        <f>G51*0.25</f>
        <v>0.75</v>
      </c>
      <c r="T51" s="180">
        <f>G51*0.25</f>
        <v>0.75</v>
      </c>
      <c r="U51" s="180">
        <f>G51*0.25</f>
        <v>0.75</v>
      </c>
      <c r="V51" s="180">
        <f>G51*0.25</f>
        <v>0.75</v>
      </c>
      <c r="W51" s="202">
        <f>S51*F51</f>
        <v>750000</v>
      </c>
      <c r="X51" s="202">
        <f>T51*F51</f>
        <v>750000</v>
      </c>
      <c r="Y51" s="202">
        <f>U51*F51</f>
        <v>750000</v>
      </c>
      <c r="Z51" s="202">
        <f>V51*F51</f>
        <v>750000</v>
      </c>
      <c r="AA51" s="150">
        <v>0</v>
      </c>
      <c r="AB51" s="202">
        <f t="shared" si="2"/>
        <v>0</v>
      </c>
      <c r="AC51" s="150">
        <v>0</v>
      </c>
      <c r="AD51" s="202">
        <f t="shared" si="3"/>
        <v>0</v>
      </c>
      <c r="AE51" s="150">
        <v>0</v>
      </c>
      <c r="AF51" s="202">
        <f t="shared" si="4"/>
        <v>0</v>
      </c>
      <c r="AG51" s="150">
        <v>0</v>
      </c>
      <c r="AH51" s="202">
        <f t="shared" si="5"/>
        <v>0</v>
      </c>
      <c r="AI51" s="150">
        <v>0</v>
      </c>
      <c r="AJ51" s="202">
        <f t="shared" si="6"/>
        <v>0</v>
      </c>
      <c r="AK51" s="150">
        <v>0</v>
      </c>
      <c r="AL51" s="202">
        <f t="shared" si="7"/>
        <v>0</v>
      </c>
      <c r="AM51" s="150">
        <v>0</v>
      </c>
      <c r="AN51" s="202">
        <f t="shared" si="8"/>
        <v>0</v>
      </c>
      <c r="AO51" s="150">
        <v>0</v>
      </c>
      <c r="AP51" s="202">
        <f t="shared" si="9"/>
        <v>0</v>
      </c>
      <c r="AQ51" s="150">
        <v>0</v>
      </c>
      <c r="AR51" s="202">
        <f t="shared" si="10"/>
        <v>0</v>
      </c>
      <c r="AS51" s="150">
        <v>0</v>
      </c>
      <c r="AT51" s="202">
        <f t="shared" si="11"/>
        <v>0</v>
      </c>
      <c r="AU51" s="150">
        <v>3</v>
      </c>
      <c r="AV51" s="202">
        <v>563000</v>
      </c>
      <c r="AW51" s="150">
        <v>0</v>
      </c>
      <c r="AX51" s="202">
        <f t="shared" si="13"/>
        <v>0</v>
      </c>
      <c r="AY51" s="150">
        <v>0</v>
      </c>
      <c r="AZ51" s="202">
        <f t="shared" si="14"/>
        <v>0</v>
      </c>
      <c r="BA51" s="150">
        <v>0</v>
      </c>
      <c r="BB51" s="202">
        <f t="shared" si="15"/>
        <v>0</v>
      </c>
      <c r="BC51" s="150">
        <v>0</v>
      </c>
      <c r="BD51" s="202">
        <f t="shared" si="16"/>
        <v>0</v>
      </c>
      <c r="BE51" s="150">
        <v>0</v>
      </c>
      <c r="BF51" s="202">
        <f t="shared" si="17"/>
        <v>0</v>
      </c>
      <c r="BG51" s="150">
        <v>0</v>
      </c>
      <c r="BH51" s="202">
        <f>BG51*F51</f>
        <v>0</v>
      </c>
      <c r="BI51" s="150"/>
      <c r="BJ51" s="202">
        <f>BI51*F51</f>
        <v>0</v>
      </c>
      <c r="BK51" s="150">
        <f t="shared" si="46"/>
        <v>3</v>
      </c>
      <c r="BL51" s="202">
        <f t="shared" si="46"/>
        <v>563000</v>
      </c>
      <c r="BM51" s="159" t="s">
        <v>562</v>
      </c>
      <c r="BO51" s="254"/>
      <c r="BP51" s="254"/>
      <c r="BQ51" s="254">
        <f>BL51</f>
        <v>563000</v>
      </c>
      <c r="BR51" s="254"/>
      <c r="BS51" s="254">
        <f t="shared" si="36"/>
        <v>563000</v>
      </c>
      <c r="BT51" s="254"/>
      <c r="BU51" s="254"/>
      <c r="BV51" s="254"/>
      <c r="BW51" s="255">
        <f t="shared" si="22"/>
        <v>563000</v>
      </c>
    </row>
    <row r="52" spans="1:160" s="341" customFormat="1">
      <c r="A52" s="957"/>
      <c r="B52" s="346"/>
      <c r="C52" s="343"/>
      <c r="D52" s="158" t="s">
        <v>423</v>
      </c>
      <c r="E52" s="168" t="s">
        <v>115</v>
      </c>
      <c r="F52" s="177"/>
      <c r="G52" s="246">
        <f>SUM(G48:G51)</f>
        <v>330</v>
      </c>
      <c r="H52" s="246">
        <f t="shared" ref="H52:BS52" si="48">SUM(H48:H51)</f>
        <v>4171500</v>
      </c>
      <c r="I52" s="246">
        <f t="shared" si="48"/>
        <v>0</v>
      </c>
      <c r="J52" s="246">
        <f t="shared" si="48"/>
        <v>2886800</v>
      </c>
      <c r="K52" s="246">
        <f t="shared" si="48"/>
        <v>563000</v>
      </c>
      <c r="L52" s="246">
        <f t="shared" si="48"/>
        <v>0</v>
      </c>
      <c r="M52" s="762">
        <f t="shared" si="48"/>
        <v>0</v>
      </c>
      <c r="N52" s="246">
        <f t="shared" si="48"/>
        <v>0</v>
      </c>
      <c r="O52" s="246">
        <f t="shared" si="48"/>
        <v>0</v>
      </c>
      <c r="P52" s="246">
        <f t="shared" si="48"/>
        <v>0</v>
      </c>
      <c r="Q52" s="246">
        <f t="shared" si="48"/>
        <v>721700</v>
      </c>
      <c r="R52" s="246">
        <f t="shared" si="48"/>
        <v>0</v>
      </c>
      <c r="S52" s="246">
        <f t="shared" si="48"/>
        <v>1508502.5</v>
      </c>
      <c r="T52" s="246">
        <f t="shared" si="48"/>
        <v>2.5</v>
      </c>
      <c r="U52" s="246">
        <f t="shared" si="48"/>
        <v>2.5</v>
      </c>
      <c r="V52" s="246">
        <f t="shared" si="48"/>
        <v>2.5</v>
      </c>
      <c r="W52" s="246">
        <f t="shared" si="48"/>
        <v>4425000</v>
      </c>
      <c r="X52" s="246">
        <f t="shared" si="48"/>
        <v>4425000</v>
      </c>
      <c r="Y52" s="246">
        <f t="shared" si="48"/>
        <v>4425000</v>
      </c>
      <c r="Z52" s="246">
        <f t="shared" si="48"/>
        <v>4425000</v>
      </c>
      <c r="AA52" s="246">
        <f t="shared" si="48"/>
        <v>0</v>
      </c>
      <c r="AB52" s="246">
        <f t="shared" si="48"/>
        <v>0</v>
      </c>
      <c r="AC52" s="246">
        <f t="shared" si="48"/>
        <v>101</v>
      </c>
      <c r="AD52" s="246">
        <f t="shared" si="48"/>
        <v>600000</v>
      </c>
      <c r="AE52" s="246">
        <f t="shared" si="48"/>
        <v>20</v>
      </c>
      <c r="AF52" s="246">
        <f t="shared" si="48"/>
        <v>100000</v>
      </c>
      <c r="AG52" s="246">
        <f t="shared" si="48"/>
        <v>20</v>
      </c>
      <c r="AH52" s="246">
        <f t="shared" si="48"/>
        <v>100000</v>
      </c>
      <c r="AI52" s="246">
        <f t="shared" si="48"/>
        <v>21</v>
      </c>
      <c r="AJ52" s="246">
        <f t="shared" si="48"/>
        <v>400000</v>
      </c>
      <c r="AK52" s="246">
        <f t="shared" si="48"/>
        <v>21</v>
      </c>
      <c r="AL52" s="246">
        <f t="shared" si="48"/>
        <v>400000</v>
      </c>
      <c r="AM52" s="246">
        <f t="shared" si="48"/>
        <v>20</v>
      </c>
      <c r="AN52" s="246">
        <f t="shared" si="48"/>
        <v>100000</v>
      </c>
      <c r="AO52" s="246">
        <f t="shared" si="48"/>
        <v>21</v>
      </c>
      <c r="AP52" s="246">
        <f t="shared" si="48"/>
        <v>400000</v>
      </c>
      <c r="AQ52" s="246">
        <f t="shared" si="48"/>
        <v>0</v>
      </c>
      <c r="AR52" s="246">
        <f t="shared" si="48"/>
        <v>0</v>
      </c>
      <c r="AS52" s="246">
        <f t="shared" si="48"/>
        <v>21</v>
      </c>
      <c r="AT52" s="246">
        <f t="shared" si="48"/>
        <v>508500</v>
      </c>
      <c r="AU52" s="246">
        <f t="shared" si="48"/>
        <v>23</v>
      </c>
      <c r="AV52" s="246">
        <f t="shared" si="48"/>
        <v>663000</v>
      </c>
      <c r="AW52" s="246">
        <f t="shared" si="48"/>
        <v>21</v>
      </c>
      <c r="AX52" s="246">
        <f t="shared" si="48"/>
        <v>400000</v>
      </c>
      <c r="AY52" s="246">
        <f t="shared" si="48"/>
        <v>20</v>
      </c>
      <c r="AZ52" s="246">
        <f t="shared" si="48"/>
        <v>100000</v>
      </c>
      <c r="BA52" s="246">
        <f t="shared" si="48"/>
        <v>0</v>
      </c>
      <c r="BB52" s="246">
        <f t="shared" si="48"/>
        <v>0</v>
      </c>
      <c r="BC52" s="246">
        <f t="shared" si="48"/>
        <v>0</v>
      </c>
      <c r="BD52" s="246">
        <f t="shared" si="48"/>
        <v>0</v>
      </c>
      <c r="BE52" s="246">
        <f t="shared" si="48"/>
        <v>21</v>
      </c>
      <c r="BF52" s="246">
        <f t="shared" si="48"/>
        <v>400000</v>
      </c>
      <c r="BG52" s="246">
        <f t="shared" si="48"/>
        <v>0</v>
      </c>
      <c r="BH52" s="246">
        <f t="shared" si="48"/>
        <v>0</v>
      </c>
      <c r="BI52" s="246">
        <f t="shared" si="48"/>
        <v>0</v>
      </c>
      <c r="BJ52" s="246">
        <f t="shared" si="48"/>
        <v>0</v>
      </c>
      <c r="BK52" s="246">
        <f t="shared" si="48"/>
        <v>330</v>
      </c>
      <c r="BL52" s="246">
        <f t="shared" si="48"/>
        <v>4171500</v>
      </c>
      <c r="BM52" s="246">
        <f t="shared" si="48"/>
        <v>0</v>
      </c>
      <c r="BN52" s="246">
        <f t="shared" si="48"/>
        <v>0</v>
      </c>
      <c r="BO52" s="246">
        <f t="shared" si="48"/>
        <v>0</v>
      </c>
      <c r="BP52" s="246">
        <f t="shared" si="48"/>
        <v>0</v>
      </c>
      <c r="BQ52" s="246">
        <f t="shared" si="48"/>
        <v>4171500</v>
      </c>
      <c r="BR52" s="246">
        <f t="shared" si="48"/>
        <v>0</v>
      </c>
      <c r="BS52" s="246">
        <f t="shared" si="48"/>
        <v>4171500</v>
      </c>
      <c r="BT52" s="246">
        <f>SUM(BT48:BT51)</f>
        <v>0</v>
      </c>
      <c r="BU52" s="246">
        <f>SUM(BU48:BU51)</f>
        <v>0</v>
      </c>
      <c r="BV52" s="246">
        <f>SUM(BV48:BV51)</f>
        <v>0</v>
      </c>
      <c r="BW52" s="246">
        <f>SUM(BW48:BW51)</f>
        <v>4171500</v>
      </c>
      <c r="BX52" s="265"/>
      <c r="BY52" s="265"/>
      <c r="BZ52" s="265"/>
      <c r="CA52" s="265"/>
      <c r="CB52" s="265"/>
      <c r="CC52" s="265"/>
      <c r="CD52" s="265"/>
      <c r="CE52" s="265"/>
      <c r="CF52" s="265"/>
      <c r="CG52" s="265"/>
      <c r="CH52" s="265"/>
      <c r="CI52" s="265"/>
      <c r="CJ52" s="265"/>
      <c r="CK52" s="265"/>
      <c r="CL52" s="265"/>
      <c r="CM52" s="265"/>
      <c r="CN52" s="265"/>
      <c r="CO52" s="265"/>
      <c r="CP52" s="265"/>
      <c r="CQ52" s="265"/>
      <c r="CR52" s="265"/>
      <c r="CS52" s="265"/>
      <c r="CT52" s="265"/>
      <c r="CU52" s="265"/>
      <c r="CV52" s="265"/>
      <c r="CW52" s="265"/>
      <c r="CX52" s="265"/>
      <c r="CY52" s="265"/>
      <c r="CZ52" s="265"/>
      <c r="DA52" s="265"/>
      <c r="DB52" s="265"/>
      <c r="DC52" s="265"/>
      <c r="DD52" s="265"/>
      <c r="DE52" s="265"/>
      <c r="DF52" s="265"/>
      <c r="DG52" s="265"/>
      <c r="DH52" s="265"/>
      <c r="DI52" s="265"/>
      <c r="DJ52" s="265"/>
      <c r="DK52" s="265"/>
      <c r="DL52" s="265"/>
      <c r="DM52" s="265"/>
      <c r="DN52" s="265"/>
      <c r="DO52" s="265"/>
      <c r="DP52" s="265"/>
      <c r="DQ52" s="265"/>
      <c r="DR52" s="265"/>
      <c r="DS52" s="265"/>
      <c r="DT52" s="265"/>
      <c r="DU52" s="265"/>
      <c r="DV52" s="265"/>
      <c r="DW52" s="265"/>
      <c r="DX52" s="265"/>
      <c r="DY52" s="265"/>
      <c r="DZ52" s="265"/>
      <c r="EA52" s="265"/>
      <c r="EB52" s="265"/>
      <c r="EC52" s="265"/>
      <c r="ED52" s="265"/>
      <c r="EE52" s="265"/>
      <c r="EF52" s="265"/>
      <c r="EG52" s="265"/>
      <c r="EH52" s="265"/>
      <c r="EI52" s="265"/>
      <c r="EJ52" s="265"/>
      <c r="EK52" s="265"/>
      <c r="EL52" s="265"/>
      <c r="EM52" s="265"/>
      <c r="EN52" s="265"/>
      <c r="EO52" s="265"/>
      <c r="EP52" s="265"/>
      <c r="EQ52" s="265"/>
      <c r="ER52" s="265"/>
      <c r="ES52" s="265"/>
      <c r="ET52" s="265"/>
      <c r="EU52" s="265"/>
      <c r="EV52" s="265"/>
      <c r="EW52" s="265"/>
      <c r="EX52" s="265"/>
      <c r="EY52" s="265"/>
      <c r="EZ52" s="265"/>
      <c r="FA52" s="265"/>
      <c r="FB52" s="265"/>
      <c r="FC52" s="265"/>
      <c r="FD52" s="265"/>
    </row>
    <row r="53" spans="1:160" s="341" customFormat="1">
      <c r="A53" s="957"/>
      <c r="B53" s="346"/>
      <c r="C53" s="343"/>
      <c r="D53" s="176" t="s">
        <v>346</v>
      </c>
      <c r="E53" s="168" t="s">
        <v>115</v>
      </c>
      <c r="F53" s="177" t="s">
        <v>115</v>
      </c>
      <c r="G53" s="353">
        <f t="shared" ref="G53:AL53" si="49">G52+G41+G39+G28+G19+G15+G46</f>
        <v>1111</v>
      </c>
      <c r="H53" s="353">
        <f t="shared" si="49"/>
        <v>42108882</v>
      </c>
      <c r="I53" s="353">
        <f t="shared" si="49"/>
        <v>329800</v>
      </c>
      <c r="J53" s="353">
        <f t="shared" si="49"/>
        <v>4606000</v>
      </c>
      <c r="K53" s="353">
        <f t="shared" si="49"/>
        <v>1263000</v>
      </c>
      <c r="L53" s="353">
        <f t="shared" si="49"/>
        <v>0</v>
      </c>
      <c r="M53" s="765">
        <f t="shared" si="49"/>
        <v>35088382</v>
      </c>
      <c r="N53" s="353">
        <f t="shared" si="49"/>
        <v>0</v>
      </c>
      <c r="O53" s="353">
        <f t="shared" si="49"/>
        <v>0</v>
      </c>
      <c r="P53" s="353">
        <f t="shared" si="49"/>
        <v>0</v>
      </c>
      <c r="Q53" s="353">
        <f t="shared" si="49"/>
        <v>821700</v>
      </c>
      <c r="R53" s="353">
        <f t="shared" si="49"/>
        <v>0</v>
      </c>
      <c r="S53" s="353">
        <f t="shared" si="49"/>
        <v>1508663.25</v>
      </c>
      <c r="T53" s="353">
        <f t="shared" si="49"/>
        <v>163.25</v>
      </c>
      <c r="U53" s="353">
        <f t="shared" si="49"/>
        <v>163.25</v>
      </c>
      <c r="V53" s="353">
        <f t="shared" si="49"/>
        <v>164.25</v>
      </c>
      <c r="W53" s="353">
        <f t="shared" si="49"/>
        <v>106685000</v>
      </c>
      <c r="X53" s="353">
        <f t="shared" si="49"/>
        <v>106685000</v>
      </c>
      <c r="Y53" s="353">
        <f t="shared" si="49"/>
        <v>106685000</v>
      </c>
      <c r="Z53" s="353">
        <f t="shared" si="49"/>
        <v>106935000</v>
      </c>
      <c r="AA53" s="353">
        <f t="shared" si="49"/>
        <v>9</v>
      </c>
      <c r="AB53" s="353">
        <f t="shared" si="49"/>
        <v>2590000</v>
      </c>
      <c r="AC53" s="353">
        <f t="shared" si="49"/>
        <v>115</v>
      </c>
      <c r="AD53" s="353">
        <f t="shared" si="49"/>
        <v>2165000</v>
      </c>
      <c r="AE53" s="353">
        <f t="shared" si="49"/>
        <v>132</v>
      </c>
      <c r="AF53" s="353">
        <f t="shared" si="49"/>
        <v>5440000</v>
      </c>
      <c r="AG53" s="353">
        <f t="shared" si="49"/>
        <v>32</v>
      </c>
      <c r="AH53" s="353">
        <f t="shared" si="49"/>
        <v>4055000</v>
      </c>
      <c r="AI53" s="353">
        <f t="shared" si="49"/>
        <v>61</v>
      </c>
      <c r="AJ53" s="353">
        <f t="shared" si="49"/>
        <v>3340000</v>
      </c>
      <c r="AK53" s="353">
        <f t="shared" si="49"/>
        <v>130</v>
      </c>
      <c r="AL53" s="353">
        <f t="shared" si="49"/>
        <v>2340000</v>
      </c>
      <c r="AM53" s="353">
        <f t="shared" ref="AM53:BL53" si="50">AM52+AM41+AM39+AM28+AM19+AM15+AM46</f>
        <v>135</v>
      </c>
      <c r="AN53" s="353">
        <f t="shared" si="50"/>
        <v>4459000</v>
      </c>
      <c r="AO53" s="353">
        <f t="shared" si="50"/>
        <v>107</v>
      </c>
      <c r="AP53" s="353">
        <f t="shared" si="50"/>
        <v>490000</v>
      </c>
      <c r="AQ53" s="353">
        <f t="shared" si="50"/>
        <v>4</v>
      </c>
      <c r="AR53" s="353">
        <f t="shared" si="50"/>
        <v>60000</v>
      </c>
      <c r="AS53" s="353">
        <f t="shared" si="50"/>
        <v>29</v>
      </c>
      <c r="AT53" s="353">
        <f t="shared" si="50"/>
        <v>2442500</v>
      </c>
      <c r="AU53" s="353">
        <f t="shared" si="50"/>
        <v>32</v>
      </c>
      <c r="AV53" s="353">
        <f t="shared" si="50"/>
        <v>3707382</v>
      </c>
      <c r="AW53" s="353">
        <f t="shared" si="50"/>
        <v>130</v>
      </c>
      <c r="AX53" s="353">
        <f t="shared" si="50"/>
        <v>2340000</v>
      </c>
      <c r="AY53" s="353">
        <f t="shared" si="50"/>
        <v>129</v>
      </c>
      <c r="AZ53" s="353">
        <f t="shared" si="50"/>
        <v>1555000</v>
      </c>
      <c r="BA53" s="353">
        <f t="shared" si="50"/>
        <v>9</v>
      </c>
      <c r="BB53" s="353">
        <f t="shared" si="50"/>
        <v>1605000</v>
      </c>
      <c r="BC53" s="353">
        <f t="shared" si="50"/>
        <v>11</v>
      </c>
      <c r="BD53" s="353">
        <f t="shared" si="50"/>
        <v>3940000</v>
      </c>
      <c r="BE53" s="353">
        <f t="shared" si="50"/>
        <v>27</v>
      </c>
      <c r="BF53" s="353">
        <f t="shared" si="50"/>
        <v>490000</v>
      </c>
      <c r="BG53" s="353">
        <f t="shared" si="50"/>
        <v>19</v>
      </c>
      <c r="BH53" s="353">
        <f t="shared" si="50"/>
        <v>1090000</v>
      </c>
      <c r="BI53" s="353">
        <f t="shared" si="50"/>
        <v>0</v>
      </c>
      <c r="BJ53" s="353">
        <f t="shared" si="50"/>
        <v>0</v>
      </c>
      <c r="BK53" s="353">
        <f t="shared" si="50"/>
        <v>1111</v>
      </c>
      <c r="BL53" s="353">
        <f t="shared" si="50"/>
        <v>42108882</v>
      </c>
      <c r="BM53" s="353"/>
      <c r="BN53" s="353">
        <f t="shared" ref="BN53:BW53" si="51">BN52+BN41+BN39+BN28+BN19+BN15+BN46</f>
        <v>0</v>
      </c>
      <c r="BO53" s="353">
        <f t="shared" si="51"/>
        <v>24100000</v>
      </c>
      <c r="BP53" s="353">
        <f t="shared" si="51"/>
        <v>0</v>
      </c>
      <c r="BQ53" s="353">
        <f t="shared" si="51"/>
        <v>4320500</v>
      </c>
      <c r="BR53" s="353">
        <f t="shared" si="51"/>
        <v>0</v>
      </c>
      <c r="BS53" s="353">
        <f t="shared" si="51"/>
        <v>28420500</v>
      </c>
      <c r="BT53" s="353">
        <f t="shared" si="51"/>
        <v>0</v>
      </c>
      <c r="BU53" s="353">
        <f t="shared" si="51"/>
        <v>0</v>
      </c>
      <c r="BV53" s="353">
        <f t="shared" si="51"/>
        <v>0</v>
      </c>
      <c r="BW53" s="353">
        <f t="shared" si="51"/>
        <v>28420500</v>
      </c>
      <c r="BX53" s="265"/>
      <c r="BY53" s="265"/>
      <c r="BZ53" s="265"/>
      <c r="CA53" s="265"/>
      <c r="CB53" s="265"/>
      <c r="CC53" s="265"/>
      <c r="CD53" s="265"/>
      <c r="CE53" s="265"/>
      <c r="CF53" s="265"/>
      <c r="CG53" s="265"/>
      <c r="CH53" s="265"/>
      <c r="CI53" s="265"/>
      <c r="CJ53" s="265"/>
      <c r="CK53" s="265"/>
      <c r="CL53" s="265"/>
      <c r="CM53" s="265"/>
      <c r="CN53" s="265"/>
      <c r="CO53" s="265"/>
      <c r="CP53" s="265"/>
      <c r="CQ53" s="265"/>
      <c r="CR53" s="265"/>
      <c r="CS53" s="265"/>
      <c r="CT53" s="265"/>
      <c r="CU53" s="265"/>
      <c r="CV53" s="265"/>
      <c r="CW53" s="265"/>
      <c r="CX53" s="265"/>
      <c r="CY53" s="265"/>
      <c r="CZ53" s="265"/>
      <c r="DA53" s="265"/>
      <c r="DB53" s="265"/>
      <c r="DC53" s="265"/>
      <c r="DD53" s="265"/>
      <c r="DE53" s="265"/>
      <c r="DF53" s="265"/>
      <c r="DG53" s="265"/>
      <c r="DH53" s="265"/>
      <c r="DI53" s="265"/>
      <c r="DJ53" s="265"/>
      <c r="DK53" s="265"/>
      <c r="DL53" s="265"/>
      <c r="DM53" s="265"/>
      <c r="DN53" s="265"/>
      <c r="DO53" s="265"/>
      <c r="DP53" s="265"/>
      <c r="DQ53" s="265"/>
      <c r="DR53" s="265"/>
      <c r="DS53" s="265"/>
      <c r="DT53" s="265"/>
      <c r="DU53" s="265"/>
      <c r="DV53" s="265"/>
      <c r="DW53" s="265"/>
      <c r="DX53" s="265"/>
      <c r="DY53" s="265"/>
      <c r="DZ53" s="265"/>
      <c r="EA53" s="265"/>
      <c r="EB53" s="265"/>
      <c r="EC53" s="265"/>
      <c r="ED53" s="265"/>
      <c r="EE53" s="265"/>
      <c r="EF53" s="265"/>
      <c r="EG53" s="265"/>
      <c r="EH53" s="265"/>
      <c r="EI53" s="265"/>
      <c r="EJ53" s="265"/>
      <c r="EK53" s="265"/>
      <c r="EL53" s="265"/>
      <c r="EM53" s="265"/>
      <c r="EN53" s="265"/>
      <c r="EO53" s="265"/>
      <c r="EP53" s="265"/>
      <c r="EQ53" s="265"/>
      <c r="ER53" s="265"/>
      <c r="ES53" s="265"/>
      <c r="ET53" s="265"/>
      <c r="EU53" s="265"/>
      <c r="EV53" s="265"/>
      <c r="EW53" s="265"/>
      <c r="EX53" s="265"/>
      <c r="EY53" s="265"/>
      <c r="EZ53" s="265"/>
      <c r="FA53" s="265"/>
      <c r="FB53" s="265"/>
      <c r="FC53" s="265"/>
      <c r="FD53" s="265"/>
    </row>
    <row r="56" spans="1:160">
      <c r="BL56" s="563">
        <f>H53-BL53</f>
        <v>0</v>
      </c>
    </row>
  </sheetData>
  <mergeCells count="45">
    <mergeCell ref="A4:C4"/>
    <mergeCell ref="D4:R4"/>
    <mergeCell ref="A1:C1"/>
    <mergeCell ref="D1:R1"/>
    <mergeCell ref="A2:C2"/>
    <mergeCell ref="D2:R2"/>
    <mergeCell ref="A3:C3"/>
    <mergeCell ref="D3:R3"/>
    <mergeCell ref="A5:C5"/>
    <mergeCell ref="D5:R5"/>
    <mergeCell ref="A6:E6"/>
    <mergeCell ref="G6:H6"/>
    <mergeCell ref="I6:R6"/>
    <mergeCell ref="D7:D8"/>
    <mergeCell ref="E7:E8"/>
    <mergeCell ref="F7:F8"/>
    <mergeCell ref="G7:G8"/>
    <mergeCell ref="H7:H8"/>
    <mergeCell ref="AI6:AJ7"/>
    <mergeCell ref="AK6:AL7"/>
    <mergeCell ref="AM6:AN7"/>
    <mergeCell ref="AO6:AP7"/>
    <mergeCell ref="AC6:AD7"/>
    <mergeCell ref="BC6:BD7"/>
    <mergeCell ref="BE6:BF7"/>
    <mergeCell ref="AS6:AT7"/>
    <mergeCell ref="AW6:AX7"/>
    <mergeCell ref="AY6:AZ7"/>
    <mergeCell ref="AU6:AV7"/>
    <mergeCell ref="BW7:BW8"/>
    <mergeCell ref="A9:A53"/>
    <mergeCell ref="BG6:BH7"/>
    <mergeCell ref="BI6:BJ7"/>
    <mergeCell ref="BK6:BL7"/>
    <mergeCell ref="BM6:BM8"/>
    <mergeCell ref="C7:C8"/>
    <mergeCell ref="S6:V7"/>
    <mergeCell ref="W6:Z7"/>
    <mergeCell ref="AA6:AB7"/>
    <mergeCell ref="AQ6:AR7"/>
    <mergeCell ref="AE6:AF7"/>
    <mergeCell ref="AG6:AH7"/>
    <mergeCell ref="BO7:BS7"/>
    <mergeCell ref="BT7:BV7"/>
    <mergeCell ref="BA6:BB7"/>
  </mergeCells>
  <pageMargins left="0.26" right="0.34" top="0.75" bottom="0.75" header="0.3" footer="0.3"/>
  <pageSetup paperSize="9"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5">
    <tabColor rgb="FF00B0F0"/>
    <pageSetUpPr fitToPage="1"/>
  </sheetPr>
  <dimension ref="A1:BU52"/>
  <sheetViews>
    <sheetView zoomScale="80" zoomScaleNormal="80" workbookViewId="0">
      <pane xSplit="6" ySplit="9" topLeftCell="G37" activePane="bottomRight" state="frozen"/>
      <selection pane="topRight" activeCell="H1" sqref="H1"/>
      <selection pane="bottomLeft" activeCell="A10" sqref="A10"/>
      <selection pane="bottomRight" activeCell="D52" sqref="D52"/>
    </sheetView>
  </sheetViews>
  <sheetFormatPr defaultColWidth="9.140625" defaultRowHeight="15.75"/>
  <cols>
    <col min="1" max="1" width="10.140625" style="139" bestFit="1" customWidth="1"/>
    <col min="2" max="2" width="55.42578125" style="357" bestFit="1" customWidth="1"/>
    <col min="3" max="3" width="7.140625" style="139" bestFit="1" customWidth="1"/>
    <col min="4" max="4" width="13.28515625" style="139" bestFit="1" customWidth="1"/>
    <col min="5" max="5" width="11.85546875" style="358" bestFit="1" customWidth="1"/>
    <col min="6" max="6" width="16.42578125" style="139" bestFit="1" customWidth="1"/>
    <col min="7" max="7" width="14.28515625" style="139" bestFit="1" customWidth="1"/>
    <col min="8" max="8" width="15.5703125" style="139" bestFit="1" customWidth="1"/>
    <col min="9" max="9" width="13.42578125" style="139" bestFit="1" customWidth="1"/>
    <col min="10" max="10" width="13.85546875" style="139" bestFit="1" customWidth="1"/>
    <col min="11" max="11" width="18.85546875" style="139" customWidth="1"/>
    <col min="12" max="12" width="13.140625" style="139" bestFit="1" customWidth="1"/>
    <col min="13" max="13" width="5.85546875" style="139" bestFit="1" customWidth="1"/>
    <col min="14" max="14" width="7.7109375" style="139" bestFit="1" customWidth="1"/>
    <col min="15" max="15" width="15.5703125" style="139" bestFit="1" customWidth="1"/>
    <col min="16" max="16" width="9" style="139" bestFit="1" customWidth="1"/>
    <col min="17" max="17" width="5" style="139" bestFit="1" customWidth="1"/>
    <col min="18" max="20" width="4.5703125" style="139" bestFit="1" customWidth="1"/>
    <col min="21" max="21" width="14.28515625" style="209" bestFit="1" customWidth="1"/>
    <col min="22" max="24" width="14.42578125" style="209" bestFit="1" customWidth="1"/>
    <col min="25" max="25" width="7.5703125" style="139" bestFit="1" customWidth="1"/>
    <col min="26" max="26" width="13.28515625" style="209" bestFit="1" customWidth="1"/>
    <col min="27" max="27" width="5.140625" style="139" customWidth="1"/>
    <col min="28" max="28" width="16.28515625" style="139" customWidth="1"/>
    <col min="29" max="29" width="5.7109375" style="139" bestFit="1" customWidth="1"/>
    <col min="30" max="30" width="13.28515625" style="139" bestFit="1" customWidth="1"/>
    <col min="31" max="31" width="7.140625" style="139" customWidth="1"/>
    <col min="32" max="32" width="16.5703125" style="139" customWidth="1"/>
    <col min="33" max="33" width="5.140625" style="139" customWidth="1"/>
    <col min="34" max="34" width="13.28515625" style="139" bestFit="1" customWidth="1"/>
    <col min="35" max="35" width="5.7109375" style="139" bestFit="1" customWidth="1"/>
    <col min="36" max="36" width="13.28515625" style="139" bestFit="1" customWidth="1"/>
    <col min="37" max="37" width="5.28515625" style="139" bestFit="1" customWidth="1"/>
    <col min="38" max="38" width="17.5703125" style="139" customWidth="1"/>
    <col min="39" max="39" width="5.140625" style="139" customWidth="1"/>
    <col min="40" max="40" width="16" style="139" customWidth="1"/>
    <col min="41" max="41" width="5.28515625" style="139" bestFit="1" customWidth="1"/>
    <col min="42" max="42" width="13.28515625" style="139" bestFit="1" customWidth="1"/>
    <col min="43" max="43" width="5.5703125" style="139" bestFit="1" customWidth="1"/>
    <col min="44" max="44" width="13.28515625" style="139" bestFit="1" customWidth="1"/>
    <col min="45" max="45" width="5.5703125" style="139" bestFit="1" customWidth="1"/>
    <col min="46" max="46" width="15.85546875" style="139" customWidth="1"/>
    <col min="47" max="47" width="5.28515625" style="139" bestFit="1" customWidth="1"/>
    <col min="48" max="48" width="13.28515625" style="139" bestFit="1" customWidth="1"/>
    <col min="49" max="49" width="5.28515625" style="139" bestFit="1" customWidth="1"/>
    <col min="50" max="50" width="13.28515625" style="139" bestFit="1" customWidth="1"/>
    <col min="51" max="51" width="5.140625" style="139" customWidth="1"/>
    <col min="52" max="52" width="15.42578125" style="139" customWidth="1"/>
    <col min="53" max="53" width="6.28515625" style="139" bestFit="1" customWidth="1"/>
    <col min="54" max="54" width="13.28515625" style="139" bestFit="1" customWidth="1"/>
    <col min="55" max="55" width="5.140625" style="139" customWidth="1"/>
    <col min="56" max="56" width="13.28515625" style="139" bestFit="1" customWidth="1"/>
    <col min="57" max="57" width="5.5703125" style="139" bestFit="1" customWidth="1"/>
    <col min="58" max="58" width="13.28515625" style="139" bestFit="1" customWidth="1"/>
    <col min="59" max="59" width="5.140625" style="139" customWidth="1"/>
    <col min="60" max="60" width="12.28515625" style="139" bestFit="1" customWidth="1"/>
    <col min="61" max="61" width="7.85546875" style="139" customWidth="1"/>
    <col min="62" max="62" width="14.42578125" style="139" bestFit="1" customWidth="1"/>
    <col min="63" max="63" width="24.7109375" style="139" bestFit="1" customWidth="1"/>
    <col min="64" max="64" width="9.140625" style="139" customWidth="1"/>
    <col min="65" max="65" width="15.85546875" style="139" bestFit="1" customWidth="1"/>
    <col min="66" max="66" width="12.7109375" style="139" bestFit="1" customWidth="1"/>
    <col min="67" max="67" width="15.7109375" style="139" customWidth="1"/>
    <col min="68" max="68" width="7.42578125" style="139" bestFit="1" customWidth="1"/>
    <col min="69" max="69" width="18" style="139" bestFit="1" customWidth="1"/>
    <col min="70" max="70" width="9.140625" style="139" customWidth="1"/>
    <col min="71" max="71" width="8.42578125" style="139" bestFit="1" customWidth="1"/>
    <col min="72" max="72" width="9" style="139" bestFit="1" customWidth="1"/>
    <col min="73" max="73" width="17" style="139" bestFit="1" customWidth="1"/>
    <col min="74" max="75" width="9.140625" style="139" customWidth="1"/>
    <col min="76" max="16384" width="9.140625" style="139"/>
  </cols>
  <sheetData>
    <row r="1" spans="1:73">
      <c r="A1" s="356"/>
      <c r="B1" s="894" t="s">
        <v>157</v>
      </c>
      <c r="C1" s="894"/>
      <c r="D1" s="894"/>
      <c r="E1" s="894"/>
      <c r="F1" s="894"/>
      <c r="G1" s="894"/>
      <c r="H1" s="894"/>
      <c r="I1" s="894"/>
      <c r="J1" s="894"/>
      <c r="K1" s="894"/>
      <c r="L1" s="894"/>
      <c r="M1" s="894"/>
      <c r="N1" s="894"/>
      <c r="O1" s="894"/>
      <c r="P1" s="894"/>
      <c r="Q1" s="23"/>
      <c r="R1" s="23"/>
      <c r="S1" s="23"/>
      <c r="T1" s="23"/>
    </row>
    <row r="2" spans="1:73">
      <c r="A2" s="356"/>
      <c r="B2" s="894" t="s">
        <v>158</v>
      </c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894"/>
      <c r="N2" s="894"/>
      <c r="O2" s="894"/>
      <c r="P2" s="894"/>
      <c r="Q2" s="23"/>
      <c r="R2" s="23"/>
      <c r="S2" s="23"/>
      <c r="T2" s="23"/>
    </row>
    <row r="3" spans="1:73">
      <c r="A3" s="356"/>
      <c r="B3" s="894" t="s">
        <v>950</v>
      </c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23"/>
      <c r="R3" s="23"/>
      <c r="S3" s="23"/>
      <c r="T3" s="23"/>
      <c r="Y3" s="140" t="s">
        <v>299</v>
      </c>
      <c r="Z3" s="140">
        <v>8.34</v>
      </c>
      <c r="AA3" s="140"/>
      <c r="AB3" s="140">
        <v>2.85</v>
      </c>
      <c r="AC3" s="140"/>
      <c r="AD3" s="140">
        <v>8.3800000000000008</v>
      </c>
      <c r="AE3" s="140"/>
      <c r="AF3" s="140">
        <v>7.49</v>
      </c>
      <c r="AG3" s="140"/>
      <c r="AH3" s="140">
        <v>3.33</v>
      </c>
      <c r="AI3" s="140"/>
      <c r="AJ3" s="140">
        <v>6.64</v>
      </c>
      <c r="AK3" s="140"/>
      <c r="AL3" s="140">
        <v>3.67</v>
      </c>
      <c r="AM3" s="140"/>
      <c r="AN3" s="140">
        <v>5.0599999999999996</v>
      </c>
      <c r="AO3" s="140"/>
      <c r="AP3" s="140">
        <v>5.94</v>
      </c>
      <c r="AQ3" s="140"/>
      <c r="AR3" s="140">
        <v>6.85</v>
      </c>
      <c r="AS3" s="140"/>
      <c r="AT3" s="140">
        <v>7.45</v>
      </c>
      <c r="AU3" s="140"/>
      <c r="AV3" s="140">
        <v>5.13</v>
      </c>
      <c r="AW3" s="140"/>
      <c r="AX3" s="140">
        <v>4.8600000000000003</v>
      </c>
      <c r="AY3" s="140"/>
      <c r="AZ3" s="140">
        <v>5.79</v>
      </c>
      <c r="BA3" s="140"/>
      <c r="BB3" s="140">
        <v>5.3</v>
      </c>
      <c r="BC3" s="140"/>
      <c r="BD3" s="140">
        <v>3.47</v>
      </c>
      <c r="BE3" s="140"/>
      <c r="BF3" s="140">
        <v>9.42</v>
      </c>
      <c r="BG3" s="140"/>
      <c r="BH3" s="140"/>
      <c r="BI3" s="140"/>
      <c r="BJ3" s="140"/>
    </row>
    <row r="4" spans="1:73">
      <c r="A4" s="356"/>
      <c r="B4" s="894" t="s">
        <v>93</v>
      </c>
      <c r="C4" s="894"/>
      <c r="D4" s="894"/>
      <c r="E4" s="894"/>
      <c r="F4" s="894"/>
      <c r="G4" s="894"/>
      <c r="H4" s="894"/>
      <c r="I4" s="894"/>
      <c r="J4" s="894"/>
      <c r="K4" s="894"/>
      <c r="L4" s="894"/>
      <c r="M4" s="894"/>
      <c r="N4" s="894"/>
      <c r="O4" s="894"/>
      <c r="P4" s="894"/>
      <c r="Q4" s="23"/>
      <c r="R4" s="23"/>
      <c r="S4" s="23"/>
      <c r="T4" s="23"/>
      <c r="Y4" s="140" t="s">
        <v>297</v>
      </c>
      <c r="Z4" s="140">
        <v>48</v>
      </c>
      <c r="AA4" s="140"/>
      <c r="AB4" s="140">
        <v>23</v>
      </c>
      <c r="AC4" s="140"/>
      <c r="AD4" s="140">
        <v>80</v>
      </c>
      <c r="AE4" s="140"/>
      <c r="AF4" s="140">
        <v>105</v>
      </c>
      <c r="AG4" s="140"/>
      <c r="AH4" s="140">
        <v>43</v>
      </c>
      <c r="AI4" s="140"/>
      <c r="AJ4" s="140">
        <v>75</v>
      </c>
      <c r="AK4" s="140"/>
      <c r="AL4" s="140">
        <v>41</v>
      </c>
      <c r="AM4" s="140"/>
      <c r="AN4" s="140">
        <v>101</v>
      </c>
      <c r="AO4" s="140"/>
      <c r="AP4" s="140">
        <v>8</v>
      </c>
      <c r="AQ4" s="140"/>
      <c r="AR4" s="140">
        <v>33</v>
      </c>
      <c r="AS4" s="140"/>
      <c r="AT4" s="140">
        <v>53</v>
      </c>
      <c r="AU4" s="140"/>
      <c r="AV4" s="140">
        <v>52</v>
      </c>
      <c r="AW4" s="140"/>
      <c r="AX4" s="140">
        <v>76</v>
      </c>
      <c r="AY4" s="140"/>
      <c r="AZ4" s="140">
        <v>82</v>
      </c>
      <c r="BA4" s="140"/>
      <c r="BB4" s="140">
        <v>104</v>
      </c>
      <c r="BC4" s="140"/>
      <c r="BD4" s="140">
        <v>147</v>
      </c>
      <c r="BE4" s="140"/>
      <c r="BF4" s="140">
        <v>54</v>
      </c>
      <c r="BG4" s="140"/>
      <c r="BH4" s="140"/>
      <c r="BI4" s="140"/>
      <c r="BJ4" s="140"/>
    </row>
    <row r="5" spans="1:73">
      <c r="A5" s="356"/>
      <c r="B5" s="894" t="s">
        <v>169</v>
      </c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894"/>
      <c r="N5" s="894"/>
      <c r="O5" s="894"/>
      <c r="P5" s="894"/>
      <c r="Q5" s="23"/>
      <c r="R5" s="23"/>
      <c r="S5" s="23"/>
      <c r="T5" s="23"/>
      <c r="Y5" s="140" t="s">
        <v>298</v>
      </c>
      <c r="Z5" s="141">
        <f>Z4/1125*100</f>
        <v>4.2666666666666666</v>
      </c>
      <c r="AA5" s="141">
        <f t="shared" ref="AA5:BF5" si="0">AA4/1125*100</f>
        <v>0</v>
      </c>
      <c r="AB5" s="141">
        <f t="shared" si="0"/>
        <v>2.0444444444444447</v>
      </c>
      <c r="AC5" s="141">
        <f t="shared" si="0"/>
        <v>0</v>
      </c>
      <c r="AD5" s="141">
        <f t="shared" si="0"/>
        <v>7.1111111111111107</v>
      </c>
      <c r="AE5" s="141">
        <f t="shared" si="0"/>
        <v>0</v>
      </c>
      <c r="AF5" s="141">
        <f t="shared" si="0"/>
        <v>9.3333333333333339</v>
      </c>
      <c r="AG5" s="141">
        <f t="shared" si="0"/>
        <v>0</v>
      </c>
      <c r="AH5" s="141">
        <f t="shared" si="0"/>
        <v>3.822222222222222</v>
      </c>
      <c r="AI5" s="141">
        <f t="shared" si="0"/>
        <v>0</v>
      </c>
      <c r="AJ5" s="141">
        <f t="shared" si="0"/>
        <v>6.666666666666667</v>
      </c>
      <c r="AK5" s="141">
        <f t="shared" si="0"/>
        <v>0</v>
      </c>
      <c r="AL5" s="141">
        <f t="shared" si="0"/>
        <v>3.6444444444444448</v>
      </c>
      <c r="AM5" s="141">
        <f t="shared" si="0"/>
        <v>0</v>
      </c>
      <c r="AN5" s="141">
        <f t="shared" si="0"/>
        <v>8.9777777777777779</v>
      </c>
      <c r="AO5" s="141">
        <f t="shared" si="0"/>
        <v>0</v>
      </c>
      <c r="AP5" s="141">
        <f t="shared" si="0"/>
        <v>0.71111111111111114</v>
      </c>
      <c r="AQ5" s="141">
        <f t="shared" si="0"/>
        <v>0</v>
      </c>
      <c r="AR5" s="141">
        <f t="shared" si="0"/>
        <v>2.9333333333333331</v>
      </c>
      <c r="AS5" s="141">
        <f t="shared" si="0"/>
        <v>0</v>
      </c>
      <c r="AT5" s="141">
        <f t="shared" si="0"/>
        <v>4.7111111111111112</v>
      </c>
      <c r="AU5" s="141">
        <f t="shared" si="0"/>
        <v>0</v>
      </c>
      <c r="AV5" s="141">
        <f t="shared" si="0"/>
        <v>4.6222222222222218</v>
      </c>
      <c r="AW5" s="141">
        <f t="shared" si="0"/>
        <v>0</v>
      </c>
      <c r="AX5" s="141">
        <f t="shared" si="0"/>
        <v>6.7555555555555546</v>
      </c>
      <c r="AY5" s="141">
        <f t="shared" si="0"/>
        <v>0</v>
      </c>
      <c r="AZ5" s="141">
        <f t="shared" si="0"/>
        <v>7.2888888888888896</v>
      </c>
      <c r="BA5" s="141">
        <f t="shared" si="0"/>
        <v>0</v>
      </c>
      <c r="BB5" s="141">
        <f t="shared" si="0"/>
        <v>9.2444444444444436</v>
      </c>
      <c r="BC5" s="141">
        <f t="shared" si="0"/>
        <v>0</v>
      </c>
      <c r="BD5" s="141">
        <f t="shared" si="0"/>
        <v>13.066666666666665</v>
      </c>
      <c r="BE5" s="141">
        <f t="shared" si="0"/>
        <v>0</v>
      </c>
      <c r="BF5" s="141">
        <f t="shared" si="0"/>
        <v>4.8</v>
      </c>
      <c r="BG5" s="140"/>
      <c r="BH5" s="140"/>
      <c r="BI5" s="140"/>
      <c r="BJ5" s="140"/>
    </row>
    <row r="6" spans="1:73"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</row>
    <row r="7" spans="1:73">
      <c r="A7" s="980"/>
      <c r="B7" s="980"/>
      <c r="C7" s="981"/>
      <c r="D7" s="982" t="s">
        <v>21</v>
      </c>
      <c r="E7" s="983"/>
      <c r="F7" s="984"/>
      <c r="G7" s="908" t="s">
        <v>156</v>
      </c>
      <c r="H7" s="909"/>
      <c r="I7" s="909"/>
      <c r="J7" s="909"/>
      <c r="K7" s="909"/>
      <c r="L7" s="909"/>
      <c r="M7" s="909"/>
      <c r="N7" s="909"/>
      <c r="O7" s="909"/>
      <c r="P7" s="910"/>
      <c r="Q7" s="987" t="s">
        <v>60</v>
      </c>
      <c r="R7" s="988"/>
      <c r="S7" s="988"/>
      <c r="T7" s="989"/>
      <c r="U7" s="882" t="s">
        <v>6</v>
      </c>
      <c r="V7" s="993"/>
      <c r="W7" s="993"/>
      <c r="X7" s="883"/>
      <c r="Y7" s="940" t="s">
        <v>184</v>
      </c>
      <c r="Z7" s="942"/>
      <c r="AA7" s="940" t="s">
        <v>185</v>
      </c>
      <c r="AB7" s="942"/>
      <c r="AC7" s="918" t="s">
        <v>186</v>
      </c>
      <c r="AD7" s="918"/>
      <c r="AE7" s="918" t="s">
        <v>187</v>
      </c>
      <c r="AF7" s="918"/>
      <c r="AG7" s="918" t="s">
        <v>261</v>
      </c>
      <c r="AH7" s="918"/>
      <c r="AI7" s="918" t="s">
        <v>189</v>
      </c>
      <c r="AJ7" s="918"/>
      <c r="AK7" s="918" t="s">
        <v>190</v>
      </c>
      <c r="AL7" s="918"/>
      <c r="AM7" s="918" t="s">
        <v>191</v>
      </c>
      <c r="AN7" s="918"/>
      <c r="AO7" s="918" t="s">
        <v>192</v>
      </c>
      <c r="AP7" s="918"/>
      <c r="AQ7" s="918" t="s">
        <v>193</v>
      </c>
      <c r="AR7" s="918"/>
      <c r="AS7" s="918" t="s">
        <v>194</v>
      </c>
      <c r="AT7" s="918"/>
      <c r="AU7" s="918" t="s">
        <v>195</v>
      </c>
      <c r="AV7" s="918"/>
      <c r="AW7" s="918" t="s">
        <v>196</v>
      </c>
      <c r="AX7" s="918"/>
      <c r="AY7" s="918" t="s">
        <v>197</v>
      </c>
      <c r="AZ7" s="918"/>
      <c r="BA7" s="918" t="s">
        <v>198</v>
      </c>
      <c r="BB7" s="918"/>
      <c r="BC7" s="986" t="s">
        <v>199</v>
      </c>
      <c r="BD7" s="986"/>
      <c r="BE7" s="918" t="s">
        <v>200</v>
      </c>
      <c r="BF7" s="918"/>
      <c r="BG7" s="918" t="s">
        <v>201</v>
      </c>
      <c r="BH7" s="918"/>
      <c r="BI7" s="918" t="s">
        <v>17</v>
      </c>
      <c r="BJ7" s="985"/>
      <c r="BK7" s="886" t="s">
        <v>236</v>
      </c>
    </row>
    <row r="8" spans="1:73" s="178" customFormat="1" ht="31.5">
      <c r="A8" s="955" t="s">
        <v>24</v>
      </c>
      <c r="B8" s="919" t="s">
        <v>12</v>
      </c>
      <c r="C8" s="919" t="s">
        <v>14</v>
      </c>
      <c r="D8" s="305" t="s">
        <v>22</v>
      </c>
      <c r="E8" s="359" t="s">
        <v>23</v>
      </c>
      <c r="F8" s="919" t="s">
        <v>57</v>
      </c>
      <c r="G8" s="155" t="s">
        <v>204</v>
      </c>
      <c r="H8" s="155" t="s">
        <v>205</v>
      </c>
      <c r="I8" s="155" t="s">
        <v>206</v>
      </c>
      <c r="J8" s="155" t="s">
        <v>207</v>
      </c>
      <c r="K8" s="155" t="s">
        <v>208</v>
      </c>
      <c r="L8" s="155" t="s">
        <v>209</v>
      </c>
      <c r="M8" s="155" t="s">
        <v>210</v>
      </c>
      <c r="N8" s="155" t="s">
        <v>211</v>
      </c>
      <c r="O8" s="155" t="s">
        <v>212</v>
      </c>
      <c r="P8" s="155" t="s">
        <v>213</v>
      </c>
      <c r="Q8" s="990"/>
      <c r="R8" s="991"/>
      <c r="S8" s="991"/>
      <c r="T8" s="992"/>
      <c r="U8" s="884"/>
      <c r="V8" s="994"/>
      <c r="W8" s="994"/>
      <c r="X8" s="885"/>
      <c r="Y8" s="943"/>
      <c r="Z8" s="945"/>
      <c r="AA8" s="943"/>
      <c r="AB8" s="945"/>
      <c r="AC8" s="918" t="s">
        <v>44</v>
      </c>
      <c r="AD8" s="918"/>
      <c r="AE8" s="918" t="s">
        <v>45</v>
      </c>
      <c r="AF8" s="918"/>
      <c r="AG8" s="918" t="s">
        <v>46</v>
      </c>
      <c r="AH8" s="918"/>
      <c r="AI8" s="918" t="s">
        <v>47</v>
      </c>
      <c r="AJ8" s="918"/>
      <c r="AK8" s="918" t="s">
        <v>48</v>
      </c>
      <c r="AL8" s="918"/>
      <c r="AM8" s="918" t="s">
        <v>49</v>
      </c>
      <c r="AN8" s="918"/>
      <c r="AO8" s="918" t="s">
        <v>50</v>
      </c>
      <c r="AP8" s="918"/>
      <c r="AQ8" s="918" t="s">
        <v>51</v>
      </c>
      <c r="AR8" s="918"/>
      <c r="AS8" s="918" t="s">
        <v>52</v>
      </c>
      <c r="AT8" s="918"/>
      <c r="AU8" s="918" t="s">
        <v>53</v>
      </c>
      <c r="AV8" s="918"/>
      <c r="AW8" s="918" t="s">
        <v>54</v>
      </c>
      <c r="AX8" s="918"/>
      <c r="AY8" s="918" t="s">
        <v>55</v>
      </c>
      <c r="AZ8" s="918"/>
      <c r="BA8" s="918" t="s">
        <v>40</v>
      </c>
      <c r="BB8" s="918"/>
      <c r="BC8" s="986" t="s">
        <v>37</v>
      </c>
      <c r="BD8" s="986"/>
      <c r="BE8" s="918"/>
      <c r="BF8" s="918"/>
      <c r="BG8" s="918"/>
      <c r="BH8" s="918"/>
      <c r="BI8" s="918"/>
      <c r="BJ8" s="985"/>
      <c r="BK8" s="886"/>
      <c r="BM8" s="892" t="s">
        <v>234</v>
      </c>
      <c r="BN8" s="892"/>
      <c r="BO8" s="892"/>
      <c r="BP8" s="892"/>
      <c r="BQ8" s="892"/>
      <c r="BR8" s="892" t="s">
        <v>235</v>
      </c>
      <c r="BS8" s="892"/>
      <c r="BT8" s="892"/>
      <c r="BU8" s="886" t="s">
        <v>17</v>
      </c>
    </row>
    <row r="9" spans="1:73" s="178" customFormat="1" ht="47.25">
      <c r="A9" s="959"/>
      <c r="B9" s="920"/>
      <c r="C9" s="920"/>
      <c r="D9" s="306"/>
      <c r="E9" s="360"/>
      <c r="F9" s="920"/>
      <c r="G9" s="193"/>
      <c r="H9" s="193"/>
      <c r="I9" s="193"/>
      <c r="J9" s="193"/>
      <c r="K9" s="193"/>
      <c r="L9" s="193"/>
      <c r="M9" s="361"/>
      <c r="N9" s="361"/>
      <c r="O9" s="361"/>
      <c r="P9" s="361"/>
      <c r="Q9" s="213" t="s">
        <v>7</v>
      </c>
      <c r="R9" s="213" t="s">
        <v>8</v>
      </c>
      <c r="S9" s="213" t="s">
        <v>9</v>
      </c>
      <c r="T9" s="213" t="s">
        <v>10</v>
      </c>
      <c r="U9" s="362" t="s">
        <v>7</v>
      </c>
      <c r="V9" s="362" t="s">
        <v>8</v>
      </c>
      <c r="W9" s="362" t="s">
        <v>9</v>
      </c>
      <c r="X9" s="362" t="s">
        <v>10</v>
      </c>
      <c r="Y9" s="331" t="s">
        <v>14</v>
      </c>
      <c r="Z9" s="363" t="s">
        <v>15</v>
      </c>
      <c r="AA9" s="332" t="s">
        <v>14</v>
      </c>
      <c r="AB9" s="332" t="s">
        <v>15</v>
      </c>
      <c r="AC9" s="332" t="s">
        <v>14</v>
      </c>
      <c r="AD9" s="332" t="s">
        <v>15</v>
      </c>
      <c r="AE9" s="332" t="s">
        <v>14</v>
      </c>
      <c r="AF9" s="332" t="s">
        <v>15</v>
      </c>
      <c r="AG9" s="332" t="s">
        <v>14</v>
      </c>
      <c r="AH9" s="332" t="s">
        <v>15</v>
      </c>
      <c r="AI9" s="332" t="s">
        <v>14</v>
      </c>
      <c r="AJ9" s="332" t="s">
        <v>15</v>
      </c>
      <c r="AK9" s="332" t="s">
        <v>14</v>
      </c>
      <c r="AL9" s="332" t="s">
        <v>15</v>
      </c>
      <c r="AM9" s="332" t="s">
        <v>14</v>
      </c>
      <c r="AN9" s="332" t="s">
        <v>15</v>
      </c>
      <c r="AO9" s="332" t="s">
        <v>14</v>
      </c>
      <c r="AP9" s="332" t="s">
        <v>15</v>
      </c>
      <c r="AQ9" s="332" t="s">
        <v>14</v>
      </c>
      <c r="AR9" s="332" t="s">
        <v>15</v>
      </c>
      <c r="AS9" s="332" t="s">
        <v>14</v>
      </c>
      <c r="AT9" s="332" t="s">
        <v>15</v>
      </c>
      <c r="AU9" s="332" t="s">
        <v>14</v>
      </c>
      <c r="AV9" s="332" t="s">
        <v>15</v>
      </c>
      <c r="AW9" s="332" t="s">
        <v>14</v>
      </c>
      <c r="AX9" s="332" t="s">
        <v>15</v>
      </c>
      <c r="AY9" s="332" t="s">
        <v>14</v>
      </c>
      <c r="AZ9" s="332" t="s">
        <v>15</v>
      </c>
      <c r="BA9" s="332" t="s">
        <v>14</v>
      </c>
      <c r="BB9" s="332" t="s">
        <v>15</v>
      </c>
      <c r="BC9" s="332" t="s">
        <v>14</v>
      </c>
      <c r="BD9" s="332" t="s">
        <v>15</v>
      </c>
      <c r="BE9" s="332" t="s">
        <v>14</v>
      </c>
      <c r="BF9" s="332" t="s">
        <v>15</v>
      </c>
      <c r="BG9" s="332" t="s">
        <v>14</v>
      </c>
      <c r="BH9" s="332" t="s">
        <v>15</v>
      </c>
      <c r="BI9" s="332" t="s">
        <v>14</v>
      </c>
      <c r="BJ9" s="364" t="s">
        <v>15</v>
      </c>
      <c r="BK9" s="886"/>
      <c r="BM9" s="155" t="s">
        <v>225</v>
      </c>
      <c r="BN9" s="156" t="s">
        <v>226</v>
      </c>
      <c r="BO9" s="156" t="s">
        <v>227</v>
      </c>
      <c r="BP9" s="157" t="s">
        <v>228</v>
      </c>
      <c r="BQ9" s="156" t="s">
        <v>229</v>
      </c>
      <c r="BR9" s="156" t="s">
        <v>230</v>
      </c>
      <c r="BS9" s="156" t="s">
        <v>231</v>
      </c>
      <c r="BT9" s="156" t="s">
        <v>232</v>
      </c>
      <c r="BU9" s="886"/>
    </row>
    <row r="10" spans="1:73">
      <c r="A10" s="365">
        <v>32000</v>
      </c>
      <c r="B10" s="158" t="s">
        <v>327</v>
      </c>
      <c r="C10" s="159"/>
      <c r="D10" s="159"/>
      <c r="E10" s="366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8"/>
      <c r="Q10" s="311"/>
      <c r="R10" s="311"/>
      <c r="S10" s="311"/>
      <c r="T10" s="311"/>
      <c r="U10" s="369"/>
      <c r="V10" s="369"/>
      <c r="W10" s="369"/>
      <c r="X10" s="369"/>
      <c r="Y10" s="214"/>
      <c r="Z10" s="370"/>
      <c r="AA10" s="214"/>
      <c r="AB10" s="370"/>
      <c r="AC10" s="214"/>
      <c r="AD10" s="370"/>
      <c r="AE10" s="214"/>
      <c r="AF10" s="370"/>
      <c r="AG10" s="214"/>
      <c r="AH10" s="370"/>
      <c r="AI10" s="214"/>
      <c r="AJ10" s="370"/>
      <c r="AK10" s="214"/>
      <c r="AL10" s="370"/>
      <c r="AM10" s="214"/>
      <c r="AN10" s="370"/>
      <c r="AO10" s="214"/>
      <c r="AP10" s="370"/>
      <c r="AQ10" s="214"/>
      <c r="AR10" s="370"/>
      <c r="AS10" s="214"/>
      <c r="AT10" s="370"/>
      <c r="AU10" s="214"/>
      <c r="AV10" s="370"/>
      <c r="AW10" s="214"/>
      <c r="AX10" s="370"/>
      <c r="AY10" s="214"/>
      <c r="AZ10" s="370"/>
      <c r="BA10" s="214"/>
      <c r="BB10" s="370"/>
      <c r="BC10" s="214"/>
      <c r="BD10" s="370"/>
      <c r="BE10" s="214"/>
      <c r="BF10" s="370"/>
      <c r="BG10" s="214"/>
      <c r="BH10" s="370"/>
      <c r="BI10" s="214"/>
      <c r="BJ10" s="371"/>
      <c r="BK10" s="159"/>
      <c r="BM10" s="163"/>
      <c r="BN10" s="163"/>
      <c r="BO10" s="163"/>
      <c r="BP10" s="163"/>
      <c r="BQ10" s="163"/>
      <c r="BR10" s="163"/>
      <c r="BS10" s="163"/>
      <c r="BT10" s="163"/>
      <c r="BU10" s="145"/>
    </row>
    <row r="11" spans="1:73">
      <c r="A11" s="365">
        <v>32100</v>
      </c>
      <c r="B11" s="158" t="s">
        <v>378</v>
      </c>
      <c r="C11" s="159"/>
      <c r="D11" s="159"/>
      <c r="E11" s="372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373"/>
      <c r="Q11" s="368"/>
      <c r="R11" s="368"/>
      <c r="S11" s="340"/>
      <c r="T11" s="374"/>
      <c r="U11" s="375"/>
      <c r="V11" s="375"/>
      <c r="W11" s="375"/>
      <c r="X11" s="375"/>
      <c r="Y11" s="145"/>
      <c r="Z11" s="161"/>
      <c r="AA11" s="145"/>
      <c r="AB11" s="161"/>
      <c r="AC11" s="145"/>
      <c r="AD11" s="161"/>
      <c r="AE11" s="145"/>
      <c r="AF11" s="161"/>
      <c r="AG11" s="145"/>
      <c r="AH11" s="161"/>
      <c r="AI11" s="145"/>
      <c r="AJ11" s="161"/>
      <c r="AK11" s="145"/>
      <c r="AL11" s="161"/>
      <c r="AM11" s="145"/>
      <c r="AN11" s="161"/>
      <c r="AO11" s="145"/>
      <c r="AP11" s="161"/>
      <c r="AQ11" s="145"/>
      <c r="AR11" s="161"/>
      <c r="AS11" s="145"/>
      <c r="AT11" s="161"/>
      <c r="AU11" s="145"/>
      <c r="AV11" s="161"/>
      <c r="AW11" s="145"/>
      <c r="AX11" s="161"/>
      <c r="AY11" s="145"/>
      <c r="AZ11" s="161"/>
      <c r="BA11" s="145"/>
      <c r="BB11" s="161"/>
      <c r="BC11" s="145"/>
      <c r="BD11" s="161"/>
      <c r="BE11" s="145"/>
      <c r="BF11" s="161"/>
      <c r="BG11" s="145"/>
      <c r="BH11" s="161"/>
      <c r="BI11" s="145"/>
      <c r="BJ11" s="162"/>
      <c r="BK11" s="159"/>
      <c r="BM11" s="163"/>
      <c r="BN11" s="163"/>
      <c r="BO11" s="163"/>
      <c r="BP11" s="163"/>
      <c r="BQ11" s="163"/>
      <c r="BR11" s="163"/>
      <c r="BS11" s="163"/>
      <c r="BT11" s="163"/>
      <c r="BU11" s="164">
        <f>BQ11+BT11</f>
        <v>0</v>
      </c>
    </row>
    <row r="12" spans="1:73">
      <c r="A12" s="365"/>
      <c r="B12" s="166" t="s">
        <v>379</v>
      </c>
      <c r="C12" s="159" t="s">
        <v>95</v>
      </c>
      <c r="D12" s="135" t="s">
        <v>351</v>
      </c>
      <c r="E12" s="366">
        <v>0</v>
      </c>
      <c r="F12" s="376">
        <f>E12*D12</f>
        <v>0</v>
      </c>
      <c r="G12" s="376">
        <f>F12*0</f>
        <v>0</v>
      </c>
      <c r="H12" s="376">
        <f t="shared" ref="H12:H19" si="1">F12*0.8</f>
        <v>0</v>
      </c>
      <c r="I12" s="376">
        <f>F12*0</f>
        <v>0</v>
      </c>
      <c r="J12" s="376">
        <f>F12*0</f>
        <v>0</v>
      </c>
      <c r="K12" s="376">
        <f>F12*0</f>
        <v>0</v>
      </c>
      <c r="L12" s="376">
        <f>F12*0</f>
        <v>0</v>
      </c>
      <c r="M12" s="376">
        <f>F12*0</f>
        <v>0</v>
      </c>
      <c r="N12" s="314">
        <f>F12*0</f>
        <v>0</v>
      </c>
      <c r="O12" s="314">
        <f>F12*0.2</f>
        <v>0</v>
      </c>
      <c r="P12" s="260">
        <f>F12*0</f>
        <v>0</v>
      </c>
      <c r="Q12" s="283">
        <f>E12*0.25</f>
        <v>0</v>
      </c>
      <c r="R12" s="283">
        <f>E12*0.25</f>
        <v>0</v>
      </c>
      <c r="S12" s="283">
        <f>E12*0.25</f>
        <v>0</v>
      </c>
      <c r="T12" s="283">
        <f>E12*0.25</f>
        <v>0</v>
      </c>
      <c r="U12" s="202">
        <f>Q12*D12</f>
        <v>0</v>
      </c>
      <c r="V12" s="202">
        <f>R12*D12</f>
        <v>0</v>
      </c>
      <c r="W12" s="202">
        <f>S12*D12</f>
        <v>0</v>
      </c>
      <c r="X12" s="202">
        <f>T12*D12</f>
        <v>0</v>
      </c>
      <c r="Y12" s="172">
        <v>0</v>
      </c>
      <c r="Z12" s="202">
        <f>Y12*D12</f>
        <v>0</v>
      </c>
      <c r="AA12" s="172">
        <v>0</v>
      </c>
      <c r="AB12" s="202">
        <f>AA12*D12</f>
        <v>0</v>
      </c>
      <c r="AC12" s="172">
        <v>0</v>
      </c>
      <c r="AD12" s="202">
        <f>AC12*D12</f>
        <v>0</v>
      </c>
      <c r="AE12" s="172">
        <v>0</v>
      </c>
      <c r="AF12" s="202">
        <f>AE12*D12</f>
        <v>0</v>
      </c>
      <c r="AG12" s="172">
        <v>0</v>
      </c>
      <c r="AH12" s="202">
        <f>AG12*D12</f>
        <v>0</v>
      </c>
      <c r="AI12" s="172">
        <v>0</v>
      </c>
      <c r="AJ12" s="202">
        <f>AI12*D12</f>
        <v>0</v>
      </c>
      <c r="AK12" s="172">
        <v>0</v>
      </c>
      <c r="AL12" s="202">
        <f>AK12*D12</f>
        <v>0</v>
      </c>
      <c r="AM12" s="172">
        <v>0</v>
      </c>
      <c r="AN12" s="202">
        <f>AM12*D12</f>
        <v>0</v>
      </c>
      <c r="AO12" s="172">
        <v>0</v>
      </c>
      <c r="AP12" s="202">
        <f>AO12*D12</f>
        <v>0</v>
      </c>
      <c r="AQ12" s="172">
        <v>0</v>
      </c>
      <c r="AR12" s="202">
        <f>AQ12*D12</f>
        <v>0</v>
      </c>
      <c r="AS12" s="172">
        <v>0</v>
      </c>
      <c r="AT12" s="202">
        <f>AS12*D12</f>
        <v>0</v>
      </c>
      <c r="AU12" s="172">
        <v>0</v>
      </c>
      <c r="AV12" s="202">
        <f>AU12*D12</f>
        <v>0</v>
      </c>
      <c r="AW12" s="172">
        <v>0</v>
      </c>
      <c r="AX12" s="202">
        <f>AW12*D12</f>
        <v>0</v>
      </c>
      <c r="AY12" s="172">
        <v>0</v>
      </c>
      <c r="AZ12" s="202">
        <f>AY12*D12</f>
        <v>0</v>
      </c>
      <c r="BA12" s="172">
        <v>0</v>
      </c>
      <c r="BB12" s="202">
        <f>BA12*D12</f>
        <v>0</v>
      </c>
      <c r="BC12" s="172">
        <v>0</v>
      </c>
      <c r="BD12" s="202">
        <f>BC12*D12</f>
        <v>0</v>
      </c>
      <c r="BE12" s="172">
        <v>0</v>
      </c>
      <c r="BF12" s="202">
        <f>BE12*D12</f>
        <v>0</v>
      </c>
      <c r="BG12" s="172"/>
      <c r="BH12" s="202">
        <f>BG12*D12</f>
        <v>0</v>
      </c>
      <c r="BI12" s="145">
        <f t="shared" ref="BI12:BJ19" si="2">Y12+AA12+AC12+AE12+AG12+AI12+AK12+AM12+AO12+AQ12+AS12+AU12+AW12+AY12+BA12+BC12+BE12+BG12</f>
        <v>0</v>
      </c>
      <c r="BJ12" s="162">
        <f t="shared" si="2"/>
        <v>0</v>
      </c>
      <c r="BK12" s="159" t="s">
        <v>220</v>
      </c>
      <c r="BM12" s="163"/>
      <c r="BN12" s="163"/>
      <c r="BO12" s="163">
        <f>F12</f>
        <v>0</v>
      </c>
      <c r="BP12" s="163"/>
      <c r="BQ12" s="163">
        <f>BM12+BN12+BO12+BP12</f>
        <v>0</v>
      </c>
      <c r="BR12" s="163"/>
      <c r="BS12" s="163"/>
      <c r="BT12" s="163">
        <f>BR12+BS12</f>
        <v>0</v>
      </c>
      <c r="BU12" s="164">
        <f t="shared" ref="BU12:BU44" si="3">BQ12+BT12</f>
        <v>0</v>
      </c>
    </row>
    <row r="13" spans="1:73" s="500" customFormat="1">
      <c r="A13" s="602"/>
      <c r="B13" s="491" t="s">
        <v>732</v>
      </c>
      <c r="C13" s="494" t="s">
        <v>631</v>
      </c>
      <c r="D13" s="495">
        <v>750</v>
      </c>
      <c r="E13" s="603">
        <f t="shared" ref="E13:F19" si="4">BI13</f>
        <v>2427</v>
      </c>
      <c r="F13" s="604">
        <f>E13*D13</f>
        <v>1820250</v>
      </c>
      <c r="G13" s="604">
        <f>F13*0.2</f>
        <v>364050</v>
      </c>
      <c r="H13" s="604">
        <f t="shared" si="1"/>
        <v>1456200</v>
      </c>
      <c r="I13" s="604">
        <f>F13*0</f>
        <v>0</v>
      </c>
      <c r="J13" s="604">
        <f>F13*0</f>
        <v>0</v>
      </c>
      <c r="K13" s="604">
        <f>F13*0</f>
        <v>0</v>
      </c>
      <c r="L13" s="604">
        <f>F13*0</f>
        <v>0</v>
      </c>
      <c r="M13" s="604">
        <f>F13*0</f>
        <v>0</v>
      </c>
      <c r="N13" s="605">
        <f>F13*0</f>
        <v>0</v>
      </c>
      <c r="O13" s="605">
        <f>F13*0</f>
        <v>0</v>
      </c>
      <c r="P13" s="518">
        <f>F13*0</f>
        <v>0</v>
      </c>
      <c r="Q13" s="543">
        <f>E13*0.25</f>
        <v>606.75</v>
      </c>
      <c r="R13" s="543">
        <f>E13*0.25</f>
        <v>606.75</v>
      </c>
      <c r="S13" s="543">
        <f>E13*0.25</f>
        <v>606.75</v>
      </c>
      <c r="T13" s="543">
        <f>E13*0.25</f>
        <v>606.75</v>
      </c>
      <c r="U13" s="511">
        <f>Q13*D13</f>
        <v>455062.5</v>
      </c>
      <c r="V13" s="511">
        <f>R13*D13</f>
        <v>455062.5</v>
      </c>
      <c r="W13" s="511">
        <f>S13*D13</f>
        <v>455062.5</v>
      </c>
      <c r="X13" s="511">
        <f>T13*D13</f>
        <v>455062.5</v>
      </c>
      <c r="Y13" s="544">
        <v>150</v>
      </c>
      <c r="Z13" s="511">
        <f t="shared" ref="Z13:Z44" si="5">Y13*D13</f>
        <v>112500</v>
      </c>
      <c r="AA13" s="544">
        <v>250</v>
      </c>
      <c r="AB13" s="511">
        <f t="shared" ref="AB13:AB44" si="6">AA13*D13</f>
        <v>187500</v>
      </c>
      <c r="AC13" s="544">
        <v>150</v>
      </c>
      <c r="AD13" s="511">
        <f t="shared" ref="AD13:AD44" si="7">AC13*D13</f>
        <v>112500</v>
      </c>
      <c r="AE13" s="544">
        <v>280</v>
      </c>
      <c r="AF13" s="511">
        <f t="shared" ref="AF13:AF44" si="8">AE13*D13</f>
        <v>210000</v>
      </c>
      <c r="AG13" s="544">
        <v>100</v>
      </c>
      <c r="AH13" s="511">
        <f t="shared" ref="AH13:AH44" si="9">AG13*D13</f>
        <v>75000</v>
      </c>
      <c r="AI13" s="544">
        <v>240</v>
      </c>
      <c r="AJ13" s="511">
        <f t="shared" ref="AJ13:AJ44" si="10">AI13*D13</f>
        <v>180000</v>
      </c>
      <c r="AK13" s="544">
        <v>100</v>
      </c>
      <c r="AL13" s="511">
        <f t="shared" ref="AL13:AL44" si="11">AK13*D13</f>
        <v>75000</v>
      </c>
      <c r="AM13" s="544">
        <v>0</v>
      </c>
      <c r="AN13" s="511">
        <f t="shared" ref="AN13:AN44" si="12">AM13*D13</f>
        <v>0</v>
      </c>
      <c r="AO13" s="544">
        <v>0</v>
      </c>
      <c r="AP13" s="511">
        <f t="shared" ref="AP13:AP44" si="13">AO13*D13</f>
        <v>0</v>
      </c>
      <c r="AQ13" s="544">
        <v>200</v>
      </c>
      <c r="AR13" s="511">
        <f t="shared" ref="AR13:AR44" si="14">AQ13*D13</f>
        <v>150000</v>
      </c>
      <c r="AS13" s="544">
        <v>200</v>
      </c>
      <c r="AT13" s="511">
        <f t="shared" ref="AT13:AT44" si="15">AS13*D13</f>
        <v>150000</v>
      </c>
      <c r="AU13" s="544">
        <v>220</v>
      </c>
      <c r="AV13" s="511">
        <f t="shared" ref="AV13:AV44" si="16">AU13*D13</f>
        <v>165000</v>
      </c>
      <c r="AW13" s="544">
        <v>130</v>
      </c>
      <c r="AX13" s="511">
        <f t="shared" ref="AX13:AX44" si="17">AW13*D13</f>
        <v>97500</v>
      </c>
      <c r="AY13" s="544">
        <v>0</v>
      </c>
      <c r="AZ13" s="511">
        <f t="shared" ref="AZ13:AZ44" si="18">AY13*D13</f>
        <v>0</v>
      </c>
      <c r="BA13" s="544">
        <v>277</v>
      </c>
      <c r="BB13" s="511">
        <f t="shared" ref="BB13:BB44" si="19">BA13*D13</f>
        <v>207750</v>
      </c>
      <c r="BC13" s="544">
        <v>0</v>
      </c>
      <c r="BD13" s="511">
        <f t="shared" ref="BD13:BD44" si="20">BC13*D13</f>
        <v>0</v>
      </c>
      <c r="BE13" s="544">
        <v>130</v>
      </c>
      <c r="BF13" s="511">
        <f t="shared" ref="BF13:BF44" si="21">BE13*D13</f>
        <v>97500</v>
      </c>
      <c r="BG13" s="544"/>
      <c r="BH13" s="511">
        <f t="shared" ref="BH13:BH44" si="22">BG13*D13</f>
        <v>0</v>
      </c>
      <c r="BI13" s="544">
        <f t="shared" si="2"/>
        <v>2427</v>
      </c>
      <c r="BJ13" s="162">
        <f t="shared" si="2"/>
        <v>1820250</v>
      </c>
      <c r="BK13" s="494" t="s">
        <v>220</v>
      </c>
      <c r="BM13" s="501">
        <f>F13</f>
        <v>1820250</v>
      </c>
      <c r="BN13" s="501"/>
      <c r="BO13" s="501"/>
      <c r="BP13" s="501"/>
      <c r="BQ13" s="501">
        <f t="shared" ref="BQ13:BQ44" si="23">BM13+BN13+BO13+BP13</f>
        <v>1820250</v>
      </c>
      <c r="BR13" s="501"/>
      <c r="BS13" s="501"/>
      <c r="BT13" s="501">
        <f>BR13+BS13</f>
        <v>0</v>
      </c>
      <c r="BU13" s="502">
        <f t="shared" si="3"/>
        <v>1820250</v>
      </c>
    </row>
    <row r="14" spans="1:73" s="500" customFormat="1">
      <c r="A14" s="602"/>
      <c r="B14" s="491" t="s">
        <v>1002</v>
      </c>
      <c r="C14" s="494"/>
      <c r="D14" s="495">
        <v>4000</v>
      </c>
      <c r="E14" s="603">
        <f t="shared" ref="E14" si="24">BI14</f>
        <v>248</v>
      </c>
      <c r="F14" s="604">
        <f>BJ14</f>
        <v>2108000</v>
      </c>
      <c r="G14" s="604"/>
      <c r="H14" s="604"/>
      <c r="I14" s="604"/>
      <c r="J14" s="604"/>
      <c r="K14" s="604">
        <f>F14</f>
        <v>2108000</v>
      </c>
      <c r="L14" s="604"/>
      <c r="M14" s="604"/>
      <c r="N14" s="605"/>
      <c r="O14" s="605"/>
      <c r="P14" s="518"/>
      <c r="Q14" s="543"/>
      <c r="R14" s="543"/>
      <c r="S14" s="543"/>
      <c r="T14" s="543"/>
      <c r="U14" s="511"/>
      <c r="V14" s="511"/>
      <c r="W14" s="511"/>
      <c r="X14" s="511"/>
      <c r="Y14" s="544"/>
      <c r="Z14" s="511"/>
      <c r="AA14" s="540"/>
      <c r="AB14" s="511"/>
      <c r="AC14" s="540"/>
      <c r="AD14" s="511"/>
      <c r="AE14" s="540"/>
      <c r="AF14" s="511"/>
      <c r="AG14" s="540"/>
      <c r="AH14" s="511"/>
      <c r="AI14" s="540"/>
      <c r="AJ14" s="511"/>
      <c r="AK14" s="540">
        <v>248</v>
      </c>
      <c r="AL14" s="511">
        <f>AK14*D14-124000</f>
        <v>868000</v>
      </c>
      <c r="AM14" s="540"/>
      <c r="AN14" s="511"/>
      <c r="AO14" s="540"/>
      <c r="AP14" s="511"/>
      <c r="AQ14" s="540"/>
      <c r="AR14" s="511"/>
      <c r="AS14" s="540"/>
      <c r="AT14" s="511">
        <v>1240000</v>
      </c>
      <c r="AU14" s="540"/>
      <c r="AV14" s="511"/>
      <c r="AW14" s="540"/>
      <c r="AX14" s="511"/>
      <c r="AY14" s="540"/>
      <c r="AZ14" s="511"/>
      <c r="BA14" s="540"/>
      <c r="BB14" s="511"/>
      <c r="BC14" s="540"/>
      <c r="BD14" s="511"/>
      <c r="BE14" s="540"/>
      <c r="BF14" s="511"/>
      <c r="BG14" s="540"/>
      <c r="BH14" s="511"/>
      <c r="BI14" s="544">
        <f t="shared" ref="BI14" si="25">Y14+AA14+AC14+AE14+AG14+AI14+AK14+AM14+AO14+AQ14+AS14+AU14+AW14+AY14+BA14+BC14+BE14+BG14</f>
        <v>248</v>
      </c>
      <c r="BJ14" s="162">
        <f t="shared" si="2"/>
        <v>2108000</v>
      </c>
      <c r="BK14" s="494" t="s">
        <v>551</v>
      </c>
      <c r="BM14" s="501"/>
      <c r="BN14" s="611"/>
      <c r="BO14" s="611"/>
      <c r="BP14" s="611"/>
      <c r="BQ14" s="501"/>
      <c r="BR14" s="501"/>
      <c r="BS14" s="501"/>
      <c r="BT14" s="501"/>
      <c r="BU14" s="502"/>
    </row>
    <row r="15" spans="1:73">
      <c r="A15" s="377"/>
      <c r="B15" s="166" t="s">
        <v>731</v>
      </c>
      <c r="C15" s="159" t="s">
        <v>664</v>
      </c>
      <c r="D15" s="135">
        <v>20000</v>
      </c>
      <c r="E15" s="366">
        <f t="shared" si="4"/>
        <v>30</v>
      </c>
      <c r="F15" s="366">
        <f t="shared" si="4"/>
        <v>520000</v>
      </c>
      <c r="G15" s="376">
        <f>F15*0</f>
        <v>0</v>
      </c>
      <c r="H15" s="376">
        <f t="shared" si="1"/>
        <v>416000</v>
      </c>
      <c r="I15" s="376">
        <f>F15*0</f>
        <v>0</v>
      </c>
      <c r="J15" s="376">
        <f>F15*0</f>
        <v>0</v>
      </c>
      <c r="K15" s="376">
        <f>F15*0</f>
        <v>0</v>
      </c>
      <c r="L15" s="376">
        <f>F15*0</f>
        <v>0</v>
      </c>
      <c r="M15" s="376">
        <f>F15*0</f>
        <v>0</v>
      </c>
      <c r="N15" s="314">
        <f>F15*0</f>
        <v>0</v>
      </c>
      <c r="O15" s="314">
        <f>F15*0.2</f>
        <v>104000</v>
      </c>
      <c r="P15" s="260">
        <f>F15*0</f>
        <v>0</v>
      </c>
      <c r="Q15" s="283"/>
      <c r="R15" s="283"/>
      <c r="S15" s="283"/>
      <c r="T15" s="283"/>
      <c r="U15" s="202"/>
      <c r="V15" s="202"/>
      <c r="W15" s="202"/>
      <c r="X15" s="202"/>
      <c r="Y15" s="145">
        <v>2</v>
      </c>
      <c r="Z15" s="202">
        <f t="shared" si="5"/>
        <v>40000</v>
      </c>
      <c r="AA15" s="378">
        <v>2</v>
      </c>
      <c r="AB15" s="202">
        <f t="shared" si="6"/>
        <v>40000</v>
      </c>
      <c r="AC15" s="378">
        <v>2</v>
      </c>
      <c r="AD15" s="202">
        <f t="shared" si="7"/>
        <v>40000</v>
      </c>
      <c r="AE15" s="378">
        <v>2</v>
      </c>
      <c r="AF15" s="202">
        <f t="shared" si="8"/>
        <v>40000</v>
      </c>
      <c r="AG15" s="378">
        <v>2</v>
      </c>
      <c r="AH15" s="202">
        <f t="shared" si="9"/>
        <v>40000</v>
      </c>
      <c r="AI15" s="378">
        <v>2</v>
      </c>
      <c r="AJ15" s="202">
        <f t="shared" si="10"/>
        <v>40000</v>
      </c>
      <c r="AK15" s="378">
        <v>0</v>
      </c>
      <c r="AL15" s="202">
        <f t="shared" si="11"/>
        <v>0</v>
      </c>
      <c r="AM15" s="378">
        <v>0</v>
      </c>
      <c r="AN15" s="202">
        <f t="shared" si="12"/>
        <v>0</v>
      </c>
      <c r="AO15" s="378">
        <v>0</v>
      </c>
      <c r="AP15" s="202">
        <f t="shared" si="13"/>
        <v>0</v>
      </c>
      <c r="AQ15" s="540">
        <v>0</v>
      </c>
      <c r="AR15" s="202">
        <f t="shared" si="14"/>
        <v>0</v>
      </c>
      <c r="AS15" s="378">
        <v>2</v>
      </c>
      <c r="AT15" s="202">
        <f t="shared" si="15"/>
        <v>40000</v>
      </c>
      <c r="AU15" s="378">
        <v>2</v>
      </c>
      <c r="AV15" s="202">
        <f t="shared" si="16"/>
        <v>40000</v>
      </c>
      <c r="AW15" s="378">
        <v>2</v>
      </c>
      <c r="AX15" s="202">
        <f t="shared" si="17"/>
        <v>40000</v>
      </c>
      <c r="AY15" s="378">
        <v>2</v>
      </c>
      <c r="AZ15" s="202">
        <f t="shared" si="18"/>
        <v>40000</v>
      </c>
      <c r="BA15" s="540">
        <v>8</v>
      </c>
      <c r="BB15" s="202">
        <v>80000</v>
      </c>
      <c r="BC15" s="378">
        <v>0</v>
      </c>
      <c r="BD15" s="202">
        <f t="shared" si="20"/>
        <v>0</v>
      </c>
      <c r="BE15" s="378">
        <v>2</v>
      </c>
      <c r="BF15" s="202">
        <f t="shared" si="21"/>
        <v>40000</v>
      </c>
      <c r="BG15" s="378"/>
      <c r="BH15" s="202"/>
      <c r="BI15" s="145">
        <f>Y15+AA15+AC15+AE15+AG15+AI15+AK15+AM15+AO15+AQ15+AS15+AU15+AW15+AY15+BA15+BC15+BE15+BG15</f>
        <v>30</v>
      </c>
      <c r="BJ15" s="162">
        <f t="shared" si="2"/>
        <v>520000</v>
      </c>
      <c r="BK15" s="159" t="s">
        <v>220</v>
      </c>
      <c r="BM15" s="163"/>
      <c r="BN15" s="379"/>
      <c r="BO15" s="379"/>
      <c r="BP15" s="379"/>
      <c r="BQ15" s="163"/>
      <c r="BR15" s="163"/>
      <c r="BS15" s="163"/>
      <c r="BT15" s="163"/>
      <c r="BU15" s="164"/>
    </row>
    <row r="16" spans="1:73">
      <c r="A16" s="377"/>
      <c r="B16" s="166" t="s">
        <v>919</v>
      </c>
      <c r="C16" s="159" t="s">
        <v>664</v>
      </c>
      <c r="D16" s="135">
        <v>7000</v>
      </c>
      <c r="E16" s="366">
        <f t="shared" si="4"/>
        <v>0</v>
      </c>
      <c r="F16" s="366">
        <f>BJ16</f>
        <v>0</v>
      </c>
      <c r="G16" s="376">
        <f>F16*0</f>
        <v>0</v>
      </c>
      <c r="H16" s="376">
        <f t="shared" si="1"/>
        <v>0</v>
      </c>
      <c r="I16" s="376">
        <f>F16*0</f>
        <v>0</v>
      </c>
      <c r="J16" s="376">
        <f>F16*0</f>
        <v>0</v>
      </c>
      <c r="K16" s="376">
        <f>F16*0</f>
        <v>0</v>
      </c>
      <c r="L16" s="376">
        <f>F16*0</f>
        <v>0</v>
      </c>
      <c r="M16" s="376">
        <f>F16*0</f>
        <v>0</v>
      </c>
      <c r="N16" s="314">
        <f>F16*0</f>
        <v>0</v>
      </c>
      <c r="O16" s="314">
        <f>F16*0.2</f>
        <v>0</v>
      </c>
      <c r="P16" s="260">
        <f>F16*0</f>
        <v>0</v>
      </c>
      <c r="Q16" s="283"/>
      <c r="R16" s="283"/>
      <c r="S16" s="283"/>
      <c r="T16" s="283"/>
      <c r="U16" s="202"/>
      <c r="V16" s="202"/>
      <c r="W16" s="202"/>
      <c r="X16" s="202"/>
      <c r="Y16" s="145">
        <v>0</v>
      </c>
      <c r="Z16" s="202">
        <f t="shared" si="5"/>
        <v>0</v>
      </c>
      <c r="AA16" s="378">
        <v>0</v>
      </c>
      <c r="AB16" s="202">
        <f t="shared" si="6"/>
        <v>0</v>
      </c>
      <c r="AC16" s="378">
        <v>0</v>
      </c>
      <c r="AD16" s="202">
        <f t="shared" si="7"/>
        <v>0</v>
      </c>
      <c r="AE16" s="378">
        <v>0</v>
      </c>
      <c r="AF16" s="202">
        <f t="shared" si="8"/>
        <v>0</v>
      </c>
      <c r="AG16" s="378">
        <v>0</v>
      </c>
      <c r="AH16" s="202">
        <f t="shared" si="9"/>
        <v>0</v>
      </c>
      <c r="AI16" s="378">
        <v>0</v>
      </c>
      <c r="AJ16" s="202">
        <f t="shared" si="10"/>
        <v>0</v>
      </c>
      <c r="AK16" s="378">
        <v>0</v>
      </c>
      <c r="AL16" s="202">
        <f t="shared" si="11"/>
        <v>0</v>
      </c>
      <c r="AM16" s="378">
        <v>0</v>
      </c>
      <c r="AN16" s="202">
        <f t="shared" si="12"/>
        <v>0</v>
      </c>
      <c r="AO16" s="378">
        <v>0</v>
      </c>
      <c r="AP16" s="202">
        <f t="shared" si="13"/>
        <v>0</v>
      </c>
      <c r="AQ16" s="378">
        <v>0</v>
      </c>
      <c r="AR16" s="202">
        <f t="shared" si="14"/>
        <v>0</v>
      </c>
      <c r="AS16" s="378">
        <v>0</v>
      </c>
      <c r="AT16" s="202">
        <f t="shared" si="15"/>
        <v>0</v>
      </c>
      <c r="AU16" s="378">
        <v>0</v>
      </c>
      <c r="AV16" s="202">
        <f t="shared" si="16"/>
        <v>0</v>
      </c>
      <c r="AW16" s="378">
        <v>0</v>
      </c>
      <c r="AX16" s="202">
        <f t="shared" si="17"/>
        <v>0</v>
      </c>
      <c r="AY16" s="378">
        <v>0</v>
      </c>
      <c r="AZ16" s="202">
        <f t="shared" si="18"/>
        <v>0</v>
      </c>
      <c r="BA16" s="378">
        <v>0</v>
      </c>
      <c r="BB16" s="202">
        <f t="shared" si="19"/>
        <v>0</v>
      </c>
      <c r="BC16" s="378">
        <v>0</v>
      </c>
      <c r="BD16" s="202">
        <f t="shared" si="20"/>
        <v>0</v>
      </c>
      <c r="BE16" s="378">
        <v>0</v>
      </c>
      <c r="BF16" s="202">
        <f t="shared" si="21"/>
        <v>0</v>
      </c>
      <c r="BG16" s="378"/>
      <c r="BH16" s="202"/>
      <c r="BI16" s="145">
        <f>Y16+AA16+AC16+AE16+AG16+AI16+AK16+AM16+AO16+AQ16+AS16+AU16+AW16+AY16+BA16+BC16+BE16+BG16</f>
        <v>0</v>
      </c>
      <c r="BJ16" s="162">
        <f t="shared" si="2"/>
        <v>0</v>
      </c>
      <c r="BK16" s="159" t="s">
        <v>220</v>
      </c>
      <c r="BM16" s="163"/>
      <c r="BN16" s="379"/>
      <c r="BO16" s="379"/>
      <c r="BP16" s="379"/>
      <c r="BQ16" s="163"/>
      <c r="BR16" s="163"/>
      <c r="BS16" s="163"/>
      <c r="BT16" s="163"/>
      <c r="BU16" s="164"/>
    </row>
    <row r="17" spans="1:73">
      <c r="A17" s="377"/>
      <c r="B17" s="166" t="s">
        <v>675</v>
      </c>
      <c r="C17" s="159" t="s">
        <v>32</v>
      </c>
      <c r="D17" s="135" t="s">
        <v>358</v>
      </c>
      <c r="E17" s="366">
        <f t="shared" si="4"/>
        <v>0</v>
      </c>
      <c r="F17" s="376">
        <f>E17*D17</f>
        <v>0</v>
      </c>
      <c r="G17" s="376">
        <f>F17*0.1</f>
        <v>0</v>
      </c>
      <c r="H17" s="376">
        <f t="shared" si="1"/>
        <v>0</v>
      </c>
      <c r="I17" s="376"/>
      <c r="J17" s="376"/>
      <c r="K17" s="376"/>
      <c r="L17" s="376"/>
      <c r="M17" s="376"/>
      <c r="N17" s="314"/>
      <c r="O17" s="314">
        <f>F17*0.1</f>
        <v>0</v>
      </c>
      <c r="P17" s="260"/>
      <c r="Q17" s="380"/>
      <c r="R17" s="283">
        <f>E17</f>
        <v>0</v>
      </c>
      <c r="S17" s="283"/>
      <c r="T17" s="283"/>
      <c r="U17" s="202">
        <f>Q17*D17</f>
        <v>0</v>
      </c>
      <c r="V17" s="202">
        <f>R17*D17</f>
        <v>0</v>
      </c>
      <c r="W17" s="202">
        <f>S17*D17</f>
        <v>0</v>
      </c>
      <c r="X17" s="202">
        <f>T17*D17</f>
        <v>0</v>
      </c>
      <c r="Y17" s="145">
        <v>0</v>
      </c>
      <c r="Z17" s="202">
        <f t="shared" si="5"/>
        <v>0</v>
      </c>
      <c r="AA17" s="378">
        <v>0</v>
      </c>
      <c r="AB17" s="202">
        <f t="shared" si="6"/>
        <v>0</v>
      </c>
      <c r="AC17" s="378">
        <v>0</v>
      </c>
      <c r="AD17" s="202">
        <f t="shared" si="7"/>
        <v>0</v>
      </c>
      <c r="AE17" s="378">
        <v>0</v>
      </c>
      <c r="AF17" s="202">
        <f t="shared" si="8"/>
        <v>0</v>
      </c>
      <c r="AG17" s="378">
        <v>0</v>
      </c>
      <c r="AH17" s="202">
        <f t="shared" si="9"/>
        <v>0</v>
      </c>
      <c r="AI17" s="378">
        <v>0</v>
      </c>
      <c r="AJ17" s="202">
        <f t="shared" si="10"/>
        <v>0</v>
      </c>
      <c r="AK17" s="378">
        <v>0</v>
      </c>
      <c r="AL17" s="202">
        <f t="shared" si="11"/>
        <v>0</v>
      </c>
      <c r="AM17" s="378">
        <v>0</v>
      </c>
      <c r="AN17" s="202">
        <f t="shared" si="12"/>
        <v>0</v>
      </c>
      <c r="AO17" s="378">
        <v>0</v>
      </c>
      <c r="AP17" s="202">
        <f t="shared" si="13"/>
        <v>0</v>
      </c>
      <c r="AQ17" s="378">
        <v>0</v>
      </c>
      <c r="AR17" s="202">
        <f t="shared" si="14"/>
        <v>0</v>
      </c>
      <c r="AS17" s="378">
        <v>0</v>
      </c>
      <c r="AT17" s="202">
        <f t="shared" si="15"/>
        <v>0</v>
      </c>
      <c r="AU17" s="378">
        <v>0</v>
      </c>
      <c r="AV17" s="202">
        <f t="shared" si="16"/>
        <v>0</v>
      </c>
      <c r="AW17" s="378">
        <v>0</v>
      </c>
      <c r="AX17" s="202">
        <f t="shared" si="17"/>
        <v>0</v>
      </c>
      <c r="AY17" s="378">
        <v>0</v>
      </c>
      <c r="AZ17" s="202">
        <f t="shared" si="18"/>
        <v>0</v>
      </c>
      <c r="BA17" s="378">
        <v>0</v>
      </c>
      <c r="BB17" s="202">
        <f t="shared" si="19"/>
        <v>0</v>
      </c>
      <c r="BC17" s="378">
        <v>0</v>
      </c>
      <c r="BD17" s="202">
        <f t="shared" si="20"/>
        <v>0</v>
      </c>
      <c r="BE17" s="378">
        <v>0</v>
      </c>
      <c r="BF17" s="202">
        <f t="shared" si="21"/>
        <v>0</v>
      </c>
      <c r="BG17" s="378"/>
      <c r="BH17" s="202">
        <f t="shared" si="22"/>
        <v>0</v>
      </c>
      <c r="BI17" s="145">
        <f t="shared" si="2"/>
        <v>0</v>
      </c>
      <c r="BJ17" s="162">
        <f t="shared" si="2"/>
        <v>0</v>
      </c>
      <c r="BK17" s="159" t="s">
        <v>219</v>
      </c>
      <c r="BM17" s="163">
        <f>F17</f>
        <v>0</v>
      </c>
      <c r="BN17" s="379"/>
      <c r="BO17" s="379"/>
      <c r="BP17" s="379"/>
      <c r="BQ17" s="163">
        <f t="shared" si="23"/>
        <v>0</v>
      </c>
      <c r="BR17" s="163"/>
      <c r="BS17" s="163"/>
      <c r="BT17" s="163"/>
      <c r="BU17" s="164">
        <f t="shared" si="3"/>
        <v>0</v>
      </c>
    </row>
    <row r="18" spans="1:73">
      <c r="A18" s="377"/>
      <c r="B18" s="166" t="s">
        <v>733</v>
      </c>
      <c r="C18" s="159" t="s">
        <v>664</v>
      </c>
      <c r="D18" s="216">
        <v>500000</v>
      </c>
      <c r="E18" s="366">
        <f t="shared" si="4"/>
        <v>1</v>
      </c>
      <c r="F18" s="613">
        <f t="shared" si="4"/>
        <v>100000</v>
      </c>
      <c r="G18" s="376">
        <f>F18*0</f>
        <v>0</v>
      </c>
      <c r="H18" s="376">
        <f t="shared" si="1"/>
        <v>80000</v>
      </c>
      <c r="I18" s="376"/>
      <c r="J18" s="376"/>
      <c r="K18" s="376"/>
      <c r="L18" s="376"/>
      <c r="M18" s="376"/>
      <c r="N18" s="314"/>
      <c r="O18" s="314">
        <f>F18*0.2</f>
        <v>20000</v>
      </c>
      <c r="P18" s="260"/>
      <c r="Q18" s="380">
        <f>E18*0.25</f>
        <v>0.25</v>
      </c>
      <c r="R18" s="283">
        <f>E18*0.25</f>
        <v>0.25</v>
      </c>
      <c r="S18" s="283">
        <f>E18*0.25</f>
        <v>0.25</v>
      </c>
      <c r="T18" s="283">
        <f>E18*0.25</f>
        <v>0.25</v>
      </c>
      <c r="U18" s="202">
        <f>Q18*D18</f>
        <v>125000</v>
      </c>
      <c r="V18" s="202">
        <f>R18*D18</f>
        <v>125000</v>
      </c>
      <c r="W18" s="202">
        <f>S18*D18</f>
        <v>125000</v>
      </c>
      <c r="X18" s="202">
        <f>T18*D18</f>
        <v>125000</v>
      </c>
      <c r="Y18" s="145">
        <v>0</v>
      </c>
      <c r="Z18" s="202">
        <f t="shared" si="5"/>
        <v>0</v>
      </c>
      <c r="AA18" s="378">
        <v>0</v>
      </c>
      <c r="AB18" s="202">
        <f t="shared" si="6"/>
        <v>0</v>
      </c>
      <c r="AC18" s="378">
        <v>0</v>
      </c>
      <c r="AD18" s="202">
        <f t="shared" si="7"/>
        <v>0</v>
      </c>
      <c r="AE18" s="378">
        <v>0</v>
      </c>
      <c r="AF18" s="202">
        <f t="shared" si="8"/>
        <v>0</v>
      </c>
      <c r="AG18" s="378">
        <v>0</v>
      </c>
      <c r="AH18" s="202">
        <f t="shared" si="9"/>
        <v>0</v>
      </c>
      <c r="AI18" s="378">
        <v>0</v>
      </c>
      <c r="AJ18" s="202">
        <f t="shared" si="10"/>
        <v>0</v>
      </c>
      <c r="AK18" s="378">
        <v>1</v>
      </c>
      <c r="AL18" s="202">
        <v>100000</v>
      </c>
      <c r="AM18" s="378">
        <v>0</v>
      </c>
      <c r="AN18" s="202">
        <f t="shared" si="12"/>
        <v>0</v>
      </c>
      <c r="AO18" s="378">
        <v>0</v>
      </c>
      <c r="AP18" s="202">
        <f t="shared" si="13"/>
        <v>0</v>
      </c>
      <c r="AQ18" s="378">
        <v>0</v>
      </c>
      <c r="AR18" s="202">
        <f t="shared" si="14"/>
        <v>0</v>
      </c>
      <c r="AS18" s="378">
        <v>0</v>
      </c>
      <c r="AT18" s="202">
        <f t="shared" si="15"/>
        <v>0</v>
      </c>
      <c r="AU18" s="378">
        <v>0</v>
      </c>
      <c r="AV18" s="202">
        <f t="shared" si="16"/>
        <v>0</v>
      </c>
      <c r="AW18" s="378">
        <v>0</v>
      </c>
      <c r="AX18" s="202">
        <f t="shared" si="17"/>
        <v>0</v>
      </c>
      <c r="AY18" s="378">
        <v>0</v>
      </c>
      <c r="AZ18" s="202">
        <f t="shared" si="18"/>
        <v>0</v>
      </c>
      <c r="BA18" s="378">
        <v>0</v>
      </c>
      <c r="BB18" s="202">
        <f t="shared" si="19"/>
        <v>0</v>
      </c>
      <c r="BC18" s="378">
        <v>0</v>
      </c>
      <c r="BD18" s="202">
        <f t="shared" si="20"/>
        <v>0</v>
      </c>
      <c r="BE18" s="378">
        <v>0</v>
      </c>
      <c r="BF18" s="202">
        <f t="shared" si="21"/>
        <v>0</v>
      </c>
      <c r="BG18" s="378"/>
      <c r="BH18" s="202">
        <f t="shared" si="22"/>
        <v>0</v>
      </c>
      <c r="BI18" s="145">
        <f t="shared" si="2"/>
        <v>1</v>
      </c>
      <c r="BJ18" s="162">
        <f t="shared" si="2"/>
        <v>100000</v>
      </c>
      <c r="BK18" s="159" t="s">
        <v>220</v>
      </c>
      <c r="BM18" s="163"/>
      <c r="BN18" s="379"/>
      <c r="BO18" s="379">
        <f>BJ18</f>
        <v>100000</v>
      </c>
      <c r="BP18" s="379"/>
      <c r="BQ18" s="163">
        <f t="shared" si="23"/>
        <v>100000</v>
      </c>
      <c r="BR18" s="163"/>
      <c r="BS18" s="163"/>
      <c r="BT18" s="163"/>
      <c r="BU18" s="164">
        <f t="shared" si="3"/>
        <v>100000</v>
      </c>
    </row>
    <row r="19" spans="1:73" ht="31.5">
      <c r="A19" s="377"/>
      <c r="B19" s="134" t="s">
        <v>918</v>
      </c>
      <c r="C19" s="159" t="s">
        <v>664</v>
      </c>
      <c r="D19" s="216">
        <v>250000</v>
      </c>
      <c r="E19" s="366">
        <f t="shared" si="4"/>
        <v>38</v>
      </c>
      <c r="F19" s="366">
        <f t="shared" si="4"/>
        <v>9800000</v>
      </c>
      <c r="G19" s="376">
        <f>F19*0</f>
        <v>0</v>
      </c>
      <c r="H19" s="376">
        <f t="shared" si="1"/>
        <v>7840000</v>
      </c>
      <c r="I19" s="376"/>
      <c r="J19" s="376"/>
      <c r="K19" s="376"/>
      <c r="L19" s="376"/>
      <c r="M19" s="376"/>
      <c r="N19" s="314"/>
      <c r="O19" s="314">
        <f>F19*0.2</f>
        <v>1960000</v>
      </c>
      <c r="P19" s="260"/>
      <c r="Q19" s="380"/>
      <c r="R19" s="283"/>
      <c r="S19" s="283"/>
      <c r="T19" s="283"/>
      <c r="U19" s="202"/>
      <c r="V19" s="202"/>
      <c r="W19" s="202"/>
      <c r="X19" s="202"/>
      <c r="Y19" s="145">
        <v>2</v>
      </c>
      <c r="Z19" s="202">
        <f t="shared" si="5"/>
        <v>500000</v>
      </c>
      <c r="AA19" s="540">
        <f>2+2</f>
        <v>4</v>
      </c>
      <c r="AB19" s="511">
        <f>(AA19*D19)+300000</f>
        <v>1300000</v>
      </c>
      <c r="AC19" s="378">
        <v>1</v>
      </c>
      <c r="AD19" s="202">
        <f t="shared" si="7"/>
        <v>250000</v>
      </c>
      <c r="AE19" s="378">
        <v>2</v>
      </c>
      <c r="AF19" s="202">
        <f t="shared" si="8"/>
        <v>500000</v>
      </c>
      <c r="AG19" s="378">
        <v>2</v>
      </c>
      <c r="AH19" s="202">
        <f t="shared" si="9"/>
        <v>500000</v>
      </c>
      <c r="AI19" s="378">
        <v>2</v>
      </c>
      <c r="AJ19" s="202">
        <f t="shared" si="10"/>
        <v>500000</v>
      </c>
      <c r="AK19" s="540">
        <v>3</v>
      </c>
      <c r="AL19" s="511">
        <f t="shared" si="11"/>
        <v>750000</v>
      </c>
      <c r="AM19" s="378">
        <v>2</v>
      </c>
      <c r="AN19" s="202">
        <f t="shared" si="12"/>
        <v>500000</v>
      </c>
      <c r="AO19" s="378">
        <v>2</v>
      </c>
      <c r="AP19" s="202">
        <f t="shared" si="13"/>
        <v>500000</v>
      </c>
      <c r="AQ19" s="378">
        <v>2</v>
      </c>
      <c r="AR19" s="202">
        <f t="shared" si="14"/>
        <v>500000</v>
      </c>
      <c r="AS19" s="378">
        <v>2</v>
      </c>
      <c r="AT19" s="202">
        <f t="shared" si="15"/>
        <v>500000</v>
      </c>
      <c r="AU19" s="378">
        <v>2</v>
      </c>
      <c r="AV19" s="202">
        <f t="shared" si="16"/>
        <v>500000</v>
      </c>
      <c r="AW19" s="378">
        <v>2</v>
      </c>
      <c r="AX19" s="202">
        <f t="shared" si="17"/>
        <v>500000</v>
      </c>
      <c r="AY19" s="540">
        <v>4</v>
      </c>
      <c r="AZ19" s="511">
        <f t="shared" si="18"/>
        <v>1000000</v>
      </c>
      <c r="BA19" s="378">
        <v>2</v>
      </c>
      <c r="BB19" s="202">
        <f t="shared" si="19"/>
        <v>500000</v>
      </c>
      <c r="BC19" s="378">
        <v>2</v>
      </c>
      <c r="BD19" s="202">
        <f t="shared" si="20"/>
        <v>500000</v>
      </c>
      <c r="BE19" s="378">
        <v>2</v>
      </c>
      <c r="BF19" s="202">
        <f t="shared" si="21"/>
        <v>500000</v>
      </c>
      <c r="BG19" s="378"/>
      <c r="BH19" s="202"/>
      <c r="BI19" s="145">
        <f t="shared" si="2"/>
        <v>38</v>
      </c>
      <c r="BJ19" s="162">
        <f t="shared" si="2"/>
        <v>9800000</v>
      </c>
      <c r="BK19" s="159" t="s">
        <v>220</v>
      </c>
      <c r="BM19" s="163"/>
      <c r="BN19" s="379"/>
      <c r="BO19" s="379"/>
      <c r="BP19" s="379"/>
      <c r="BQ19" s="163"/>
      <c r="BR19" s="163"/>
      <c r="BS19" s="163"/>
      <c r="BT19" s="163"/>
      <c r="BU19" s="164"/>
    </row>
    <row r="20" spans="1:73" s="23" customFormat="1">
      <c r="A20" s="377"/>
      <c r="B20" s="158" t="s">
        <v>380</v>
      </c>
      <c r="C20" s="168" t="s">
        <v>115</v>
      </c>
      <c r="D20" s="177"/>
      <c r="E20" s="381">
        <f t="shared" ref="E20" si="26">E18+E17+E13+E12+E19+E15+E16</f>
        <v>2496</v>
      </c>
      <c r="F20" s="381">
        <f>F18+F17+F13+F12+F19+F15+F16</f>
        <v>12240250</v>
      </c>
      <c r="G20" s="381">
        <f t="shared" ref="G20:BH20" si="27">G18+G17+G13+G12+G19+G15+G16</f>
        <v>364050</v>
      </c>
      <c r="H20" s="381">
        <f t="shared" si="27"/>
        <v>9792200</v>
      </c>
      <c r="I20" s="381">
        <f t="shared" si="27"/>
        <v>0</v>
      </c>
      <c r="J20" s="381">
        <f t="shared" si="27"/>
        <v>0</v>
      </c>
      <c r="K20" s="381">
        <f t="shared" si="27"/>
        <v>0</v>
      </c>
      <c r="L20" s="381">
        <f t="shared" si="27"/>
        <v>0</v>
      </c>
      <c r="M20" s="381">
        <f t="shared" si="27"/>
        <v>0</v>
      </c>
      <c r="N20" s="381">
        <f t="shared" si="27"/>
        <v>0</v>
      </c>
      <c r="O20" s="381">
        <f t="shared" si="27"/>
        <v>2084000</v>
      </c>
      <c r="P20" s="381">
        <f t="shared" si="27"/>
        <v>0</v>
      </c>
      <c r="Q20" s="381">
        <f t="shared" si="27"/>
        <v>607</v>
      </c>
      <c r="R20" s="381">
        <f t="shared" si="27"/>
        <v>607</v>
      </c>
      <c r="S20" s="381">
        <f t="shared" si="27"/>
        <v>607</v>
      </c>
      <c r="T20" s="381">
        <f t="shared" si="27"/>
        <v>607</v>
      </c>
      <c r="U20" s="381">
        <f t="shared" si="27"/>
        <v>580062.5</v>
      </c>
      <c r="V20" s="381">
        <f t="shared" si="27"/>
        <v>580062.5</v>
      </c>
      <c r="W20" s="381">
        <f t="shared" si="27"/>
        <v>580062.5</v>
      </c>
      <c r="X20" s="381">
        <f t="shared" si="27"/>
        <v>580062.5</v>
      </c>
      <c r="Y20" s="381">
        <f t="shared" si="27"/>
        <v>154</v>
      </c>
      <c r="Z20" s="381">
        <f t="shared" si="27"/>
        <v>652500</v>
      </c>
      <c r="AA20" s="381">
        <f t="shared" si="27"/>
        <v>256</v>
      </c>
      <c r="AB20" s="381">
        <f t="shared" si="27"/>
        <v>1527500</v>
      </c>
      <c r="AC20" s="381">
        <f t="shared" si="27"/>
        <v>153</v>
      </c>
      <c r="AD20" s="381">
        <f t="shared" si="27"/>
        <v>402500</v>
      </c>
      <c r="AE20" s="381">
        <f t="shared" si="27"/>
        <v>284</v>
      </c>
      <c r="AF20" s="381">
        <f t="shared" si="27"/>
        <v>750000</v>
      </c>
      <c r="AG20" s="381">
        <f t="shared" si="27"/>
        <v>104</v>
      </c>
      <c r="AH20" s="381">
        <f t="shared" si="27"/>
        <v>615000</v>
      </c>
      <c r="AI20" s="381">
        <f t="shared" si="27"/>
        <v>244</v>
      </c>
      <c r="AJ20" s="381">
        <f t="shared" si="27"/>
        <v>720000</v>
      </c>
      <c r="AK20" s="381">
        <f t="shared" si="27"/>
        <v>104</v>
      </c>
      <c r="AL20" s="381">
        <f t="shared" si="27"/>
        <v>925000</v>
      </c>
      <c r="AM20" s="381">
        <f t="shared" si="27"/>
        <v>2</v>
      </c>
      <c r="AN20" s="381">
        <f t="shared" si="27"/>
        <v>500000</v>
      </c>
      <c r="AO20" s="381">
        <f t="shared" si="27"/>
        <v>2</v>
      </c>
      <c r="AP20" s="381">
        <f t="shared" si="27"/>
        <v>500000</v>
      </c>
      <c r="AQ20" s="381">
        <f t="shared" si="27"/>
        <v>202</v>
      </c>
      <c r="AR20" s="381">
        <f t="shared" si="27"/>
        <v>650000</v>
      </c>
      <c r="AS20" s="381">
        <f t="shared" si="27"/>
        <v>204</v>
      </c>
      <c r="AT20" s="381">
        <f t="shared" si="27"/>
        <v>690000</v>
      </c>
      <c r="AU20" s="381">
        <f t="shared" si="27"/>
        <v>224</v>
      </c>
      <c r="AV20" s="381">
        <f t="shared" si="27"/>
        <v>705000</v>
      </c>
      <c r="AW20" s="381">
        <f t="shared" si="27"/>
        <v>134</v>
      </c>
      <c r="AX20" s="381">
        <f t="shared" si="27"/>
        <v>637500</v>
      </c>
      <c r="AY20" s="381">
        <f t="shared" si="27"/>
        <v>6</v>
      </c>
      <c r="AZ20" s="381">
        <f t="shared" si="27"/>
        <v>1040000</v>
      </c>
      <c r="BA20" s="381">
        <f t="shared" si="27"/>
        <v>287</v>
      </c>
      <c r="BB20" s="381">
        <f t="shared" si="27"/>
        <v>787750</v>
      </c>
      <c r="BC20" s="381">
        <f t="shared" si="27"/>
        <v>2</v>
      </c>
      <c r="BD20" s="381">
        <f t="shared" si="27"/>
        <v>500000</v>
      </c>
      <c r="BE20" s="381">
        <f t="shared" si="27"/>
        <v>134</v>
      </c>
      <c r="BF20" s="381">
        <f t="shared" si="27"/>
        <v>637500</v>
      </c>
      <c r="BG20" s="381">
        <f t="shared" si="27"/>
        <v>0</v>
      </c>
      <c r="BH20" s="381">
        <f t="shared" si="27"/>
        <v>0</v>
      </c>
      <c r="BI20" s="381">
        <f t="shared" ref="BI20:BP20" si="28">BI18+BI17+BI13+BI12+BI19+BI15+BI16</f>
        <v>2496</v>
      </c>
      <c r="BJ20" s="381">
        <f t="shared" si="28"/>
        <v>12240250</v>
      </c>
      <c r="BK20" s="381"/>
      <c r="BL20" s="381">
        <f t="shared" si="28"/>
        <v>0</v>
      </c>
      <c r="BM20" s="381">
        <f t="shared" si="28"/>
        <v>1820250</v>
      </c>
      <c r="BN20" s="381">
        <f t="shared" si="28"/>
        <v>0</v>
      </c>
      <c r="BO20" s="381">
        <f t="shared" si="28"/>
        <v>100000</v>
      </c>
      <c r="BP20" s="381">
        <f t="shared" si="28"/>
        <v>0</v>
      </c>
      <c r="BQ20" s="381">
        <f t="shared" ref="BQ20:BU20" si="29">BQ18+BQ17+BQ13+BQ12+BQ19+BQ15+BQ16</f>
        <v>1920250</v>
      </c>
      <c r="BR20" s="381">
        <f t="shared" si="29"/>
        <v>0</v>
      </c>
      <c r="BS20" s="381">
        <f t="shared" si="29"/>
        <v>0</v>
      </c>
      <c r="BT20" s="381">
        <f t="shared" si="29"/>
        <v>0</v>
      </c>
      <c r="BU20" s="381">
        <f t="shared" si="29"/>
        <v>1920250</v>
      </c>
    </row>
    <row r="21" spans="1:73">
      <c r="A21" s="377"/>
      <c r="B21" s="158" t="s">
        <v>381</v>
      </c>
      <c r="C21" s="159"/>
      <c r="D21" s="159"/>
      <c r="E21" s="366"/>
      <c r="F21" s="376"/>
      <c r="G21" s="376">
        <f>F21*0.1</f>
        <v>0</v>
      </c>
      <c r="H21" s="376">
        <f t="shared" ref="H21:H26" si="30">F21*0.8</f>
        <v>0</v>
      </c>
      <c r="I21" s="376"/>
      <c r="J21" s="376"/>
      <c r="K21" s="376"/>
      <c r="L21" s="376"/>
      <c r="M21" s="376"/>
      <c r="N21" s="314"/>
      <c r="O21" s="314">
        <f>F21*0.1</f>
        <v>0</v>
      </c>
      <c r="P21" s="260"/>
      <c r="Q21" s="380"/>
      <c r="R21" s="283"/>
      <c r="S21" s="283"/>
      <c r="T21" s="283"/>
      <c r="U21" s="202"/>
      <c r="V21" s="202"/>
      <c r="W21" s="202"/>
      <c r="X21" s="202"/>
      <c r="Y21" s="145"/>
      <c r="Z21" s="202">
        <f t="shared" si="5"/>
        <v>0</v>
      </c>
      <c r="AA21" s="378"/>
      <c r="AB21" s="202">
        <f t="shared" si="6"/>
        <v>0</v>
      </c>
      <c r="AC21" s="378"/>
      <c r="AD21" s="202">
        <f t="shared" si="7"/>
        <v>0</v>
      </c>
      <c r="AE21" s="378"/>
      <c r="AF21" s="202">
        <f t="shared" si="8"/>
        <v>0</v>
      </c>
      <c r="AG21" s="378"/>
      <c r="AH21" s="202">
        <f t="shared" si="9"/>
        <v>0</v>
      </c>
      <c r="AI21" s="378"/>
      <c r="AJ21" s="202">
        <f t="shared" si="10"/>
        <v>0</v>
      </c>
      <c r="AK21" s="378"/>
      <c r="AL21" s="202">
        <f t="shared" si="11"/>
        <v>0</v>
      </c>
      <c r="AM21" s="378"/>
      <c r="AN21" s="202">
        <f t="shared" si="12"/>
        <v>0</v>
      </c>
      <c r="AO21" s="378"/>
      <c r="AP21" s="202">
        <f t="shared" si="13"/>
        <v>0</v>
      </c>
      <c r="AQ21" s="378"/>
      <c r="AR21" s="202">
        <f t="shared" si="14"/>
        <v>0</v>
      </c>
      <c r="AS21" s="378"/>
      <c r="AT21" s="202">
        <f t="shared" si="15"/>
        <v>0</v>
      </c>
      <c r="AU21" s="378"/>
      <c r="AV21" s="202">
        <f t="shared" si="16"/>
        <v>0</v>
      </c>
      <c r="AW21" s="378"/>
      <c r="AX21" s="202">
        <f t="shared" si="17"/>
        <v>0</v>
      </c>
      <c r="AY21" s="378"/>
      <c r="AZ21" s="202">
        <f t="shared" si="18"/>
        <v>0</v>
      </c>
      <c r="BA21" s="378"/>
      <c r="BB21" s="202">
        <f t="shared" si="19"/>
        <v>0</v>
      </c>
      <c r="BC21" s="378"/>
      <c r="BD21" s="202">
        <f t="shared" si="20"/>
        <v>0</v>
      </c>
      <c r="BE21" s="378"/>
      <c r="BF21" s="202">
        <f t="shared" si="21"/>
        <v>0</v>
      </c>
      <c r="BG21" s="378"/>
      <c r="BH21" s="202">
        <f t="shared" si="22"/>
        <v>0</v>
      </c>
      <c r="BI21" s="145">
        <f t="shared" ref="BI21:BJ36" si="31">Y21+AA21+AC21+AE21+AG21+AI21+AK21+AM21+AO21+AQ21+AS21+AU21+AW21+AY21+BA21+BC21+BE21+BG21</f>
        <v>0</v>
      </c>
      <c r="BJ21" s="162">
        <f t="shared" si="31"/>
        <v>0</v>
      </c>
      <c r="BK21" s="159"/>
      <c r="BM21" s="163">
        <f>F21</f>
        <v>0</v>
      </c>
      <c r="BN21" s="379"/>
      <c r="BO21" s="379"/>
      <c r="BP21" s="379"/>
      <c r="BQ21" s="163">
        <f t="shared" si="23"/>
        <v>0</v>
      </c>
      <c r="BR21" s="163"/>
      <c r="BS21" s="163"/>
      <c r="BT21" s="163"/>
      <c r="BU21" s="164">
        <f t="shared" si="3"/>
        <v>0</v>
      </c>
    </row>
    <row r="22" spans="1:73">
      <c r="A22" s="377"/>
      <c r="B22" s="134" t="s">
        <v>734</v>
      </c>
      <c r="C22" s="159" t="s">
        <v>16</v>
      </c>
      <c r="D22" s="135">
        <v>20000</v>
      </c>
      <c r="E22" s="366">
        <f t="shared" ref="E22:F36" si="32">BI22</f>
        <v>17</v>
      </c>
      <c r="F22" s="376">
        <f>E22*D22</f>
        <v>340000</v>
      </c>
      <c r="G22" s="376">
        <f>F22*0.2</f>
        <v>68000</v>
      </c>
      <c r="H22" s="376">
        <f t="shared" si="30"/>
        <v>272000</v>
      </c>
      <c r="I22" s="376"/>
      <c r="J22" s="376"/>
      <c r="K22" s="376"/>
      <c r="L22" s="376"/>
      <c r="M22" s="376"/>
      <c r="N22" s="314"/>
      <c r="O22" s="314">
        <f>F22*0</f>
        <v>0</v>
      </c>
      <c r="P22" s="260"/>
      <c r="Q22" s="380"/>
      <c r="R22" s="283">
        <f>E22*0.4</f>
        <v>6.8000000000000007</v>
      </c>
      <c r="S22" s="283">
        <f>E22*0.3</f>
        <v>5.0999999999999996</v>
      </c>
      <c r="T22" s="283">
        <f>E22*0.3</f>
        <v>5.0999999999999996</v>
      </c>
      <c r="U22" s="202"/>
      <c r="V22" s="202">
        <f t="shared" ref="V22:V35" si="33">R22*D22</f>
        <v>136000</v>
      </c>
      <c r="W22" s="202">
        <f t="shared" ref="W22:W35" si="34">S22*D22</f>
        <v>102000</v>
      </c>
      <c r="X22" s="202">
        <f t="shared" ref="X22:X35" si="35">T22*D22</f>
        <v>102000</v>
      </c>
      <c r="Y22" s="145">
        <v>1</v>
      </c>
      <c r="Z22" s="202">
        <f t="shared" si="5"/>
        <v>20000</v>
      </c>
      <c r="AA22" s="378">
        <v>1</v>
      </c>
      <c r="AB22" s="202">
        <f t="shared" si="6"/>
        <v>20000</v>
      </c>
      <c r="AC22" s="378">
        <v>1</v>
      </c>
      <c r="AD22" s="202">
        <f t="shared" si="7"/>
        <v>20000</v>
      </c>
      <c r="AE22" s="378">
        <v>1</v>
      </c>
      <c r="AF22" s="202">
        <f t="shared" si="8"/>
        <v>20000</v>
      </c>
      <c r="AG22" s="378">
        <v>1</v>
      </c>
      <c r="AH22" s="202">
        <f t="shared" si="9"/>
        <v>20000</v>
      </c>
      <c r="AI22" s="378">
        <v>1</v>
      </c>
      <c r="AJ22" s="202">
        <f t="shared" si="10"/>
        <v>20000</v>
      </c>
      <c r="AK22" s="378">
        <v>1</v>
      </c>
      <c r="AL22" s="202">
        <f t="shared" si="11"/>
        <v>20000</v>
      </c>
      <c r="AM22" s="378">
        <v>0</v>
      </c>
      <c r="AN22" s="202">
        <f t="shared" si="12"/>
        <v>0</v>
      </c>
      <c r="AO22" s="378">
        <v>1</v>
      </c>
      <c r="AP22" s="202">
        <f t="shared" si="13"/>
        <v>20000</v>
      </c>
      <c r="AQ22" s="378">
        <v>2</v>
      </c>
      <c r="AR22" s="202">
        <f t="shared" si="14"/>
        <v>40000</v>
      </c>
      <c r="AS22" s="378">
        <v>1</v>
      </c>
      <c r="AT22" s="202">
        <f t="shared" si="15"/>
        <v>20000</v>
      </c>
      <c r="AU22" s="378">
        <v>1</v>
      </c>
      <c r="AV22" s="202">
        <f t="shared" si="16"/>
        <v>20000</v>
      </c>
      <c r="AW22" s="378">
        <v>1</v>
      </c>
      <c r="AX22" s="202">
        <f t="shared" si="17"/>
        <v>20000</v>
      </c>
      <c r="AY22" s="378">
        <v>1</v>
      </c>
      <c r="AZ22" s="202">
        <f t="shared" si="18"/>
        <v>20000</v>
      </c>
      <c r="BA22" s="378">
        <v>1</v>
      </c>
      <c r="BB22" s="202">
        <f t="shared" si="19"/>
        <v>20000</v>
      </c>
      <c r="BC22" s="378">
        <v>1</v>
      </c>
      <c r="BD22" s="202">
        <f t="shared" si="20"/>
        <v>20000</v>
      </c>
      <c r="BE22" s="378">
        <v>1</v>
      </c>
      <c r="BF22" s="202">
        <f t="shared" si="21"/>
        <v>20000</v>
      </c>
      <c r="BG22" s="378"/>
      <c r="BH22" s="202">
        <f t="shared" si="22"/>
        <v>0</v>
      </c>
      <c r="BI22" s="145">
        <f t="shared" si="31"/>
        <v>17</v>
      </c>
      <c r="BJ22" s="162">
        <f t="shared" si="31"/>
        <v>340000</v>
      </c>
      <c r="BK22" s="159" t="s">
        <v>638</v>
      </c>
      <c r="BM22" s="163"/>
      <c r="BN22" s="379"/>
      <c r="BO22" s="379">
        <f>BJ22</f>
        <v>340000</v>
      </c>
      <c r="BP22" s="379"/>
      <c r="BQ22" s="163">
        <f t="shared" si="23"/>
        <v>340000</v>
      </c>
      <c r="BR22" s="163"/>
      <c r="BS22" s="163"/>
      <c r="BT22" s="163"/>
      <c r="BU22" s="164">
        <f t="shared" si="3"/>
        <v>340000</v>
      </c>
    </row>
    <row r="23" spans="1:73" ht="31.5">
      <c r="A23" s="377"/>
      <c r="B23" s="134" t="s">
        <v>679</v>
      </c>
      <c r="C23" s="159" t="s">
        <v>16</v>
      </c>
      <c r="D23" s="135">
        <v>150000</v>
      </c>
      <c r="E23" s="366">
        <f t="shared" si="32"/>
        <v>5</v>
      </c>
      <c r="F23" s="376">
        <f>E23*D23</f>
        <v>750000</v>
      </c>
      <c r="G23" s="376">
        <f>F23*0.1</f>
        <v>75000</v>
      </c>
      <c r="H23" s="376">
        <f t="shared" si="30"/>
        <v>600000</v>
      </c>
      <c r="I23" s="376"/>
      <c r="J23" s="376"/>
      <c r="K23" s="376"/>
      <c r="L23" s="376"/>
      <c r="M23" s="376"/>
      <c r="N23" s="314"/>
      <c r="O23" s="376">
        <f>F23*0.1</f>
        <v>75000</v>
      </c>
      <c r="P23" s="260"/>
      <c r="Q23" s="380"/>
      <c r="R23" s="283">
        <v>10</v>
      </c>
      <c r="S23" s="283">
        <v>4</v>
      </c>
      <c r="T23" s="283">
        <v>0</v>
      </c>
      <c r="U23" s="202"/>
      <c r="V23" s="202">
        <f>R23*D23</f>
        <v>1500000</v>
      </c>
      <c r="W23" s="202">
        <f>S23*D23</f>
        <v>600000</v>
      </c>
      <c r="X23" s="202">
        <v>0</v>
      </c>
      <c r="Y23" s="145">
        <v>0</v>
      </c>
      <c r="Z23" s="202">
        <f t="shared" si="5"/>
        <v>0</v>
      </c>
      <c r="AA23" s="378">
        <v>0</v>
      </c>
      <c r="AB23" s="202">
        <f t="shared" si="6"/>
        <v>0</v>
      </c>
      <c r="AC23" s="378"/>
      <c r="AD23" s="202">
        <f t="shared" si="7"/>
        <v>0</v>
      </c>
      <c r="AE23" s="378">
        <v>1</v>
      </c>
      <c r="AF23" s="202">
        <f t="shared" si="8"/>
        <v>150000</v>
      </c>
      <c r="AG23" s="378"/>
      <c r="AH23" s="202"/>
      <c r="AI23" s="378"/>
      <c r="AJ23" s="202"/>
      <c r="AK23" s="378"/>
      <c r="AL23" s="202"/>
      <c r="AM23" s="540">
        <v>0</v>
      </c>
      <c r="AN23" s="511">
        <f t="shared" si="12"/>
        <v>0</v>
      </c>
      <c r="AO23" s="378">
        <v>0</v>
      </c>
      <c r="AP23" s="202">
        <f t="shared" si="13"/>
        <v>0</v>
      </c>
      <c r="AQ23" s="378">
        <v>1</v>
      </c>
      <c r="AR23" s="202">
        <f t="shared" si="14"/>
        <v>150000</v>
      </c>
      <c r="AS23" s="378"/>
      <c r="AT23" s="202"/>
      <c r="AU23" s="378"/>
      <c r="AV23" s="202"/>
      <c r="AW23" s="378"/>
      <c r="AX23" s="202"/>
      <c r="AY23" s="378">
        <v>1</v>
      </c>
      <c r="AZ23" s="202">
        <f t="shared" si="18"/>
        <v>150000</v>
      </c>
      <c r="BA23" s="378">
        <v>1</v>
      </c>
      <c r="BB23" s="202">
        <f t="shared" si="19"/>
        <v>150000</v>
      </c>
      <c r="BC23" s="378">
        <v>1</v>
      </c>
      <c r="BD23" s="202">
        <f t="shared" si="20"/>
        <v>150000</v>
      </c>
      <c r="BE23" s="378"/>
      <c r="BF23" s="202"/>
      <c r="BG23" s="378"/>
      <c r="BH23" s="202"/>
      <c r="BI23" s="145">
        <f t="shared" si="31"/>
        <v>5</v>
      </c>
      <c r="BJ23" s="162">
        <f t="shared" si="31"/>
        <v>750000</v>
      </c>
      <c r="BK23" s="382" t="s">
        <v>639</v>
      </c>
      <c r="BM23" s="163"/>
      <c r="BN23" s="379"/>
      <c r="BO23" s="379">
        <f>BJ23</f>
        <v>750000</v>
      </c>
      <c r="BP23" s="379"/>
      <c r="BQ23" s="163">
        <f t="shared" si="23"/>
        <v>750000</v>
      </c>
      <c r="BR23" s="163"/>
      <c r="BS23" s="163"/>
      <c r="BT23" s="163"/>
      <c r="BU23" s="164">
        <f t="shared" si="3"/>
        <v>750000</v>
      </c>
    </row>
    <row r="24" spans="1:73" ht="31.5">
      <c r="A24" s="377"/>
      <c r="B24" s="166" t="s">
        <v>672</v>
      </c>
      <c r="C24" s="159" t="s">
        <v>248</v>
      </c>
      <c r="D24" s="549">
        <v>50000</v>
      </c>
      <c r="E24" s="366">
        <f t="shared" si="32"/>
        <v>4</v>
      </c>
      <c r="F24" s="376">
        <f>BJ24</f>
        <v>200000</v>
      </c>
      <c r="G24" s="376">
        <f>F24*0.1</f>
        <v>20000</v>
      </c>
      <c r="H24" s="376">
        <f t="shared" si="30"/>
        <v>160000</v>
      </c>
      <c r="I24" s="376"/>
      <c r="J24" s="376"/>
      <c r="K24" s="376"/>
      <c r="L24" s="376"/>
      <c r="M24" s="376"/>
      <c r="N24" s="314"/>
      <c r="O24" s="376">
        <f>F24*0.1</f>
        <v>20000</v>
      </c>
      <c r="P24" s="260"/>
      <c r="Q24" s="380"/>
      <c r="R24" s="283">
        <v>6</v>
      </c>
      <c r="S24" s="283">
        <v>4</v>
      </c>
      <c r="T24" s="283"/>
      <c r="U24" s="202"/>
      <c r="V24" s="202"/>
      <c r="W24" s="202"/>
      <c r="X24" s="202"/>
      <c r="Y24" s="145"/>
      <c r="Z24" s="202"/>
      <c r="AA24" s="378"/>
      <c r="AB24" s="202"/>
      <c r="AC24" s="378"/>
      <c r="AD24" s="202"/>
      <c r="AE24" s="378"/>
      <c r="AF24" s="202"/>
      <c r="AG24" s="378"/>
      <c r="AH24" s="202"/>
      <c r="AI24" s="378"/>
      <c r="AJ24" s="202"/>
      <c r="AK24" s="378"/>
      <c r="AL24" s="202"/>
      <c r="AM24" s="540">
        <v>4</v>
      </c>
      <c r="AN24" s="511">
        <f t="shared" si="12"/>
        <v>200000</v>
      </c>
      <c r="AO24" s="378"/>
      <c r="AP24" s="202"/>
      <c r="AQ24" s="378"/>
      <c r="AR24" s="202"/>
      <c r="AS24" s="378"/>
      <c r="AT24" s="202"/>
      <c r="AU24" s="378"/>
      <c r="AV24" s="202"/>
      <c r="AW24" s="378"/>
      <c r="AX24" s="202"/>
      <c r="AY24" s="378"/>
      <c r="AZ24" s="202"/>
      <c r="BA24" s="378"/>
      <c r="BB24" s="202"/>
      <c r="BC24" s="378"/>
      <c r="BD24" s="202">
        <f t="shared" si="20"/>
        <v>0</v>
      </c>
      <c r="BE24" s="378"/>
      <c r="BF24" s="202"/>
      <c r="BG24" s="378"/>
      <c r="BH24" s="202"/>
      <c r="BI24" s="145">
        <f t="shared" ref="BI24:BI26" si="36">Y24+AA24+AC24+AE24+AG24+AI24+AK24+AM24+AO24+AQ24+AS24+AU24+AW24+AY24+BA24+BC24+BE24+BG24</f>
        <v>4</v>
      </c>
      <c r="BJ24" s="162">
        <f t="shared" si="31"/>
        <v>200000</v>
      </c>
      <c r="BK24" s="382" t="s">
        <v>639</v>
      </c>
      <c r="BM24" s="163"/>
      <c r="BN24" s="379"/>
      <c r="BO24" s="379"/>
      <c r="BP24" s="379"/>
      <c r="BQ24" s="163"/>
      <c r="BR24" s="163"/>
      <c r="BS24" s="163"/>
      <c r="BT24" s="163"/>
      <c r="BU24" s="164"/>
    </row>
    <row r="25" spans="1:73" ht="31.5">
      <c r="A25" s="377"/>
      <c r="B25" s="166" t="s">
        <v>673</v>
      </c>
      <c r="C25" s="159" t="s">
        <v>16</v>
      </c>
      <c r="D25" s="135">
        <v>500000</v>
      </c>
      <c r="E25" s="366">
        <f t="shared" si="32"/>
        <v>1</v>
      </c>
      <c r="F25" s="376">
        <f>E25*D25</f>
        <v>500000</v>
      </c>
      <c r="G25" s="376">
        <f>F25*0.1</f>
        <v>50000</v>
      </c>
      <c r="H25" s="376">
        <f t="shared" si="30"/>
        <v>400000</v>
      </c>
      <c r="I25" s="376"/>
      <c r="J25" s="376"/>
      <c r="K25" s="376"/>
      <c r="L25" s="376"/>
      <c r="M25" s="376"/>
      <c r="N25" s="314"/>
      <c r="O25" s="376">
        <f>F25*0.1</f>
        <v>50000</v>
      </c>
      <c r="P25" s="260"/>
      <c r="Q25" s="380"/>
      <c r="R25" s="283">
        <v>2</v>
      </c>
      <c r="S25" s="283"/>
      <c r="T25" s="283"/>
      <c r="U25" s="202"/>
      <c r="V25" s="202"/>
      <c r="W25" s="202"/>
      <c r="X25" s="202"/>
      <c r="Y25" s="145"/>
      <c r="Z25" s="202"/>
      <c r="AA25" s="378"/>
      <c r="AB25" s="202"/>
      <c r="AC25" s="378"/>
      <c r="AD25" s="202"/>
      <c r="AE25" s="378"/>
      <c r="AF25" s="202"/>
      <c r="AG25" s="378"/>
      <c r="AH25" s="202"/>
      <c r="AI25" s="378">
        <v>0</v>
      </c>
      <c r="AJ25" s="202">
        <f t="shared" si="10"/>
        <v>0</v>
      </c>
      <c r="AK25" s="378">
        <v>0</v>
      </c>
      <c r="AL25" s="202">
        <f t="shared" si="11"/>
        <v>0</v>
      </c>
      <c r="AM25" s="378">
        <v>1</v>
      </c>
      <c r="AN25" s="202">
        <f t="shared" si="12"/>
        <v>500000</v>
      </c>
      <c r="AO25" s="378"/>
      <c r="AP25" s="202"/>
      <c r="AQ25" s="378"/>
      <c r="AR25" s="202"/>
      <c r="AS25" s="378"/>
      <c r="AT25" s="202"/>
      <c r="AU25" s="378"/>
      <c r="AV25" s="202"/>
      <c r="AW25" s="378"/>
      <c r="AX25" s="202"/>
      <c r="AY25" s="378"/>
      <c r="AZ25" s="202"/>
      <c r="BA25" s="378"/>
      <c r="BB25" s="202"/>
      <c r="BC25" s="378">
        <v>0</v>
      </c>
      <c r="BD25" s="202">
        <f t="shared" si="20"/>
        <v>0</v>
      </c>
      <c r="BE25" s="378"/>
      <c r="BF25" s="202"/>
      <c r="BG25" s="378"/>
      <c r="BH25" s="202"/>
      <c r="BI25" s="145">
        <f t="shared" si="36"/>
        <v>1</v>
      </c>
      <c r="BJ25" s="162">
        <f t="shared" si="31"/>
        <v>500000</v>
      </c>
      <c r="BK25" s="382" t="s">
        <v>639</v>
      </c>
      <c r="BM25" s="163"/>
      <c r="BN25" s="379"/>
      <c r="BO25" s="379"/>
      <c r="BP25" s="379"/>
      <c r="BQ25" s="163"/>
      <c r="BR25" s="163"/>
      <c r="BS25" s="163"/>
      <c r="BT25" s="163"/>
      <c r="BU25" s="164"/>
    </row>
    <row r="26" spans="1:73" ht="31.5">
      <c r="A26" s="377"/>
      <c r="B26" s="166" t="s">
        <v>674</v>
      </c>
      <c r="C26" s="159" t="s">
        <v>16</v>
      </c>
      <c r="D26" s="135">
        <v>1000000</v>
      </c>
      <c r="E26" s="366">
        <f t="shared" si="32"/>
        <v>1</v>
      </c>
      <c r="F26" s="376">
        <f>E26*D26</f>
        <v>1000000</v>
      </c>
      <c r="G26" s="376">
        <f>F26*0.1</f>
        <v>100000</v>
      </c>
      <c r="H26" s="376">
        <f t="shared" si="30"/>
        <v>800000</v>
      </c>
      <c r="I26" s="376"/>
      <c r="J26" s="376"/>
      <c r="K26" s="376"/>
      <c r="L26" s="376"/>
      <c r="M26" s="376"/>
      <c r="N26" s="314"/>
      <c r="O26" s="376">
        <f>F26*0.1</f>
        <v>100000</v>
      </c>
      <c r="P26" s="260"/>
      <c r="Q26" s="380"/>
      <c r="R26" s="283">
        <v>2</v>
      </c>
      <c r="S26" s="283"/>
      <c r="T26" s="283"/>
      <c r="U26" s="202"/>
      <c r="V26" s="202"/>
      <c r="W26" s="202"/>
      <c r="X26" s="202"/>
      <c r="Y26" s="145"/>
      <c r="Z26" s="202"/>
      <c r="AA26" s="378"/>
      <c r="AB26" s="202"/>
      <c r="AC26" s="378"/>
      <c r="AD26" s="202"/>
      <c r="AE26" s="378"/>
      <c r="AF26" s="202"/>
      <c r="AG26" s="378"/>
      <c r="AH26" s="202"/>
      <c r="AI26" s="378"/>
      <c r="AJ26" s="202"/>
      <c r="AK26" s="378">
        <v>1</v>
      </c>
      <c r="AL26" s="202">
        <f t="shared" si="11"/>
        <v>1000000</v>
      </c>
      <c r="AM26" s="378">
        <v>0</v>
      </c>
      <c r="AN26" s="202">
        <f t="shared" si="12"/>
        <v>0</v>
      </c>
      <c r="AO26" s="378"/>
      <c r="AP26" s="202"/>
      <c r="AQ26" s="378"/>
      <c r="AR26" s="202"/>
      <c r="AS26" s="378"/>
      <c r="AT26" s="202"/>
      <c r="AU26" s="378"/>
      <c r="AV26" s="202"/>
      <c r="AW26" s="378"/>
      <c r="AX26" s="202"/>
      <c r="AY26" s="378"/>
      <c r="AZ26" s="202"/>
      <c r="BA26" s="378"/>
      <c r="BB26" s="202"/>
      <c r="BC26" s="378">
        <v>0</v>
      </c>
      <c r="BD26" s="202">
        <f t="shared" si="20"/>
        <v>0</v>
      </c>
      <c r="BE26" s="378"/>
      <c r="BF26" s="202"/>
      <c r="BG26" s="378"/>
      <c r="BH26" s="202"/>
      <c r="BI26" s="145">
        <f t="shared" si="36"/>
        <v>1</v>
      </c>
      <c r="BJ26" s="162">
        <f t="shared" si="31"/>
        <v>1000000</v>
      </c>
      <c r="BK26" s="382" t="s">
        <v>639</v>
      </c>
      <c r="BM26" s="163"/>
      <c r="BN26" s="379"/>
      <c r="BO26" s="379"/>
      <c r="BP26" s="379"/>
      <c r="BQ26" s="163"/>
      <c r="BR26" s="163"/>
      <c r="BS26" s="163"/>
      <c r="BT26" s="163"/>
      <c r="BU26" s="164"/>
    </row>
    <row r="27" spans="1:73">
      <c r="A27" s="377"/>
      <c r="B27" s="166" t="s">
        <v>1006</v>
      </c>
      <c r="C27" s="159" t="s">
        <v>248</v>
      </c>
      <c r="D27" s="135">
        <v>20000</v>
      </c>
      <c r="E27" s="366">
        <f t="shared" si="32"/>
        <v>1</v>
      </c>
      <c r="F27" s="376">
        <f>BJ27</f>
        <v>200000</v>
      </c>
      <c r="G27" s="376"/>
      <c r="H27" s="376"/>
      <c r="I27" s="376"/>
      <c r="J27" s="376"/>
      <c r="K27" s="376">
        <f>F27*1</f>
        <v>200000</v>
      </c>
      <c r="L27" s="376"/>
      <c r="M27" s="376"/>
      <c r="N27" s="314"/>
      <c r="O27" s="314"/>
      <c r="P27" s="260"/>
      <c r="Q27" s="380"/>
      <c r="R27" s="283">
        <f>E27*0.4</f>
        <v>0.4</v>
      </c>
      <c r="S27" s="283">
        <f>E27*0.3</f>
        <v>0.3</v>
      </c>
      <c r="T27" s="283">
        <f>E27*0.3</f>
        <v>0.3</v>
      </c>
      <c r="U27" s="202"/>
      <c r="V27" s="202">
        <f t="shared" si="33"/>
        <v>8000</v>
      </c>
      <c r="W27" s="202">
        <f t="shared" si="34"/>
        <v>6000</v>
      </c>
      <c r="X27" s="202">
        <f t="shared" si="35"/>
        <v>6000</v>
      </c>
      <c r="Y27" s="145">
        <v>0</v>
      </c>
      <c r="Z27" s="202">
        <f t="shared" si="5"/>
        <v>0</v>
      </c>
      <c r="AA27" s="378">
        <v>0</v>
      </c>
      <c r="AB27" s="202">
        <f t="shared" si="6"/>
        <v>0</v>
      </c>
      <c r="AC27" s="378">
        <v>0</v>
      </c>
      <c r="AD27" s="202">
        <f t="shared" si="7"/>
        <v>0</v>
      </c>
      <c r="AE27" s="378">
        <v>0</v>
      </c>
      <c r="AF27" s="202">
        <f t="shared" si="8"/>
        <v>0</v>
      </c>
      <c r="AG27" s="378">
        <v>0</v>
      </c>
      <c r="AH27" s="202">
        <f t="shared" si="9"/>
        <v>0</v>
      </c>
      <c r="AI27" s="378">
        <v>0</v>
      </c>
      <c r="AJ27" s="202">
        <f t="shared" si="10"/>
        <v>0</v>
      </c>
      <c r="AK27" s="378">
        <v>1</v>
      </c>
      <c r="AL27" s="202">
        <v>200000</v>
      </c>
      <c r="AM27" s="378">
        <v>0</v>
      </c>
      <c r="AN27" s="202">
        <f t="shared" si="12"/>
        <v>0</v>
      </c>
      <c r="AO27" s="378">
        <v>0</v>
      </c>
      <c r="AP27" s="202">
        <f t="shared" si="13"/>
        <v>0</v>
      </c>
      <c r="AQ27" s="378">
        <v>0</v>
      </c>
      <c r="AR27" s="202">
        <f t="shared" si="14"/>
        <v>0</v>
      </c>
      <c r="AS27" s="378">
        <v>0</v>
      </c>
      <c r="AT27" s="202">
        <f t="shared" si="15"/>
        <v>0</v>
      </c>
      <c r="AU27" s="378">
        <v>0</v>
      </c>
      <c r="AV27" s="202">
        <f t="shared" si="16"/>
        <v>0</v>
      </c>
      <c r="AW27" s="378">
        <v>0</v>
      </c>
      <c r="AX27" s="202">
        <f t="shared" si="17"/>
        <v>0</v>
      </c>
      <c r="AY27" s="378">
        <v>0</v>
      </c>
      <c r="AZ27" s="202">
        <f t="shared" si="18"/>
        <v>0</v>
      </c>
      <c r="BA27" s="378">
        <v>0</v>
      </c>
      <c r="BB27" s="202">
        <f t="shared" si="19"/>
        <v>0</v>
      </c>
      <c r="BC27" s="378">
        <v>0</v>
      </c>
      <c r="BD27" s="202">
        <f t="shared" si="20"/>
        <v>0</v>
      </c>
      <c r="BE27" s="378"/>
      <c r="BF27" s="202">
        <f t="shared" si="21"/>
        <v>0</v>
      </c>
      <c r="BG27" s="378"/>
      <c r="BH27" s="202">
        <f t="shared" si="22"/>
        <v>0</v>
      </c>
      <c r="BI27" s="145">
        <f t="shared" ref="BI27:BI32" si="37">Y27+AA27+AC27+AE27+AG27+AI27+AK27+AM27+AO27+AQ27+AS27+AU27+AW27+AY27+BA27+BC27+BE27+BG27</f>
        <v>1</v>
      </c>
      <c r="BJ27" s="162">
        <f t="shared" si="31"/>
        <v>200000</v>
      </c>
      <c r="BK27" s="159" t="s">
        <v>551</v>
      </c>
      <c r="BM27" s="163"/>
      <c r="BN27" s="379"/>
      <c r="BO27" s="379">
        <f>BJ27</f>
        <v>200000</v>
      </c>
      <c r="BP27" s="379"/>
      <c r="BQ27" s="163">
        <f t="shared" si="23"/>
        <v>200000</v>
      </c>
      <c r="BR27" s="163"/>
      <c r="BS27" s="163"/>
      <c r="BT27" s="163"/>
      <c r="BU27" s="164">
        <f t="shared" si="3"/>
        <v>200000</v>
      </c>
    </row>
    <row r="28" spans="1:73">
      <c r="A28" s="377"/>
      <c r="B28" s="166" t="s">
        <v>591</v>
      </c>
      <c r="C28" s="159" t="s">
        <v>248</v>
      </c>
      <c r="D28" s="135">
        <v>500000</v>
      </c>
      <c r="E28" s="366">
        <f t="shared" si="32"/>
        <v>0</v>
      </c>
      <c r="F28" s="376">
        <f t="shared" ref="F28:F35" si="38">E28*D28</f>
        <v>0</v>
      </c>
      <c r="G28" s="376"/>
      <c r="H28" s="376"/>
      <c r="I28" s="376"/>
      <c r="J28" s="376"/>
      <c r="K28" s="376">
        <f>F28*1</f>
        <v>0</v>
      </c>
      <c r="L28" s="376"/>
      <c r="M28" s="376"/>
      <c r="N28" s="314"/>
      <c r="O28" s="314"/>
      <c r="P28" s="260"/>
      <c r="Q28" s="380"/>
      <c r="R28" s="283">
        <f>E28*0.4</f>
        <v>0</v>
      </c>
      <c r="S28" s="283">
        <f>E28*0.3</f>
        <v>0</v>
      </c>
      <c r="T28" s="283">
        <f>E28*0.3</f>
        <v>0</v>
      </c>
      <c r="U28" s="202"/>
      <c r="V28" s="202">
        <f t="shared" si="33"/>
        <v>0</v>
      </c>
      <c r="W28" s="202">
        <f t="shared" si="34"/>
        <v>0</v>
      </c>
      <c r="X28" s="202">
        <f t="shared" si="35"/>
        <v>0</v>
      </c>
      <c r="Y28" s="145">
        <v>0</v>
      </c>
      <c r="Z28" s="202">
        <f t="shared" si="5"/>
        <v>0</v>
      </c>
      <c r="AA28" s="378">
        <v>0</v>
      </c>
      <c r="AB28" s="202">
        <f t="shared" si="6"/>
        <v>0</v>
      </c>
      <c r="AC28" s="378">
        <v>0</v>
      </c>
      <c r="AD28" s="202">
        <f t="shared" si="7"/>
        <v>0</v>
      </c>
      <c r="AE28" s="378">
        <v>0</v>
      </c>
      <c r="AF28" s="202">
        <f t="shared" si="8"/>
        <v>0</v>
      </c>
      <c r="AG28" s="378">
        <v>0</v>
      </c>
      <c r="AH28" s="202">
        <f t="shared" si="9"/>
        <v>0</v>
      </c>
      <c r="AI28" s="378">
        <v>0</v>
      </c>
      <c r="AJ28" s="202">
        <f t="shared" si="10"/>
        <v>0</v>
      </c>
      <c r="AK28" s="378">
        <v>0</v>
      </c>
      <c r="AL28" s="202">
        <f t="shared" si="11"/>
        <v>0</v>
      </c>
      <c r="AM28" s="378">
        <v>0</v>
      </c>
      <c r="AN28" s="202">
        <f t="shared" si="12"/>
        <v>0</v>
      </c>
      <c r="AO28" s="378">
        <v>0</v>
      </c>
      <c r="AP28" s="202">
        <f t="shared" si="13"/>
        <v>0</v>
      </c>
      <c r="AQ28" s="378">
        <v>0</v>
      </c>
      <c r="AR28" s="202">
        <f t="shared" si="14"/>
        <v>0</v>
      </c>
      <c r="AS28" s="378">
        <v>0</v>
      </c>
      <c r="AT28" s="202">
        <f t="shared" si="15"/>
        <v>0</v>
      </c>
      <c r="AU28" s="378">
        <v>0</v>
      </c>
      <c r="AV28" s="202">
        <f t="shared" si="16"/>
        <v>0</v>
      </c>
      <c r="AW28" s="378">
        <v>0</v>
      </c>
      <c r="AX28" s="202">
        <f t="shared" si="17"/>
        <v>0</v>
      </c>
      <c r="AY28" s="378">
        <v>0</v>
      </c>
      <c r="AZ28" s="202">
        <f t="shared" si="18"/>
        <v>0</v>
      </c>
      <c r="BA28" s="378">
        <v>0</v>
      </c>
      <c r="BB28" s="202">
        <f t="shared" si="19"/>
        <v>0</v>
      </c>
      <c r="BC28" s="378">
        <v>0</v>
      </c>
      <c r="BD28" s="202">
        <f t="shared" si="20"/>
        <v>0</v>
      </c>
      <c r="BE28" s="378">
        <v>0</v>
      </c>
      <c r="BF28" s="202">
        <f t="shared" si="21"/>
        <v>0</v>
      </c>
      <c r="BG28" s="378"/>
      <c r="BH28" s="202">
        <f t="shared" si="22"/>
        <v>0</v>
      </c>
      <c r="BI28" s="145">
        <f t="shared" si="37"/>
        <v>0</v>
      </c>
      <c r="BJ28" s="162">
        <f t="shared" si="31"/>
        <v>0</v>
      </c>
      <c r="BK28" s="159" t="s">
        <v>551</v>
      </c>
      <c r="BM28" s="163">
        <f>BJ28</f>
        <v>0</v>
      </c>
      <c r="BN28" s="379"/>
      <c r="BO28" s="379"/>
      <c r="BP28" s="379"/>
      <c r="BQ28" s="163">
        <f t="shared" si="23"/>
        <v>0</v>
      </c>
      <c r="BR28" s="163"/>
      <c r="BS28" s="163"/>
      <c r="BT28" s="163"/>
      <c r="BU28" s="164">
        <f t="shared" si="3"/>
        <v>0</v>
      </c>
    </row>
    <row r="29" spans="1:73" ht="31.5">
      <c r="A29" s="377"/>
      <c r="B29" s="134" t="s">
        <v>592</v>
      </c>
      <c r="C29" s="159" t="s">
        <v>248</v>
      </c>
      <c r="D29" s="135">
        <v>250000</v>
      </c>
      <c r="E29" s="366">
        <f t="shared" si="32"/>
        <v>0</v>
      </c>
      <c r="F29" s="376">
        <f t="shared" si="38"/>
        <v>0</v>
      </c>
      <c r="G29" s="376"/>
      <c r="H29" s="376"/>
      <c r="I29" s="376"/>
      <c r="J29" s="376"/>
      <c r="K29" s="376">
        <f>F29*1</f>
        <v>0</v>
      </c>
      <c r="L29" s="376"/>
      <c r="M29" s="376"/>
      <c r="N29" s="314"/>
      <c r="O29" s="314"/>
      <c r="P29" s="260"/>
      <c r="Q29" s="380"/>
      <c r="R29" s="283">
        <f>E29*0.4</f>
        <v>0</v>
      </c>
      <c r="S29" s="283">
        <f>E29*0.3</f>
        <v>0</v>
      </c>
      <c r="T29" s="283">
        <f>E29*0.3</f>
        <v>0</v>
      </c>
      <c r="U29" s="202"/>
      <c r="V29" s="202">
        <f t="shared" si="33"/>
        <v>0</v>
      </c>
      <c r="W29" s="202">
        <f t="shared" si="34"/>
        <v>0</v>
      </c>
      <c r="X29" s="202">
        <f t="shared" si="35"/>
        <v>0</v>
      </c>
      <c r="Y29" s="145">
        <v>0</v>
      </c>
      <c r="Z29" s="202">
        <f t="shared" si="5"/>
        <v>0</v>
      </c>
      <c r="AA29" s="378">
        <v>0</v>
      </c>
      <c r="AB29" s="202">
        <f t="shared" si="6"/>
        <v>0</v>
      </c>
      <c r="AC29" s="378">
        <v>0</v>
      </c>
      <c r="AD29" s="202">
        <f t="shared" si="7"/>
        <v>0</v>
      </c>
      <c r="AE29" s="378">
        <v>0</v>
      </c>
      <c r="AF29" s="202">
        <f t="shared" si="8"/>
        <v>0</v>
      </c>
      <c r="AG29" s="378">
        <v>0</v>
      </c>
      <c r="AH29" s="202">
        <f t="shared" si="9"/>
        <v>0</v>
      </c>
      <c r="AI29" s="378">
        <v>0</v>
      </c>
      <c r="AJ29" s="202">
        <f t="shared" si="10"/>
        <v>0</v>
      </c>
      <c r="AK29" s="378">
        <v>0</v>
      </c>
      <c r="AL29" s="202">
        <f t="shared" si="11"/>
        <v>0</v>
      </c>
      <c r="AM29" s="378">
        <v>0</v>
      </c>
      <c r="AN29" s="202">
        <f t="shared" si="12"/>
        <v>0</v>
      </c>
      <c r="AO29" s="378">
        <v>0</v>
      </c>
      <c r="AP29" s="202">
        <f t="shared" si="13"/>
        <v>0</v>
      </c>
      <c r="AQ29" s="378">
        <v>0</v>
      </c>
      <c r="AR29" s="202">
        <f t="shared" si="14"/>
        <v>0</v>
      </c>
      <c r="AS29" s="378">
        <v>0</v>
      </c>
      <c r="AT29" s="202">
        <f t="shared" si="15"/>
        <v>0</v>
      </c>
      <c r="AU29" s="378">
        <v>0</v>
      </c>
      <c r="AV29" s="202">
        <f t="shared" si="16"/>
        <v>0</v>
      </c>
      <c r="AW29" s="378">
        <v>0</v>
      </c>
      <c r="AX29" s="202">
        <f t="shared" si="17"/>
        <v>0</v>
      </c>
      <c r="AY29" s="378">
        <v>0</v>
      </c>
      <c r="AZ29" s="202">
        <f t="shared" si="18"/>
        <v>0</v>
      </c>
      <c r="BA29" s="378">
        <v>0</v>
      </c>
      <c r="BB29" s="202">
        <f t="shared" si="19"/>
        <v>0</v>
      </c>
      <c r="BC29" s="378">
        <v>0</v>
      </c>
      <c r="BD29" s="202">
        <f t="shared" si="20"/>
        <v>0</v>
      </c>
      <c r="BE29" s="378">
        <v>0</v>
      </c>
      <c r="BF29" s="202">
        <f t="shared" si="21"/>
        <v>0</v>
      </c>
      <c r="BG29" s="378"/>
      <c r="BH29" s="202">
        <f t="shared" si="22"/>
        <v>0</v>
      </c>
      <c r="BI29" s="145">
        <f t="shared" si="37"/>
        <v>0</v>
      </c>
      <c r="BJ29" s="162">
        <f t="shared" si="31"/>
        <v>0</v>
      </c>
      <c r="BK29" s="159" t="s">
        <v>551</v>
      </c>
      <c r="BM29" s="163">
        <f>BJ29</f>
        <v>0</v>
      </c>
      <c r="BN29" s="379"/>
      <c r="BO29" s="379"/>
      <c r="BP29" s="379"/>
      <c r="BQ29" s="163">
        <f t="shared" si="23"/>
        <v>0</v>
      </c>
      <c r="BR29" s="163"/>
      <c r="BS29" s="163"/>
      <c r="BT29" s="163"/>
      <c r="BU29" s="164">
        <f t="shared" si="3"/>
        <v>0</v>
      </c>
    </row>
    <row r="30" spans="1:73" s="598" customFormat="1">
      <c r="A30" s="590"/>
      <c r="B30" s="585" t="s">
        <v>980</v>
      </c>
      <c r="C30" s="586" t="s">
        <v>248</v>
      </c>
      <c r="D30" s="587">
        <v>200000</v>
      </c>
      <c r="E30" s="591">
        <f t="shared" ref="E30:F30" si="39">BI30</f>
        <v>1</v>
      </c>
      <c r="F30" s="591">
        <f t="shared" si="39"/>
        <v>220000</v>
      </c>
      <c r="G30" s="592">
        <f>F30*0</f>
        <v>0</v>
      </c>
      <c r="H30" s="592">
        <f>F30*0.8</f>
        <v>176000</v>
      </c>
      <c r="I30" s="592"/>
      <c r="J30" s="592"/>
      <c r="K30" s="592">
        <f>F30*0.2</f>
        <v>44000</v>
      </c>
      <c r="L30" s="592"/>
      <c r="M30" s="592"/>
      <c r="N30" s="593"/>
      <c r="O30" s="593"/>
      <c r="P30" s="588"/>
      <c r="Q30" s="594"/>
      <c r="R30" s="589"/>
      <c r="S30" s="589"/>
      <c r="T30" s="589"/>
      <c r="U30" s="595"/>
      <c r="V30" s="595"/>
      <c r="W30" s="595"/>
      <c r="X30" s="595"/>
      <c r="Y30" s="596"/>
      <c r="Z30" s="595"/>
      <c r="AA30" s="597"/>
      <c r="AB30" s="595"/>
      <c r="AC30" s="597"/>
      <c r="AD30" s="595"/>
      <c r="AE30" s="597"/>
      <c r="AF30" s="595"/>
      <c r="AG30" s="597"/>
      <c r="AH30" s="595"/>
      <c r="AI30" s="597"/>
      <c r="AJ30" s="595"/>
      <c r="AK30" s="597"/>
      <c r="AL30" s="595"/>
      <c r="AM30" s="597"/>
      <c r="AN30" s="595"/>
      <c r="AO30" s="597"/>
      <c r="AP30" s="595"/>
      <c r="AQ30" s="597"/>
      <c r="AR30" s="595"/>
      <c r="AS30" s="597"/>
      <c r="AT30" s="595"/>
      <c r="AU30" s="597">
        <v>1</v>
      </c>
      <c r="AV30" s="595">
        <v>220000</v>
      </c>
      <c r="AW30" s="597"/>
      <c r="AX30" s="595"/>
      <c r="AY30" s="597"/>
      <c r="AZ30" s="595"/>
      <c r="BA30" s="597"/>
      <c r="BB30" s="595"/>
      <c r="BC30" s="597"/>
      <c r="BD30" s="595"/>
      <c r="BE30" s="597"/>
      <c r="BF30" s="595"/>
      <c r="BG30" s="597"/>
      <c r="BH30" s="595"/>
      <c r="BI30" s="596">
        <f t="shared" ref="BI30" si="40">Y30+AA30+AC30+AE30+AG30+AI30+AK30+AM30+AO30+AQ30+AS30+AU30+AW30+AY30+BA30+BC30+BE30+BG30</f>
        <v>1</v>
      </c>
      <c r="BJ30" s="162">
        <f t="shared" si="31"/>
        <v>220000</v>
      </c>
      <c r="BK30" s="586" t="s">
        <v>640</v>
      </c>
      <c r="BM30" s="599"/>
      <c r="BN30" s="600"/>
      <c r="BO30" s="600"/>
      <c r="BP30" s="600"/>
      <c r="BQ30" s="599"/>
      <c r="BR30" s="599"/>
      <c r="BS30" s="599"/>
      <c r="BT30" s="599"/>
      <c r="BU30" s="601"/>
    </row>
    <row r="31" spans="1:73" s="788" customFormat="1">
      <c r="A31" s="781"/>
      <c r="B31" s="767" t="s">
        <v>576</v>
      </c>
      <c r="C31" s="724" t="s">
        <v>248</v>
      </c>
      <c r="D31" s="711">
        <v>250000</v>
      </c>
      <c r="E31" s="782">
        <f t="shared" si="32"/>
        <v>22</v>
      </c>
      <c r="F31" s="783">
        <f t="shared" si="38"/>
        <v>5500000</v>
      </c>
      <c r="G31" s="783"/>
      <c r="H31" s="783"/>
      <c r="I31" s="783"/>
      <c r="J31" s="783"/>
      <c r="K31" s="783">
        <f>F31*1</f>
        <v>5500000</v>
      </c>
      <c r="L31" s="783"/>
      <c r="M31" s="783"/>
      <c r="N31" s="784"/>
      <c r="O31" s="784"/>
      <c r="P31" s="719"/>
      <c r="Q31" s="785"/>
      <c r="R31" s="774">
        <f>E31*0.4</f>
        <v>8.8000000000000007</v>
      </c>
      <c r="S31" s="774">
        <f>E31*0.3</f>
        <v>6.6</v>
      </c>
      <c r="T31" s="774">
        <f>E31*0.3</f>
        <v>6.6</v>
      </c>
      <c r="U31" s="668"/>
      <c r="V31" s="668">
        <f t="shared" si="33"/>
        <v>2200000</v>
      </c>
      <c r="W31" s="668">
        <f t="shared" si="34"/>
        <v>1650000</v>
      </c>
      <c r="X31" s="668">
        <f t="shared" si="35"/>
        <v>1650000</v>
      </c>
      <c r="Y31" s="8">
        <v>2</v>
      </c>
      <c r="Z31" s="668">
        <f t="shared" si="5"/>
        <v>500000</v>
      </c>
      <c r="AA31" s="786">
        <v>1</v>
      </c>
      <c r="AB31" s="668">
        <f t="shared" si="6"/>
        <v>250000</v>
      </c>
      <c r="AC31" s="786">
        <v>2</v>
      </c>
      <c r="AD31" s="668">
        <f t="shared" si="7"/>
        <v>500000</v>
      </c>
      <c r="AE31" s="786">
        <v>1</v>
      </c>
      <c r="AF31" s="668">
        <f t="shared" si="8"/>
        <v>250000</v>
      </c>
      <c r="AG31" s="786">
        <v>1</v>
      </c>
      <c r="AH31" s="668">
        <f t="shared" si="9"/>
        <v>250000</v>
      </c>
      <c r="AI31" s="786">
        <v>1</v>
      </c>
      <c r="AJ31" s="668">
        <f t="shared" si="10"/>
        <v>250000</v>
      </c>
      <c r="AK31" s="786">
        <v>2</v>
      </c>
      <c r="AL31" s="668">
        <f t="shared" si="11"/>
        <v>500000</v>
      </c>
      <c r="AM31" s="786">
        <v>1</v>
      </c>
      <c r="AN31" s="668">
        <f t="shared" si="12"/>
        <v>250000</v>
      </c>
      <c r="AO31" s="786">
        <v>1</v>
      </c>
      <c r="AP31" s="668">
        <f t="shared" si="13"/>
        <v>250000</v>
      </c>
      <c r="AQ31" s="786">
        <v>2</v>
      </c>
      <c r="AR31" s="668">
        <f t="shared" si="14"/>
        <v>500000</v>
      </c>
      <c r="AS31" s="786">
        <v>1</v>
      </c>
      <c r="AT31" s="668">
        <f t="shared" si="15"/>
        <v>250000</v>
      </c>
      <c r="AU31" s="786">
        <v>1</v>
      </c>
      <c r="AV31" s="668">
        <f t="shared" si="16"/>
        <v>250000</v>
      </c>
      <c r="AW31" s="786">
        <v>1</v>
      </c>
      <c r="AX31" s="668">
        <f t="shared" si="17"/>
        <v>250000</v>
      </c>
      <c r="AY31" s="786">
        <v>1</v>
      </c>
      <c r="AZ31" s="668">
        <f t="shared" si="18"/>
        <v>250000</v>
      </c>
      <c r="BA31" s="786">
        <v>2</v>
      </c>
      <c r="BB31" s="668">
        <f t="shared" si="19"/>
        <v>500000</v>
      </c>
      <c r="BC31" s="786">
        <v>1</v>
      </c>
      <c r="BD31" s="668">
        <f t="shared" si="20"/>
        <v>250000</v>
      </c>
      <c r="BE31" s="786">
        <v>1</v>
      </c>
      <c r="BF31" s="668">
        <f t="shared" si="21"/>
        <v>250000</v>
      </c>
      <c r="BG31" s="786"/>
      <c r="BH31" s="668">
        <f t="shared" si="22"/>
        <v>0</v>
      </c>
      <c r="BI31" s="8">
        <f t="shared" si="37"/>
        <v>22</v>
      </c>
      <c r="BJ31" s="787">
        <f t="shared" si="31"/>
        <v>5500000</v>
      </c>
      <c r="BK31" s="724" t="s">
        <v>551</v>
      </c>
      <c r="BM31" s="789">
        <f>BJ31</f>
        <v>5500000</v>
      </c>
      <c r="BN31" s="790"/>
      <c r="BO31" s="790"/>
      <c r="BP31" s="790"/>
      <c r="BQ31" s="789">
        <f t="shared" si="23"/>
        <v>5500000</v>
      </c>
      <c r="BR31" s="789"/>
      <c r="BS31" s="789"/>
      <c r="BT31" s="789"/>
      <c r="BU31" s="627">
        <f t="shared" si="3"/>
        <v>5500000</v>
      </c>
    </row>
    <row r="32" spans="1:73" s="788" customFormat="1">
      <c r="A32" s="781"/>
      <c r="B32" s="767" t="s">
        <v>1010</v>
      </c>
      <c r="C32" s="724"/>
      <c r="D32" s="711"/>
      <c r="E32" s="782">
        <f t="shared" si="32"/>
        <v>1</v>
      </c>
      <c r="F32" s="782">
        <f t="shared" si="32"/>
        <v>2278000</v>
      </c>
      <c r="G32" s="783"/>
      <c r="H32" s="783"/>
      <c r="I32" s="783"/>
      <c r="J32" s="783"/>
      <c r="K32" s="783">
        <f>F32*1</f>
        <v>2278000</v>
      </c>
      <c r="L32" s="783"/>
      <c r="M32" s="783"/>
      <c r="N32" s="784"/>
      <c r="O32" s="784"/>
      <c r="P32" s="719"/>
      <c r="Q32" s="785"/>
      <c r="R32" s="774"/>
      <c r="S32" s="774"/>
      <c r="T32" s="774"/>
      <c r="U32" s="668"/>
      <c r="V32" s="668"/>
      <c r="W32" s="668"/>
      <c r="X32" s="668"/>
      <c r="Y32" s="8"/>
      <c r="Z32" s="668"/>
      <c r="AA32" s="786"/>
      <c r="AB32" s="668"/>
      <c r="AC32" s="786"/>
      <c r="AD32" s="668"/>
      <c r="AE32" s="786"/>
      <c r="AF32" s="668"/>
      <c r="AG32" s="786"/>
      <c r="AH32" s="668"/>
      <c r="AI32" s="786"/>
      <c r="AJ32" s="668"/>
      <c r="AK32" s="786"/>
      <c r="AL32" s="668"/>
      <c r="AM32" s="786"/>
      <c r="AN32" s="668"/>
      <c r="AO32" s="786"/>
      <c r="AP32" s="668"/>
      <c r="AQ32" s="786"/>
      <c r="AR32" s="668"/>
      <c r="AS32" s="786">
        <v>1</v>
      </c>
      <c r="AT32" s="668">
        <v>2278000</v>
      </c>
      <c r="AU32" s="786"/>
      <c r="AV32" s="668"/>
      <c r="AW32" s="786"/>
      <c r="AX32" s="668"/>
      <c r="AY32" s="786"/>
      <c r="AZ32" s="668"/>
      <c r="BA32" s="786"/>
      <c r="BB32" s="668"/>
      <c r="BC32" s="786"/>
      <c r="BD32" s="668"/>
      <c r="BE32" s="786"/>
      <c r="BF32" s="668"/>
      <c r="BG32" s="786"/>
      <c r="BH32" s="668"/>
      <c r="BI32" s="8">
        <f t="shared" si="37"/>
        <v>1</v>
      </c>
      <c r="BJ32" s="787">
        <f t="shared" si="31"/>
        <v>2278000</v>
      </c>
      <c r="BK32" s="724"/>
      <c r="BM32" s="789"/>
      <c r="BN32" s="790"/>
      <c r="BO32" s="790"/>
      <c r="BP32" s="790"/>
      <c r="BQ32" s="789"/>
      <c r="BR32" s="789"/>
      <c r="BS32" s="789"/>
      <c r="BT32" s="789"/>
      <c r="BU32" s="627"/>
    </row>
    <row r="33" spans="1:73">
      <c r="A33" s="377"/>
      <c r="B33" s="166" t="s">
        <v>575</v>
      </c>
      <c r="C33" s="159" t="s">
        <v>248</v>
      </c>
      <c r="D33" s="135">
        <v>400000</v>
      </c>
      <c r="E33" s="366">
        <f t="shared" si="32"/>
        <v>0</v>
      </c>
      <c r="F33" s="376">
        <f t="shared" si="38"/>
        <v>0</v>
      </c>
      <c r="G33" s="376">
        <f>F33*0.2</f>
        <v>0</v>
      </c>
      <c r="H33" s="376">
        <f>F33*0.8</f>
        <v>0</v>
      </c>
      <c r="I33" s="376"/>
      <c r="J33" s="376"/>
      <c r="K33" s="376">
        <f>F33</f>
        <v>0</v>
      </c>
      <c r="L33" s="376"/>
      <c r="M33" s="376"/>
      <c r="N33" s="314"/>
      <c r="O33" s="314">
        <f>F33*0</f>
        <v>0</v>
      </c>
      <c r="P33" s="260"/>
      <c r="Q33" s="380"/>
      <c r="R33" s="283">
        <f>E33*0.4</f>
        <v>0</v>
      </c>
      <c r="S33" s="283">
        <f>E33*0.3</f>
        <v>0</v>
      </c>
      <c r="T33" s="283">
        <f>E33*0.3</f>
        <v>0</v>
      </c>
      <c r="U33" s="202"/>
      <c r="V33" s="202">
        <f>F33*0.1</f>
        <v>0</v>
      </c>
      <c r="W33" s="202">
        <f>F33*0.4</f>
        <v>0</v>
      </c>
      <c r="X33" s="202">
        <f>F33*0.5</f>
        <v>0</v>
      </c>
      <c r="Y33" s="145">
        <v>0</v>
      </c>
      <c r="Z33" s="202">
        <f t="shared" si="5"/>
        <v>0</v>
      </c>
      <c r="AA33" s="378">
        <v>0</v>
      </c>
      <c r="AB33" s="202">
        <f t="shared" si="6"/>
        <v>0</v>
      </c>
      <c r="AC33" s="378">
        <v>0</v>
      </c>
      <c r="AD33" s="202">
        <f t="shared" si="7"/>
        <v>0</v>
      </c>
      <c r="AE33" s="378">
        <v>0</v>
      </c>
      <c r="AF33" s="202">
        <f t="shared" si="8"/>
        <v>0</v>
      </c>
      <c r="AG33" s="378">
        <v>0</v>
      </c>
      <c r="AH33" s="202">
        <f t="shared" si="9"/>
        <v>0</v>
      </c>
      <c r="AI33" s="378">
        <v>0</v>
      </c>
      <c r="AJ33" s="202">
        <f t="shared" si="10"/>
        <v>0</v>
      </c>
      <c r="AK33" s="378">
        <v>0</v>
      </c>
      <c r="AL33" s="202">
        <f t="shared" si="11"/>
        <v>0</v>
      </c>
      <c r="AM33" s="378">
        <v>0</v>
      </c>
      <c r="AN33" s="202">
        <f t="shared" si="12"/>
        <v>0</v>
      </c>
      <c r="AO33" s="378">
        <v>0</v>
      </c>
      <c r="AP33" s="202">
        <f t="shared" si="13"/>
        <v>0</v>
      </c>
      <c r="AQ33" s="378">
        <v>0</v>
      </c>
      <c r="AR33" s="202">
        <f t="shared" si="14"/>
        <v>0</v>
      </c>
      <c r="AS33" s="378">
        <v>0</v>
      </c>
      <c r="AT33" s="202"/>
      <c r="AU33" s="378">
        <v>0</v>
      </c>
      <c r="AV33" s="202">
        <f t="shared" si="16"/>
        <v>0</v>
      </c>
      <c r="AW33" s="378">
        <v>0</v>
      </c>
      <c r="AX33" s="202">
        <f t="shared" si="17"/>
        <v>0</v>
      </c>
      <c r="AY33" s="378">
        <v>0</v>
      </c>
      <c r="AZ33" s="202">
        <f t="shared" si="18"/>
        <v>0</v>
      </c>
      <c r="BA33" s="378">
        <v>0</v>
      </c>
      <c r="BB33" s="202">
        <f t="shared" si="19"/>
        <v>0</v>
      </c>
      <c r="BC33" s="378">
        <v>0</v>
      </c>
      <c r="BD33" s="202">
        <f t="shared" si="20"/>
        <v>0</v>
      </c>
      <c r="BE33" s="378">
        <v>0</v>
      </c>
      <c r="BF33" s="202">
        <f t="shared" si="21"/>
        <v>0</v>
      </c>
      <c r="BG33" s="378"/>
      <c r="BH33" s="202">
        <f t="shared" si="22"/>
        <v>0</v>
      </c>
      <c r="BI33" s="145">
        <f t="shared" ref="BI33:BI35" si="41">Y33+AA33+AC33+AE33+AG33+AI33+AK33+AM33+AO33+AQ33+AS33+AU33+AW33+AY33+BA33+BC33+BE33+BG33</f>
        <v>0</v>
      </c>
      <c r="BJ33" s="162">
        <f t="shared" si="31"/>
        <v>0</v>
      </c>
      <c r="BK33" s="159" t="s">
        <v>638</v>
      </c>
      <c r="BM33" s="163">
        <f>F33</f>
        <v>0</v>
      </c>
      <c r="BN33" s="379"/>
      <c r="BO33" s="379"/>
      <c r="BP33" s="379"/>
      <c r="BQ33" s="163">
        <f t="shared" si="23"/>
        <v>0</v>
      </c>
      <c r="BR33" s="163"/>
      <c r="BS33" s="163"/>
      <c r="BT33" s="163"/>
      <c r="BU33" s="164">
        <f t="shared" si="3"/>
        <v>0</v>
      </c>
    </row>
    <row r="34" spans="1:73" ht="31.5">
      <c r="A34" s="377"/>
      <c r="B34" s="134" t="s">
        <v>676</v>
      </c>
      <c r="C34" s="159" t="s">
        <v>248</v>
      </c>
      <c r="D34" s="135">
        <v>500000</v>
      </c>
      <c r="E34" s="366">
        <f t="shared" si="32"/>
        <v>6</v>
      </c>
      <c r="F34" s="366">
        <f t="shared" si="32"/>
        <v>1785000</v>
      </c>
      <c r="G34" s="376">
        <f>F34*0.2</f>
        <v>357000</v>
      </c>
      <c r="H34" s="376">
        <f>F34*0.8</f>
        <v>1428000</v>
      </c>
      <c r="I34" s="376"/>
      <c r="J34" s="376"/>
      <c r="K34" s="376">
        <f>F34*0</f>
        <v>0</v>
      </c>
      <c r="L34" s="376"/>
      <c r="M34" s="376"/>
      <c r="N34" s="314"/>
      <c r="O34" s="314"/>
      <c r="P34" s="260"/>
      <c r="Q34" s="380"/>
      <c r="R34" s="283">
        <v>0</v>
      </c>
      <c r="S34" s="283">
        <v>2</v>
      </c>
      <c r="T34" s="283">
        <v>5</v>
      </c>
      <c r="U34" s="202"/>
      <c r="V34" s="202">
        <f>F34*0.1</f>
        <v>178500</v>
      </c>
      <c r="W34" s="202">
        <f>F34*0.4</f>
        <v>714000</v>
      </c>
      <c r="X34" s="202">
        <f>F34*0.5</f>
        <v>892500</v>
      </c>
      <c r="Y34" s="145">
        <v>0</v>
      </c>
      <c r="Z34" s="202">
        <f t="shared" si="5"/>
        <v>0</v>
      </c>
      <c r="AA34" s="541">
        <v>2</v>
      </c>
      <c r="AB34" s="542">
        <f>90000+195000</f>
        <v>285000</v>
      </c>
      <c r="AC34" s="378"/>
      <c r="AD34" s="202"/>
      <c r="AE34" s="378">
        <v>1</v>
      </c>
      <c r="AF34" s="202">
        <f t="shared" si="8"/>
        <v>500000</v>
      </c>
      <c r="AG34" s="378"/>
      <c r="AH34" s="202"/>
      <c r="AI34" s="378"/>
      <c r="AJ34" s="202"/>
      <c r="AK34" s="378">
        <v>0</v>
      </c>
      <c r="AL34" s="202">
        <f t="shared" si="11"/>
        <v>0</v>
      </c>
      <c r="AM34" s="540">
        <v>2</v>
      </c>
      <c r="AN34" s="511">
        <v>500000</v>
      </c>
      <c r="AO34" s="378">
        <v>0</v>
      </c>
      <c r="AP34" s="202">
        <f t="shared" si="13"/>
        <v>0</v>
      </c>
      <c r="AQ34" s="378">
        <v>1</v>
      </c>
      <c r="AR34" s="202">
        <f t="shared" si="14"/>
        <v>500000</v>
      </c>
      <c r="AS34" s="378"/>
      <c r="AT34" s="202"/>
      <c r="AU34" s="378">
        <v>0</v>
      </c>
      <c r="AV34" s="202">
        <f t="shared" si="16"/>
        <v>0</v>
      </c>
      <c r="AW34" s="378"/>
      <c r="AX34" s="202"/>
      <c r="AY34" s="378"/>
      <c r="AZ34" s="202"/>
      <c r="BA34" s="378"/>
      <c r="BB34" s="202"/>
      <c r="BC34" s="378"/>
      <c r="BD34" s="202"/>
      <c r="BE34" s="378"/>
      <c r="BF34" s="202"/>
      <c r="BG34" s="378"/>
      <c r="BH34" s="202"/>
      <c r="BI34" s="145">
        <f t="shared" si="41"/>
        <v>6</v>
      </c>
      <c r="BJ34" s="162">
        <f t="shared" si="31"/>
        <v>1785000</v>
      </c>
      <c r="BK34" s="159" t="s">
        <v>220</v>
      </c>
      <c r="BM34" s="163">
        <f>F34</f>
        <v>1785000</v>
      </c>
      <c r="BN34" s="379"/>
      <c r="BO34" s="379"/>
      <c r="BP34" s="379"/>
      <c r="BQ34" s="163">
        <f t="shared" si="23"/>
        <v>1785000</v>
      </c>
      <c r="BR34" s="163"/>
      <c r="BS34" s="163"/>
      <c r="BT34" s="163"/>
      <c r="BU34" s="164">
        <f t="shared" si="3"/>
        <v>1785000</v>
      </c>
    </row>
    <row r="35" spans="1:73">
      <c r="A35" s="377"/>
      <c r="B35" s="166" t="s">
        <v>103</v>
      </c>
      <c r="C35" s="159" t="s">
        <v>32</v>
      </c>
      <c r="D35" s="135" t="s">
        <v>318</v>
      </c>
      <c r="E35" s="366">
        <f t="shared" si="32"/>
        <v>3</v>
      </c>
      <c r="F35" s="376">
        <f t="shared" si="38"/>
        <v>30000</v>
      </c>
      <c r="G35" s="376">
        <f>F35*0.2</f>
        <v>6000</v>
      </c>
      <c r="H35" s="376">
        <f>F35*0.8</f>
        <v>24000</v>
      </c>
      <c r="I35" s="376"/>
      <c r="J35" s="376"/>
      <c r="K35" s="376"/>
      <c r="L35" s="376"/>
      <c r="M35" s="376"/>
      <c r="N35" s="314"/>
      <c r="O35" s="314">
        <f>F35*0</f>
        <v>0</v>
      </c>
      <c r="P35" s="260"/>
      <c r="Q35" s="380"/>
      <c r="R35" s="283">
        <f>E35*0.4</f>
        <v>1.2000000000000002</v>
      </c>
      <c r="S35" s="283">
        <f>E35*0.3</f>
        <v>0.89999999999999991</v>
      </c>
      <c r="T35" s="283">
        <f>E35*0.3</f>
        <v>0.89999999999999991</v>
      </c>
      <c r="U35" s="202"/>
      <c r="V35" s="202">
        <f t="shared" si="33"/>
        <v>12000.000000000002</v>
      </c>
      <c r="W35" s="202">
        <f t="shared" si="34"/>
        <v>9000</v>
      </c>
      <c r="X35" s="202">
        <f t="shared" si="35"/>
        <v>9000</v>
      </c>
      <c r="Y35" s="145">
        <v>0</v>
      </c>
      <c r="Z35" s="202">
        <f t="shared" si="5"/>
        <v>0</v>
      </c>
      <c r="AA35" s="541">
        <v>3</v>
      </c>
      <c r="AB35" s="542">
        <f t="shared" si="6"/>
        <v>30000</v>
      </c>
      <c r="AC35" s="378">
        <v>0</v>
      </c>
      <c r="AD35" s="202">
        <f t="shared" si="7"/>
        <v>0</v>
      </c>
      <c r="AE35" s="378">
        <v>0</v>
      </c>
      <c r="AF35" s="202">
        <f t="shared" si="8"/>
        <v>0</v>
      </c>
      <c r="AG35" s="378">
        <v>0</v>
      </c>
      <c r="AH35" s="202">
        <f t="shared" si="9"/>
        <v>0</v>
      </c>
      <c r="AI35" s="378">
        <v>0</v>
      </c>
      <c r="AJ35" s="202">
        <f t="shared" si="10"/>
        <v>0</v>
      </c>
      <c r="AK35" s="378">
        <v>0</v>
      </c>
      <c r="AL35" s="202">
        <f t="shared" si="11"/>
        <v>0</v>
      </c>
      <c r="AM35" s="378">
        <v>0</v>
      </c>
      <c r="AN35" s="202">
        <f t="shared" si="12"/>
        <v>0</v>
      </c>
      <c r="AO35" s="378">
        <v>0</v>
      </c>
      <c r="AP35" s="202">
        <f t="shared" si="13"/>
        <v>0</v>
      </c>
      <c r="AQ35" s="378">
        <v>0</v>
      </c>
      <c r="AR35" s="202">
        <f t="shared" si="14"/>
        <v>0</v>
      </c>
      <c r="AS35" s="378">
        <v>0</v>
      </c>
      <c r="AT35" s="202">
        <f t="shared" si="15"/>
        <v>0</v>
      </c>
      <c r="AU35" s="378">
        <v>0</v>
      </c>
      <c r="AV35" s="202">
        <f t="shared" si="16"/>
        <v>0</v>
      </c>
      <c r="AW35" s="378">
        <v>0</v>
      </c>
      <c r="AX35" s="202">
        <f t="shared" si="17"/>
        <v>0</v>
      </c>
      <c r="AY35" s="378">
        <v>0</v>
      </c>
      <c r="AZ35" s="202">
        <f t="shared" si="18"/>
        <v>0</v>
      </c>
      <c r="BA35" s="378">
        <v>0</v>
      </c>
      <c r="BB35" s="202">
        <f t="shared" si="19"/>
        <v>0</v>
      </c>
      <c r="BC35" s="378">
        <v>0</v>
      </c>
      <c r="BD35" s="202">
        <f t="shared" si="20"/>
        <v>0</v>
      </c>
      <c r="BE35" s="378">
        <v>0</v>
      </c>
      <c r="BF35" s="202">
        <f t="shared" si="21"/>
        <v>0</v>
      </c>
      <c r="BG35" s="378"/>
      <c r="BH35" s="202">
        <f t="shared" si="22"/>
        <v>0</v>
      </c>
      <c r="BI35" s="145">
        <f t="shared" si="41"/>
        <v>3</v>
      </c>
      <c r="BJ35" s="162">
        <f t="shared" si="31"/>
        <v>30000</v>
      </c>
      <c r="BK35" s="159" t="s">
        <v>640</v>
      </c>
      <c r="BM35" s="163">
        <f>F35</f>
        <v>30000</v>
      </c>
      <c r="BN35" s="379"/>
      <c r="BO35" s="379"/>
      <c r="BP35" s="379"/>
      <c r="BQ35" s="163">
        <f t="shared" si="23"/>
        <v>30000</v>
      </c>
      <c r="BR35" s="163"/>
      <c r="BS35" s="163"/>
      <c r="BT35" s="163"/>
      <c r="BU35" s="164">
        <f t="shared" si="3"/>
        <v>30000</v>
      </c>
    </row>
    <row r="36" spans="1:73">
      <c r="A36" s="377"/>
      <c r="B36" s="166" t="s">
        <v>1009</v>
      </c>
      <c r="C36" s="159"/>
      <c r="D36" s="135"/>
      <c r="E36" s="366">
        <f t="shared" si="32"/>
        <v>1</v>
      </c>
      <c r="F36" s="366">
        <f t="shared" si="32"/>
        <v>140000</v>
      </c>
      <c r="G36" s="376"/>
      <c r="H36" s="376"/>
      <c r="I36" s="376">
        <f>F36</f>
        <v>140000</v>
      </c>
      <c r="J36" s="376"/>
      <c r="K36" s="376"/>
      <c r="L36" s="376"/>
      <c r="M36" s="376"/>
      <c r="N36" s="314"/>
      <c r="O36" s="314"/>
      <c r="P36" s="260"/>
      <c r="Q36" s="380"/>
      <c r="R36" s="283"/>
      <c r="S36" s="283"/>
      <c r="T36" s="283"/>
      <c r="U36" s="202"/>
      <c r="V36" s="202"/>
      <c r="W36" s="202"/>
      <c r="X36" s="202"/>
      <c r="Y36" s="145"/>
      <c r="Z36" s="202"/>
      <c r="AA36" s="541"/>
      <c r="AB36" s="542"/>
      <c r="AC36" s="378"/>
      <c r="AD36" s="202"/>
      <c r="AE36" s="378"/>
      <c r="AF36" s="202"/>
      <c r="AG36" s="378"/>
      <c r="AH36" s="202"/>
      <c r="AI36" s="378"/>
      <c r="AJ36" s="202"/>
      <c r="AK36" s="378">
        <v>1</v>
      </c>
      <c r="AL36" s="202">
        <v>140000</v>
      </c>
      <c r="AM36" s="378"/>
      <c r="AN36" s="202"/>
      <c r="AO36" s="378"/>
      <c r="AP36" s="202"/>
      <c r="AQ36" s="378"/>
      <c r="AR36" s="202"/>
      <c r="AS36" s="378"/>
      <c r="AT36" s="202"/>
      <c r="AU36" s="378"/>
      <c r="AV36" s="202"/>
      <c r="AW36" s="378"/>
      <c r="AX36" s="202"/>
      <c r="AY36" s="378"/>
      <c r="AZ36" s="202"/>
      <c r="BA36" s="378"/>
      <c r="BB36" s="202"/>
      <c r="BC36" s="378"/>
      <c r="BD36" s="202"/>
      <c r="BE36" s="378"/>
      <c r="BF36" s="202"/>
      <c r="BG36" s="378"/>
      <c r="BH36" s="202"/>
      <c r="BI36" s="145">
        <f t="shared" ref="BI36" si="42">Y36+AA36+AC36+AE36+AG36+AI36+AK36+AM36+AO36+AQ36+AS36+AU36+AW36+AY36+BA36+BC36+BE36+BG36</f>
        <v>1</v>
      </c>
      <c r="BJ36" s="162">
        <f t="shared" si="31"/>
        <v>140000</v>
      </c>
      <c r="BK36" s="159" t="s">
        <v>554</v>
      </c>
      <c r="BM36" s="163"/>
      <c r="BN36" s="379"/>
      <c r="BO36" s="379"/>
      <c r="BP36" s="379"/>
      <c r="BQ36" s="163"/>
      <c r="BR36" s="163"/>
      <c r="BS36" s="163"/>
      <c r="BT36" s="163"/>
      <c r="BU36" s="164"/>
    </row>
    <row r="37" spans="1:73" s="757" customFormat="1">
      <c r="A37" s="781"/>
      <c r="B37" s="791" t="s">
        <v>382</v>
      </c>
      <c r="C37" s="792" t="s">
        <v>115</v>
      </c>
      <c r="D37" s="779"/>
      <c r="E37" s="793">
        <f>SUM(E22:E36)</f>
        <v>63</v>
      </c>
      <c r="F37" s="793">
        <f t="shared" ref="F37:BH37" si="43">SUM(F22:F36)</f>
        <v>12943000</v>
      </c>
      <c r="G37" s="793">
        <f t="shared" si="43"/>
        <v>676000</v>
      </c>
      <c r="H37" s="793">
        <f t="shared" si="43"/>
        <v>3860000</v>
      </c>
      <c r="I37" s="793">
        <f t="shared" si="43"/>
        <v>140000</v>
      </c>
      <c r="J37" s="793">
        <f t="shared" si="43"/>
        <v>0</v>
      </c>
      <c r="K37" s="793">
        <f t="shared" si="43"/>
        <v>8022000</v>
      </c>
      <c r="L37" s="793">
        <f t="shared" si="43"/>
        <v>0</v>
      </c>
      <c r="M37" s="793">
        <f t="shared" si="43"/>
        <v>0</v>
      </c>
      <c r="N37" s="793">
        <f t="shared" si="43"/>
        <v>0</v>
      </c>
      <c r="O37" s="793">
        <f t="shared" si="43"/>
        <v>245000</v>
      </c>
      <c r="P37" s="793">
        <f t="shared" si="43"/>
        <v>0</v>
      </c>
      <c r="Q37" s="793">
        <f t="shared" si="43"/>
        <v>0</v>
      </c>
      <c r="R37" s="793">
        <f t="shared" si="43"/>
        <v>37.200000000000003</v>
      </c>
      <c r="S37" s="793">
        <f t="shared" si="43"/>
        <v>22.9</v>
      </c>
      <c r="T37" s="793">
        <f t="shared" si="43"/>
        <v>17.899999999999999</v>
      </c>
      <c r="U37" s="793">
        <f t="shared" si="43"/>
        <v>0</v>
      </c>
      <c r="V37" s="793">
        <f t="shared" si="43"/>
        <v>4034500</v>
      </c>
      <c r="W37" s="793">
        <f t="shared" si="43"/>
        <v>3081000</v>
      </c>
      <c r="X37" s="793">
        <f t="shared" si="43"/>
        <v>2659500</v>
      </c>
      <c r="Y37" s="793">
        <f t="shared" si="43"/>
        <v>3</v>
      </c>
      <c r="Z37" s="793">
        <f t="shared" si="43"/>
        <v>520000</v>
      </c>
      <c r="AA37" s="793">
        <f t="shared" si="43"/>
        <v>7</v>
      </c>
      <c r="AB37" s="793">
        <f t="shared" si="43"/>
        <v>585000</v>
      </c>
      <c r="AC37" s="793">
        <f t="shared" si="43"/>
        <v>3</v>
      </c>
      <c r="AD37" s="793">
        <f t="shared" si="43"/>
        <v>520000</v>
      </c>
      <c r="AE37" s="793">
        <f t="shared" si="43"/>
        <v>4</v>
      </c>
      <c r="AF37" s="793">
        <f t="shared" si="43"/>
        <v>920000</v>
      </c>
      <c r="AG37" s="793">
        <f t="shared" si="43"/>
        <v>2</v>
      </c>
      <c r="AH37" s="793">
        <f t="shared" si="43"/>
        <v>270000</v>
      </c>
      <c r="AI37" s="793">
        <f t="shared" si="43"/>
        <v>2</v>
      </c>
      <c r="AJ37" s="793">
        <f t="shared" si="43"/>
        <v>270000</v>
      </c>
      <c r="AK37" s="793">
        <f t="shared" si="43"/>
        <v>6</v>
      </c>
      <c r="AL37" s="793">
        <f t="shared" si="43"/>
        <v>1860000</v>
      </c>
      <c r="AM37" s="793">
        <f t="shared" si="43"/>
        <v>8</v>
      </c>
      <c r="AN37" s="793">
        <f t="shared" si="43"/>
        <v>1450000</v>
      </c>
      <c r="AO37" s="793">
        <f t="shared" si="43"/>
        <v>2</v>
      </c>
      <c r="AP37" s="793">
        <f t="shared" si="43"/>
        <v>270000</v>
      </c>
      <c r="AQ37" s="793">
        <f t="shared" si="43"/>
        <v>6</v>
      </c>
      <c r="AR37" s="793">
        <f t="shared" si="43"/>
        <v>1190000</v>
      </c>
      <c r="AS37" s="793">
        <f t="shared" si="43"/>
        <v>3</v>
      </c>
      <c r="AT37" s="793">
        <f t="shared" si="43"/>
        <v>2548000</v>
      </c>
      <c r="AU37" s="793">
        <f t="shared" si="43"/>
        <v>3</v>
      </c>
      <c r="AV37" s="793">
        <f t="shared" si="43"/>
        <v>490000</v>
      </c>
      <c r="AW37" s="793">
        <f t="shared" si="43"/>
        <v>2</v>
      </c>
      <c r="AX37" s="793">
        <f t="shared" si="43"/>
        <v>270000</v>
      </c>
      <c r="AY37" s="793">
        <f t="shared" si="43"/>
        <v>3</v>
      </c>
      <c r="AZ37" s="793">
        <f t="shared" si="43"/>
        <v>420000</v>
      </c>
      <c r="BA37" s="793">
        <f t="shared" si="43"/>
        <v>4</v>
      </c>
      <c r="BB37" s="793">
        <f t="shared" si="43"/>
        <v>670000</v>
      </c>
      <c r="BC37" s="793">
        <f t="shared" si="43"/>
        <v>3</v>
      </c>
      <c r="BD37" s="793">
        <f t="shared" si="43"/>
        <v>420000</v>
      </c>
      <c r="BE37" s="793">
        <f t="shared" si="43"/>
        <v>2</v>
      </c>
      <c r="BF37" s="793">
        <f t="shared" si="43"/>
        <v>270000</v>
      </c>
      <c r="BG37" s="793">
        <f t="shared" si="43"/>
        <v>0</v>
      </c>
      <c r="BH37" s="793">
        <f t="shared" si="43"/>
        <v>0</v>
      </c>
      <c r="BI37" s="793">
        <f>SUM(BI22:BI36)</f>
        <v>63</v>
      </c>
      <c r="BJ37" s="793">
        <f>SUM(BJ22:BJ36)</f>
        <v>12943000</v>
      </c>
      <c r="BK37" s="792" t="s">
        <v>115</v>
      </c>
      <c r="BM37" s="794">
        <f t="shared" ref="BM37:BU37" si="44">SUM(BM22:BM35)</f>
        <v>7315000</v>
      </c>
      <c r="BN37" s="794">
        <f t="shared" si="44"/>
        <v>0</v>
      </c>
      <c r="BO37" s="794">
        <f t="shared" si="44"/>
        <v>1290000</v>
      </c>
      <c r="BP37" s="794">
        <f t="shared" si="44"/>
        <v>0</v>
      </c>
      <c r="BQ37" s="794">
        <f t="shared" si="44"/>
        <v>8605000</v>
      </c>
      <c r="BR37" s="794">
        <f t="shared" si="44"/>
        <v>0</v>
      </c>
      <c r="BS37" s="794">
        <f t="shared" si="44"/>
        <v>0</v>
      </c>
      <c r="BT37" s="794">
        <f t="shared" si="44"/>
        <v>0</v>
      </c>
      <c r="BU37" s="794">
        <f t="shared" si="44"/>
        <v>8605000</v>
      </c>
    </row>
    <row r="38" spans="1:73">
      <c r="A38" s="377"/>
      <c r="B38" s="158" t="s">
        <v>547</v>
      </c>
      <c r="C38" s="159"/>
      <c r="D38" s="159"/>
      <c r="E38" s="366"/>
      <c r="F38" s="376"/>
      <c r="G38" s="376">
        <f>F38*0.1</f>
        <v>0</v>
      </c>
      <c r="H38" s="376">
        <f>F38*0.8</f>
        <v>0</v>
      </c>
      <c r="I38" s="376"/>
      <c r="J38" s="376"/>
      <c r="K38" s="376"/>
      <c r="L38" s="376"/>
      <c r="M38" s="376"/>
      <c r="N38" s="314"/>
      <c r="O38" s="314">
        <f>F38*0.1</f>
        <v>0</v>
      </c>
      <c r="P38" s="260"/>
      <c r="Q38" s="380"/>
      <c r="R38" s="283"/>
      <c r="S38" s="283"/>
      <c r="T38" s="283"/>
      <c r="U38" s="202"/>
      <c r="V38" s="202"/>
      <c r="W38" s="202"/>
      <c r="X38" s="202"/>
      <c r="Y38" s="145"/>
      <c r="Z38" s="202">
        <f t="shared" si="5"/>
        <v>0</v>
      </c>
      <c r="AA38" s="378"/>
      <c r="AB38" s="202">
        <f t="shared" si="6"/>
        <v>0</v>
      </c>
      <c r="AC38" s="378"/>
      <c r="AD38" s="202">
        <f t="shared" si="7"/>
        <v>0</v>
      </c>
      <c r="AE38" s="378"/>
      <c r="AF38" s="202">
        <f t="shared" si="8"/>
        <v>0</v>
      </c>
      <c r="AG38" s="378"/>
      <c r="AH38" s="202">
        <f t="shared" si="9"/>
        <v>0</v>
      </c>
      <c r="AI38" s="378"/>
      <c r="AJ38" s="202">
        <f t="shared" si="10"/>
        <v>0</v>
      </c>
      <c r="AK38" s="378"/>
      <c r="AL38" s="202">
        <f t="shared" si="11"/>
        <v>0</v>
      </c>
      <c r="AM38" s="378"/>
      <c r="AN38" s="202">
        <f t="shared" si="12"/>
        <v>0</v>
      </c>
      <c r="AO38" s="378"/>
      <c r="AP38" s="202">
        <f t="shared" si="13"/>
        <v>0</v>
      </c>
      <c r="AQ38" s="378"/>
      <c r="AR38" s="202">
        <f t="shared" si="14"/>
        <v>0</v>
      </c>
      <c r="AS38" s="378"/>
      <c r="AT38" s="202">
        <f t="shared" si="15"/>
        <v>0</v>
      </c>
      <c r="AU38" s="378"/>
      <c r="AV38" s="202">
        <f t="shared" si="16"/>
        <v>0</v>
      </c>
      <c r="AW38" s="378"/>
      <c r="AX38" s="202">
        <f t="shared" si="17"/>
        <v>0</v>
      </c>
      <c r="AY38" s="378"/>
      <c r="AZ38" s="202">
        <f t="shared" si="18"/>
        <v>0</v>
      </c>
      <c r="BA38" s="378"/>
      <c r="BB38" s="202">
        <f t="shared" si="19"/>
        <v>0</v>
      </c>
      <c r="BC38" s="378"/>
      <c r="BD38" s="202">
        <f t="shared" si="20"/>
        <v>0</v>
      </c>
      <c r="BE38" s="378"/>
      <c r="BF38" s="202">
        <f t="shared" si="21"/>
        <v>0</v>
      </c>
      <c r="BG38" s="378"/>
      <c r="BH38" s="202">
        <f t="shared" si="22"/>
        <v>0</v>
      </c>
      <c r="BI38" s="145">
        <f t="shared" ref="BI38:BJ44" si="45">Y38+AA38+AC38+AE38+AG38+AI38+AK38+AM38+AO38+AQ38+AS38+AU38+AW38+AY38+BA38+BC38+BE38+BG38</f>
        <v>0</v>
      </c>
      <c r="BJ38" s="162">
        <f t="shared" si="45"/>
        <v>0</v>
      </c>
      <c r="BK38" s="159"/>
      <c r="BM38" s="163"/>
      <c r="BN38" s="379"/>
      <c r="BO38" s="379"/>
      <c r="BP38" s="379"/>
      <c r="BQ38" s="163">
        <f t="shared" si="23"/>
        <v>0</v>
      </c>
      <c r="BR38" s="163"/>
      <c r="BS38" s="163"/>
      <c r="BT38" s="163"/>
      <c r="BU38" s="164">
        <f t="shared" si="3"/>
        <v>0</v>
      </c>
    </row>
    <row r="39" spans="1:73">
      <c r="A39" s="377"/>
      <c r="B39" s="166" t="s">
        <v>548</v>
      </c>
      <c r="C39" s="159" t="s">
        <v>248</v>
      </c>
      <c r="D39" s="159">
        <v>330</v>
      </c>
      <c r="E39" s="366">
        <v>0</v>
      </c>
      <c r="F39" s="376">
        <f>E39*D39</f>
        <v>0</v>
      </c>
      <c r="G39" s="376"/>
      <c r="H39" s="376"/>
      <c r="I39" s="376"/>
      <c r="J39" s="376"/>
      <c r="K39" s="376">
        <f>F39*1</f>
        <v>0</v>
      </c>
      <c r="L39" s="376"/>
      <c r="M39" s="376"/>
      <c r="N39" s="314"/>
      <c r="O39" s="314"/>
      <c r="P39" s="260"/>
      <c r="Q39" s="283">
        <f>E39*0.25</f>
        <v>0</v>
      </c>
      <c r="R39" s="283">
        <f>E39*0.25</f>
        <v>0</v>
      </c>
      <c r="S39" s="283">
        <f>E39*0.25</f>
        <v>0</v>
      </c>
      <c r="T39" s="283">
        <f>E39*0.25</f>
        <v>0</v>
      </c>
      <c r="U39" s="202">
        <f>Q39*D39</f>
        <v>0</v>
      </c>
      <c r="V39" s="202">
        <f>R39*D39</f>
        <v>0</v>
      </c>
      <c r="W39" s="202">
        <f>S39*D39</f>
        <v>0</v>
      </c>
      <c r="X39" s="202">
        <f>T39*D39</f>
        <v>0</v>
      </c>
      <c r="Y39" s="145">
        <v>0</v>
      </c>
      <c r="Z39" s="202">
        <f t="shared" si="5"/>
        <v>0</v>
      </c>
      <c r="AA39" s="378">
        <v>0</v>
      </c>
      <c r="AB39" s="202">
        <f t="shared" si="6"/>
        <v>0</v>
      </c>
      <c r="AC39" s="378">
        <v>0</v>
      </c>
      <c r="AD39" s="202">
        <f t="shared" si="7"/>
        <v>0</v>
      </c>
      <c r="AE39" s="378">
        <v>0</v>
      </c>
      <c r="AF39" s="202">
        <f t="shared" si="8"/>
        <v>0</v>
      </c>
      <c r="AG39" s="378">
        <v>0</v>
      </c>
      <c r="AH39" s="202">
        <f t="shared" si="9"/>
        <v>0</v>
      </c>
      <c r="AI39" s="378">
        <v>0</v>
      </c>
      <c r="AJ39" s="202">
        <f t="shared" si="10"/>
        <v>0</v>
      </c>
      <c r="AK39" s="378">
        <v>0</v>
      </c>
      <c r="AL39" s="202">
        <f t="shared" si="11"/>
        <v>0</v>
      </c>
      <c r="AM39" s="378">
        <v>0</v>
      </c>
      <c r="AN39" s="202">
        <f t="shared" si="12"/>
        <v>0</v>
      </c>
      <c r="AO39" s="378">
        <v>0</v>
      </c>
      <c r="AP39" s="202">
        <f t="shared" si="13"/>
        <v>0</v>
      </c>
      <c r="AQ39" s="378">
        <v>0</v>
      </c>
      <c r="AR39" s="202">
        <f t="shared" si="14"/>
        <v>0</v>
      </c>
      <c r="AS39" s="378">
        <v>0</v>
      </c>
      <c r="AT39" s="202">
        <f t="shared" si="15"/>
        <v>0</v>
      </c>
      <c r="AU39" s="378">
        <v>0</v>
      </c>
      <c r="AV39" s="202">
        <f t="shared" si="16"/>
        <v>0</v>
      </c>
      <c r="AW39" s="378">
        <v>0</v>
      </c>
      <c r="AX39" s="202">
        <f t="shared" si="17"/>
        <v>0</v>
      </c>
      <c r="AY39" s="378">
        <v>0</v>
      </c>
      <c r="AZ39" s="202">
        <f t="shared" si="18"/>
        <v>0</v>
      </c>
      <c r="BA39" s="378">
        <v>0</v>
      </c>
      <c r="BB39" s="202">
        <f t="shared" si="19"/>
        <v>0</v>
      </c>
      <c r="BC39" s="378">
        <v>0</v>
      </c>
      <c r="BD39" s="202">
        <f t="shared" si="20"/>
        <v>0</v>
      </c>
      <c r="BE39" s="378">
        <v>0</v>
      </c>
      <c r="BF39" s="202">
        <f t="shared" si="21"/>
        <v>0</v>
      </c>
      <c r="BG39" s="378">
        <v>0</v>
      </c>
      <c r="BH39" s="202">
        <f t="shared" si="22"/>
        <v>0</v>
      </c>
      <c r="BI39" s="145">
        <f t="shared" si="45"/>
        <v>0</v>
      </c>
      <c r="BJ39" s="162">
        <f t="shared" si="45"/>
        <v>0</v>
      </c>
      <c r="BK39" s="159" t="s">
        <v>551</v>
      </c>
      <c r="BM39" s="163">
        <f>SUM(BM38)</f>
        <v>0</v>
      </c>
      <c r="BN39" s="379"/>
      <c r="BO39" s="379">
        <f>BJ39</f>
        <v>0</v>
      </c>
      <c r="BP39" s="379"/>
      <c r="BQ39" s="163">
        <f t="shared" si="23"/>
        <v>0</v>
      </c>
      <c r="BR39" s="163"/>
      <c r="BS39" s="163"/>
      <c r="BT39" s="163"/>
      <c r="BU39" s="164">
        <f t="shared" si="3"/>
        <v>0</v>
      </c>
    </row>
    <row r="40" spans="1:73">
      <c r="A40" s="377"/>
      <c r="B40" s="166" t="s">
        <v>549</v>
      </c>
      <c r="C40" s="159" t="s">
        <v>248</v>
      </c>
      <c r="D40" s="159">
        <v>12</v>
      </c>
      <c r="E40" s="366">
        <v>0</v>
      </c>
      <c r="F40" s="376">
        <f>E40*D40</f>
        <v>0</v>
      </c>
      <c r="G40" s="376"/>
      <c r="H40" s="376"/>
      <c r="I40" s="376"/>
      <c r="J40" s="376"/>
      <c r="K40" s="376">
        <f>F40*1</f>
        <v>0</v>
      </c>
      <c r="L40" s="376"/>
      <c r="M40" s="376"/>
      <c r="N40" s="314"/>
      <c r="O40" s="314"/>
      <c r="P40" s="260"/>
      <c r="Q40" s="283">
        <f>E40*0.25</f>
        <v>0</v>
      </c>
      <c r="R40" s="283">
        <f>E40*0.25</f>
        <v>0</v>
      </c>
      <c r="S40" s="283">
        <f>E40*0.25</f>
        <v>0</v>
      </c>
      <c r="T40" s="283">
        <f>E40*0.25</f>
        <v>0</v>
      </c>
      <c r="U40" s="202">
        <f>Q40*D40</f>
        <v>0</v>
      </c>
      <c r="V40" s="202">
        <f>R40*D40</f>
        <v>0</v>
      </c>
      <c r="W40" s="202">
        <f>S40*D40</f>
        <v>0</v>
      </c>
      <c r="X40" s="202">
        <f>T40*D40</f>
        <v>0</v>
      </c>
      <c r="Y40" s="145">
        <v>0</v>
      </c>
      <c r="Z40" s="202">
        <f t="shared" si="5"/>
        <v>0</v>
      </c>
      <c r="AA40" s="378">
        <v>0</v>
      </c>
      <c r="AB40" s="202">
        <f t="shared" si="6"/>
        <v>0</v>
      </c>
      <c r="AC40" s="378">
        <v>0</v>
      </c>
      <c r="AD40" s="202">
        <f t="shared" si="7"/>
        <v>0</v>
      </c>
      <c r="AE40" s="378">
        <v>0</v>
      </c>
      <c r="AF40" s="202">
        <f t="shared" si="8"/>
        <v>0</v>
      </c>
      <c r="AG40" s="378">
        <v>0</v>
      </c>
      <c r="AH40" s="202">
        <f t="shared" si="9"/>
        <v>0</v>
      </c>
      <c r="AI40" s="378">
        <v>0</v>
      </c>
      <c r="AJ40" s="202">
        <f t="shared" si="10"/>
        <v>0</v>
      </c>
      <c r="AK40" s="378">
        <v>0</v>
      </c>
      <c r="AL40" s="202">
        <f t="shared" si="11"/>
        <v>0</v>
      </c>
      <c r="AM40" s="378">
        <v>0</v>
      </c>
      <c r="AN40" s="202">
        <f t="shared" si="12"/>
        <v>0</v>
      </c>
      <c r="AO40" s="378">
        <v>0</v>
      </c>
      <c r="AP40" s="202">
        <f t="shared" si="13"/>
        <v>0</v>
      </c>
      <c r="AQ40" s="378">
        <v>0</v>
      </c>
      <c r="AR40" s="202">
        <f t="shared" si="14"/>
        <v>0</v>
      </c>
      <c r="AS40" s="378">
        <v>0</v>
      </c>
      <c r="AT40" s="202">
        <f t="shared" si="15"/>
        <v>0</v>
      </c>
      <c r="AU40" s="378">
        <v>0</v>
      </c>
      <c r="AV40" s="202">
        <f t="shared" si="16"/>
        <v>0</v>
      </c>
      <c r="AW40" s="378">
        <v>0</v>
      </c>
      <c r="AX40" s="202">
        <f t="shared" si="17"/>
        <v>0</v>
      </c>
      <c r="AY40" s="378">
        <v>0</v>
      </c>
      <c r="AZ40" s="202">
        <f t="shared" si="18"/>
        <v>0</v>
      </c>
      <c r="BA40" s="378">
        <v>0</v>
      </c>
      <c r="BB40" s="202">
        <f t="shared" si="19"/>
        <v>0</v>
      </c>
      <c r="BC40" s="378">
        <v>0</v>
      </c>
      <c r="BD40" s="202">
        <f t="shared" si="20"/>
        <v>0</v>
      </c>
      <c r="BE40" s="378">
        <v>0</v>
      </c>
      <c r="BF40" s="202">
        <f t="shared" si="21"/>
        <v>0</v>
      </c>
      <c r="BG40" s="378">
        <v>0</v>
      </c>
      <c r="BH40" s="202">
        <f t="shared" si="22"/>
        <v>0</v>
      </c>
      <c r="BI40" s="145">
        <f t="shared" si="45"/>
        <v>0</v>
      </c>
      <c r="BJ40" s="162">
        <f t="shared" si="45"/>
        <v>0</v>
      </c>
      <c r="BK40" s="159" t="s">
        <v>551</v>
      </c>
      <c r="BM40" s="163">
        <f>SUM(BM39)</f>
        <v>0</v>
      </c>
      <c r="BN40" s="379"/>
      <c r="BO40" s="379">
        <f>BJ40</f>
        <v>0</v>
      </c>
      <c r="BP40" s="379"/>
      <c r="BQ40" s="163">
        <f t="shared" si="23"/>
        <v>0</v>
      </c>
      <c r="BR40" s="163"/>
      <c r="BS40" s="163"/>
      <c r="BT40" s="163"/>
      <c r="BU40" s="164">
        <f t="shared" si="3"/>
        <v>0</v>
      </c>
    </row>
    <row r="41" spans="1:73" ht="31.5" customHeight="1">
      <c r="A41" s="377"/>
      <c r="B41" s="166" t="s">
        <v>737</v>
      </c>
      <c r="C41" s="159" t="s">
        <v>738</v>
      </c>
      <c r="D41" s="159">
        <v>342</v>
      </c>
      <c r="E41" s="366">
        <f>BI41</f>
        <v>9524</v>
      </c>
      <c r="F41" s="376">
        <f>D41*E41</f>
        <v>3257208</v>
      </c>
      <c r="G41" s="376">
        <f>F41*0.2</f>
        <v>651441.60000000009</v>
      </c>
      <c r="H41" s="376">
        <f>F41*0.8</f>
        <v>2605766.4000000004</v>
      </c>
      <c r="I41" s="376"/>
      <c r="J41" s="376"/>
      <c r="K41" s="376"/>
      <c r="L41" s="376"/>
      <c r="M41" s="376"/>
      <c r="N41" s="314"/>
      <c r="O41" s="314"/>
      <c r="P41" s="260"/>
      <c r="Q41" s="283"/>
      <c r="R41" s="283"/>
      <c r="S41" s="283"/>
      <c r="T41" s="283"/>
      <c r="U41" s="202"/>
      <c r="V41" s="202"/>
      <c r="W41" s="202"/>
      <c r="X41" s="202"/>
      <c r="Y41" s="145">
        <v>865</v>
      </c>
      <c r="Z41" s="202">
        <f t="shared" si="5"/>
        <v>295830</v>
      </c>
      <c r="AA41" s="378">
        <v>300</v>
      </c>
      <c r="AB41" s="202">
        <f t="shared" si="6"/>
        <v>102600</v>
      </c>
      <c r="AC41" s="378">
        <v>650</v>
      </c>
      <c r="AD41" s="202">
        <f t="shared" si="7"/>
        <v>222300</v>
      </c>
      <c r="AE41" s="378">
        <v>700</v>
      </c>
      <c r="AF41" s="202">
        <f t="shared" si="8"/>
        <v>239400</v>
      </c>
      <c r="AG41" s="378">
        <v>300</v>
      </c>
      <c r="AH41" s="202">
        <f t="shared" si="9"/>
        <v>102600</v>
      </c>
      <c r="AI41" s="378">
        <v>550</v>
      </c>
      <c r="AJ41" s="202">
        <f t="shared" si="10"/>
        <v>188100</v>
      </c>
      <c r="AK41" s="378">
        <v>328</v>
      </c>
      <c r="AL41" s="202">
        <f t="shared" si="11"/>
        <v>112176</v>
      </c>
      <c r="AM41" s="378">
        <v>350</v>
      </c>
      <c r="AN41" s="202">
        <f t="shared" si="12"/>
        <v>119700</v>
      </c>
      <c r="AO41" s="378">
        <v>425</v>
      </c>
      <c r="AP41" s="202">
        <f t="shared" si="13"/>
        <v>145350</v>
      </c>
      <c r="AQ41" s="378">
        <v>1120</v>
      </c>
      <c r="AR41" s="202">
        <f t="shared" si="14"/>
        <v>383040</v>
      </c>
      <c r="AS41" s="378">
        <v>621</v>
      </c>
      <c r="AT41" s="202">
        <f t="shared" si="15"/>
        <v>212382</v>
      </c>
      <c r="AU41" s="378">
        <v>458</v>
      </c>
      <c r="AV41" s="202">
        <f t="shared" si="16"/>
        <v>156636</v>
      </c>
      <c r="AW41" s="378">
        <v>375</v>
      </c>
      <c r="AX41" s="202">
        <f t="shared" si="17"/>
        <v>128250</v>
      </c>
      <c r="AY41" s="378">
        <v>438</v>
      </c>
      <c r="AZ41" s="202">
        <f t="shared" si="18"/>
        <v>149796</v>
      </c>
      <c r="BA41" s="378">
        <v>914</v>
      </c>
      <c r="BB41" s="202">
        <f t="shared" si="19"/>
        <v>312588</v>
      </c>
      <c r="BC41" s="378">
        <v>315</v>
      </c>
      <c r="BD41" s="202">
        <f t="shared" si="20"/>
        <v>107730</v>
      </c>
      <c r="BE41" s="378">
        <v>815</v>
      </c>
      <c r="BF41" s="202">
        <f t="shared" si="21"/>
        <v>278730</v>
      </c>
      <c r="BG41" s="378"/>
      <c r="BH41" s="202">
        <f t="shared" si="22"/>
        <v>0</v>
      </c>
      <c r="BI41" s="145">
        <f>Y41+AA41+AC41+AE41+AG41+AI41+AK41+AM41+AO41+AQ41+AS41+AU41+AW41+AY41+BA41+BC41+BE41+BG41</f>
        <v>9524</v>
      </c>
      <c r="BJ41" s="162">
        <f t="shared" si="45"/>
        <v>3257208</v>
      </c>
      <c r="BK41" s="159" t="s">
        <v>216</v>
      </c>
      <c r="BM41" s="163"/>
      <c r="BN41" s="379"/>
      <c r="BO41" s="379"/>
      <c r="BP41" s="379"/>
      <c r="BQ41" s="163"/>
      <c r="BR41" s="163"/>
      <c r="BS41" s="163"/>
      <c r="BT41" s="163"/>
      <c r="BU41" s="164"/>
    </row>
    <row r="42" spans="1:73" s="804" customFormat="1">
      <c r="A42" s="795"/>
      <c r="B42" s="796" t="s">
        <v>739</v>
      </c>
      <c r="C42" s="741"/>
      <c r="D42" s="741">
        <v>342</v>
      </c>
      <c r="E42" s="797">
        <f>BI42</f>
        <v>0</v>
      </c>
      <c r="F42" s="798">
        <f>D42*E42</f>
        <v>0</v>
      </c>
      <c r="G42" s="798"/>
      <c r="H42" s="798"/>
      <c r="I42" s="798"/>
      <c r="J42" s="798"/>
      <c r="K42" s="798">
        <f>F42*1</f>
        <v>0</v>
      </c>
      <c r="L42" s="798"/>
      <c r="M42" s="798"/>
      <c r="N42" s="799"/>
      <c r="O42" s="799"/>
      <c r="P42" s="745"/>
      <c r="Q42" s="800"/>
      <c r="R42" s="800"/>
      <c r="S42" s="800"/>
      <c r="T42" s="800"/>
      <c r="U42" s="632"/>
      <c r="V42" s="632"/>
      <c r="W42" s="632"/>
      <c r="X42" s="632"/>
      <c r="Y42" s="801">
        <v>0</v>
      </c>
      <c r="Z42" s="632">
        <f t="shared" si="5"/>
        <v>0</v>
      </c>
      <c r="AA42" s="802">
        <v>0</v>
      </c>
      <c r="AB42" s="632">
        <f t="shared" si="6"/>
        <v>0</v>
      </c>
      <c r="AC42" s="802">
        <v>0</v>
      </c>
      <c r="AD42" s="632">
        <f t="shared" si="7"/>
        <v>0</v>
      </c>
      <c r="AE42" s="802">
        <v>0</v>
      </c>
      <c r="AF42" s="632">
        <f t="shared" si="8"/>
        <v>0</v>
      </c>
      <c r="AG42" s="802">
        <v>0</v>
      </c>
      <c r="AH42" s="632">
        <f t="shared" si="9"/>
        <v>0</v>
      </c>
      <c r="AI42" s="802">
        <v>0</v>
      </c>
      <c r="AJ42" s="632">
        <f t="shared" si="10"/>
        <v>0</v>
      </c>
      <c r="AK42" s="802">
        <v>0</v>
      </c>
      <c r="AL42" s="632">
        <f t="shared" si="11"/>
        <v>0</v>
      </c>
      <c r="AM42" s="802">
        <v>0</v>
      </c>
      <c r="AN42" s="632">
        <f t="shared" si="12"/>
        <v>0</v>
      </c>
      <c r="AO42" s="802">
        <v>0</v>
      </c>
      <c r="AP42" s="632">
        <f t="shared" si="13"/>
        <v>0</v>
      </c>
      <c r="AQ42" s="802">
        <v>0</v>
      </c>
      <c r="AR42" s="632">
        <f t="shared" si="14"/>
        <v>0</v>
      </c>
      <c r="AS42" s="802">
        <v>0</v>
      </c>
      <c r="AT42" s="632">
        <f t="shared" si="15"/>
        <v>0</v>
      </c>
      <c r="AU42" s="802">
        <v>0</v>
      </c>
      <c r="AV42" s="632">
        <f t="shared" si="16"/>
        <v>0</v>
      </c>
      <c r="AW42" s="802">
        <v>0</v>
      </c>
      <c r="AX42" s="632">
        <f t="shared" si="17"/>
        <v>0</v>
      </c>
      <c r="AY42" s="802">
        <v>0</v>
      </c>
      <c r="AZ42" s="632">
        <f t="shared" si="18"/>
        <v>0</v>
      </c>
      <c r="BA42" s="802">
        <v>0</v>
      </c>
      <c r="BB42" s="632">
        <f t="shared" si="19"/>
        <v>0</v>
      </c>
      <c r="BC42" s="802">
        <v>0</v>
      </c>
      <c r="BD42" s="632">
        <f t="shared" si="20"/>
        <v>0</v>
      </c>
      <c r="BE42" s="802">
        <v>0</v>
      </c>
      <c r="BF42" s="632">
        <f t="shared" si="21"/>
        <v>0</v>
      </c>
      <c r="BG42" s="802"/>
      <c r="BH42" s="632">
        <f t="shared" si="22"/>
        <v>0</v>
      </c>
      <c r="BI42" s="801">
        <f>Y42+AA42+AC42+AE42+AG42+AI42+AK42+AM42+AO42+AQ42+AS42+AU42+AW42+AY42+BA42+BC42+BE42+BG42</f>
        <v>0</v>
      </c>
      <c r="BJ42" s="803">
        <f t="shared" si="45"/>
        <v>0</v>
      </c>
      <c r="BK42" s="741" t="s">
        <v>551</v>
      </c>
      <c r="BM42" s="805"/>
      <c r="BN42" s="806"/>
      <c r="BO42" s="806"/>
      <c r="BP42" s="806"/>
      <c r="BQ42" s="805"/>
      <c r="BR42" s="805"/>
      <c r="BS42" s="805"/>
      <c r="BT42" s="805"/>
      <c r="BU42" s="629"/>
    </row>
    <row r="43" spans="1:73">
      <c r="A43" s="377"/>
      <c r="B43" s="166" t="s">
        <v>550</v>
      </c>
      <c r="C43" s="159" t="s">
        <v>248</v>
      </c>
      <c r="D43" s="159"/>
      <c r="E43" s="366">
        <v>0</v>
      </c>
      <c r="F43" s="376">
        <f>E43*D43</f>
        <v>0</v>
      </c>
      <c r="G43" s="376"/>
      <c r="H43" s="376"/>
      <c r="I43" s="376"/>
      <c r="J43" s="376"/>
      <c r="K43" s="376">
        <f>F43*1</f>
        <v>0</v>
      </c>
      <c r="L43" s="376"/>
      <c r="M43" s="376"/>
      <c r="N43" s="314"/>
      <c r="O43" s="314"/>
      <c r="P43" s="260"/>
      <c r="Q43" s="283">
        <f>E43*0.25</f>
        <v>0</v>
      </c>
      <c r="R43" s="283">
        <f>E43*0.25</f>
        <v>0</v>
      </c>
      <c r="S43" s="283">
        <f>E43*0.25</f>
        <v>0</v>
      </c>
      <c r="T43" s="283">
        <f>E43*0.25</f>
        <v>0</v>
      </c>
      <c r="U43" s="202">
        <f>Q43*D43</f>
        <v>0</v>
      </c>
      <c r="V43" s="202">
        <f>R43*D43</f>
        <v>0</v>
      </c>
      <c r="W43" s="202">
        <f>S43*D43</f>
        <v>0</v>
      </c>
      <c r="X43" s="202">
        <f>T43*D43</f>
        <v>0</v>
      </c>
      <c r="Y43" s="145">
        <v>0</v>
      </c>
      <c r="Z43" s="202">
        <f t="shared" si="5"/>
        <v>0</v>
      </c>
      <c r="AA43" s="378">
        <v>0</v>
      </c>
      <c r="AB43" s="202">
        <f t="shared" si="6"/>
        <v>0</v>
      </c>
      <c r="AC43" s="378">
        <v>0</v>
      </c>
      <c r="AD43" s="202">
        <f t="shared" si="7"/>
        <v>0</v>
      </c>
      <c r="AE43" s="378">
        <v>0</v>
      </c>
      <c r="AF43" s="202">
        <f t="shared" si="8"/>
        <v>0</v>
      </c>
      <c r="AG43" s="378">
        <v>0</v>
      </c>
      <c r="AH43" s="202">
        <f t="shared" si="9"/>
        <v>0</v>
      </c>
      <c r="AI43" s="378">
        <v>0</v>
      </c>
      <c r="AJ43" s="202">
        <f t="shared" si="10"/>
        <v>0</v>
      </c>
      <c r="AK43" s="378">
        <v>0</v>
      </c>
      <c r="AL43" s="202">
        <f t="shared" si="11"/>
        <v>0</v>
      </c>
      <c r="AM43" s="378">
        <v>0</v>
      </c>
      <c r="AN43" s="202">
        <f t="shared" si="12"/>
        <v>0</v>
      </c>
      <c r="AO43" s="378">
        <v>0</v>
      </c>
      <c r="AP43" s="202">
        <f t="shared" si="13"/>
        <v>0</v>
      </c>
      <c r="AQ43" s="378">
        <v>0</v>
      </c>
      <c r="AR43" s="202">
        <f t="shared" si="14"/>
        <v>0</v>
      </c>
      <c r="AS43" s="378">
        <v>0</v>
      </c>
      <c r="AT43" s="202">
        <f t="shared" si="15"/>
        <v>0</v>
      </c>
      <c r="AU43" s="378">
        <v>0</v>
      </c>
      <c r="AV43" s="202">
        <f t="shared" si="16"/>
        <v>0</v>
      </c>
      <c r="AW43" s="378">
        <v>0</v>
      </c>
      <c r="AX43" s="202">
        <f t="shared" si="17"/>
        <v>0</v>
      </c>
      <c r="AY43" s="378">
        <v>0</v>
      </c>
      <c r="AZ43" s="202">
        <f t="shared" si="18"/>
        <v>0</v>
      </c>
      <c r="BA43" s="378">
        <v>0</v>
      </c>
      <c r="BB43" s="202">
        <f t="shared" si="19"/>
        <v>0</v>
      </c>
      <c r="BC43" s="378">
        <v>0</v>
      </c>
      <c r="BD43" s="202">
        <f t="shared" si="20"/>
        <v>0</v>
      </c>
      <c r="BE43" s="378">
        <v>0</v>
      </c>
      <c r="BF43" s="202">
        <f t="shared" si="21"/>
        <v>0</v>
      </c>
      <c r="BG43" s="378">
        <v>0</v>
      </c>
      <c r="BH43" s="202">
        <f t="shared" si="22"/>
        <v>0</v>
      </c>
      <c r="BI43" s="145">
        <f t="shared" si="45"/>
        <v>0</v>
      </c>
      <c r="BJ43" s="162">
        <f t="shared" si="45"/>
        <v>0</v>
      </c>
      <c r="BK43" s="159" t="s">
        <v>551</v>
      </c>
      <c r="BM43" s="163">
        <f>SUM(BM40)</f>
        <v>0</v>
      </c>
      <c r="BN43" s="379"/>
      <c r="BO43" s="379">
        <f>BJ43</f>
        <v>0</v>
      </c>
      <c r="BP43" s="379"/>
      <c r="BQ43" s="163">
        <f t="shared" si="23"/>
        <v>0</v>
      </c>
      <c r="BR43" s="163"/>
      <c r="BS43" s="163"/>
      <c r="BT43" s="163"/>
      <c r="BU43" s="164">
        <f t="shared" si="3"/>
        <v>0</v>
      </c>
    </row>
    <row r="44" spans="1:73">
      <c r="A44" s="377"/>
      <c r="B44" s="166" t="s">
        <v>740</v>
      </c>
      <c r="C44" s="159" t="s">
        <v>16</v>
      </c>
      <c r="D44" s="135">
        <v>400000</v>
      </c>
      <c r="E44" s="366">
        <f>BI44</f>
        <v>0</v>
      </c>
      <c r="F44" s="376">
        <f>E44*D44</f>
        <v>0</v>
      </c>
      <c r="G44" s="376">
        <f>F44*0.2</f>
        <v>0</v>
      </c>
      <c r="H44" s="376">
        <f>F44*0.8</f>
        <v>0</v>
      </c>
      <c r="I44" s="376"/>
      <c r="J44" s="376"/>
      <c r="K44" s="376"/>
      <c r="L44" s="376"/>
      <c r="M44" s="376"/>
      <c r="N44" s="314"/>
      <c r="O44" s="314">
        <v>0</v>
      </c>
      <c r="P44" s="260"/>
      <c r="Q44" s="283">
        <f>E44*0.25</f>
        <v>0</v>
      </c>
      <c r="R44" s="283">
        <f>E44*0.25</f>
        <v>0</v>
      </c>
      <c r="S44" s="283">
        <f>E44*0.25</f>
        <v>0</v>
      </c>
      <c r="T44" s="283">
        <f>E44*0.25</f>
        <v>0</v>
      </c>
      <c r="U44" s="202">
        <f>Q44*D44</f>
        <v>0</v>
      </c>
      <c r="V44" s="202">
        <f>R44*D44</f>
        <v>0</v>
      </c>
      <c r="W44" s="202">
        <f>S44*D44</f>
        <v>0</v>
      </c>
      <c r="X44" s="202">
        <f>T44*D44</f>
        <v>0</v>
      </c>
      <c r="Y44" s="145"/>
      <c r="Z44" s="202">
        <f t="shared" si="5"/>
        <v>0</v>
      </c>
      <c r="AA44" s="378"/>
      <c r="AB44" s="202">
        <f t="shared" si="6"/>
        <v>0</v>
      </c>
      <c r="AC44" s="378"/>
      <c r="AD44" s="202">
        <f t="shared" si="7"/>
        <v>0</v>
      </c>
      <c r="AE44" s="378">
        <v>0</v>
      </c>
      <c r="AF44" s="202">
        <f t="shared" si="8"/>
        <v>0</v>
      </c>
      <c r="AG44" s="378"/>
      <c r="AH44" s="202">
        <f t="shared" si="9"/>
        <v>0</v>
      </c>
      <c r="AI44" s="378"/>
      <c r="AJ44" s="202">
        <f t="shared" si="10"/>
        <v>0</v>
      </c>
      <c r="AK44" s="378"/>
      <c r="AL44" s="202">
        <f t="shared" si="11"/>
        <v>0</v>
      </c>
      <c r="AM44" s="378"/>
      <c r="AN44" s="202">
        <f t="shared" si="12"/>
        <v>0</v>
      </c>
      <c r="AO44" s="378"/>
      <c r="AP44" s="202">
        <f t="shared" si="13"/>
        <v>0</v>
      </c>
      <c r="AQ44" s="378"/>
      <c r="AR44" s="202">
        <f t="shared" si="14"/>
        <v>0</v>
      </c>
      <c r="AS44" s="378"/>
      <c r="AT44" s="202">
        <f t="shared" si="15"/>
        <v>0</v>
      </c>
      <c r="AU44" s="378"/>
      <c r="AV44" s="202">
        <f t="shared" si="16"/>
        <v>0</v>
      </c>
      <c r="AW44" s="378"/>
      <c r="AX44" s="202">
        <f t="shared" si="17"/>
        <v>0</v>
      </c>
      <c r="AY44" s="378"/>
      <c r="AZ44" s="202">
        <f t="shared" si="18"/>
        <v>0</v>
      </c>
      <c r="BA44" s="378"/>
      <c r="BB44" s="202">
        <f t="shared" si="19"/>
        <v>0</v>
      </c>
      <c r="BC44" s="378"/>
      <c r="BD44" s="202">
        <f t="shared" si="20"/>
        <v>0</v>
      </c>
      <c r="BE44" s="378"/>
      <c r="BF44" s="202">
        <f t="shared" si="21"/>
        <v>0</v>
      </c>
      <c r="BG44" s="378">
        <v>0</v>
      </c>
      <c r="BH44" s="202">
        <f t="shared" si="22"/>
        <v>0</v>
      </c>
      <c r="BI44" s="145">
        <f t="shared" si="45"/>
        <v>0</v>
      </c>
      <c r="BJ44" s="162">
        <f t="shared" si="45"/>
        <v>0</v>
      </c>
      <c r="BK44" s="159" t="s">
        <v>216</v>
      </c>
      <c r="BM44" s="163">
        <f>SUM(BM43)</f>
        <v>0</v>
      </c>
      <c r="BN44" s="379">
        <f>BJ44</f>
        <v>0</v>
      </c>
      <c r="BO44" s="379"/>
      <c r="BP44" s="379"/>
      <c r="BQ44" s="163">
        <f t="shared" si="23"/>
        <v>0</v>
      </c>
      <c r="BR44" s="163"/>
      <c r="BS44" s="163"/>
      <c r="BT44" s="163"/>
      <c r="BU44" s="164">
        <f t="shared" si="3"/>
        <v>0</v>
      </c>
    </row>
    <row r="45" spans="1:73" s="23" customFormat="1">
      <c r="A45" s="377"/>
      <c r="B45" s="158" t="s">
        <v>553</v>
      </c>
      <c r="C45" s="168"/>
      <c r="D45" s="177"/>
      <c r="E45" s="381">
        <f t="shared" ref="E45:BH45" si="46">SUM(E39:E44)</f>
        <v>9524</v>
      </c>
      <c r="F45" s="381">
        <f t="shared" si="46"/>
        <v>3257208</v>
      </c>
      <c r="G45" s="381">
        <f t="shared" si="46"/>
        <v>651441.60000000009</v>
      </c>
      <c r="H45" s="381">
        <f t="shared" si="46"/>
        <v>2605766.4000000004</v>
      </c>
      <c r="I45" s="381">
        <f t="shared" si="46"/>
        <v>0</v>
      </c>
      <c r="J45" s="381">
        <f t="shared" si="46"/>
        <v>0</v>
      </c>
      <c r="K45" s="381">
        <f t="shared" si="46"/>
        <v>0</v>
      </c>
      <c r="L45" s="381">
        <f t="shared" si="46"/>
        <v>0</v>
      </c>
      <c r="M45" s="381">
        <f t="shared" si="46"/>
        <v>0</v>
      </c>
      <c r="N45" s="381">
        <f t="shared" si="46"/>
        <v>0</v>
      </c>
      <c r="O45" s="381">
        <f t="shared" si="46"/>
        <v>0</v>
      </c>
      <c r="P45" s="381">
        <f t="shared" si="46"/>
        <v>0</v>
      </c>
      <c r="Q45" s="381">
        <f t="shared" si="46"/>
        <v>0</v>
      </c>
      <c r="R45" s="381">
        <f t="shared" si="46"/>
        <v>0</v>
      </c>
      <c r="S45" s="381">
        <f t="shared" si="46"/>
        <v>0</v>
      </c>
      <c r="T45" s="381">
        <f t="shared" si="46"/>
        <v>0</v>
      </c>
      <c r="U45" s="381">
        <f t="shared" si="46"/>
        <v>0</v>
      </c>
      <c r="V45" s="381">
        <f t="shared" si="46"/>
        <v>0</v>
      </c>
      <c r="W45" s="381">
        <f t="shared" si="46"/>
        <v>0</v>
      </c>
      <c r="X45" s="381">
        <f t="shared" si="46"/>
        <v>0</v>
      </c>
      <c r="Y45" s="381">
        <f t="shared" si="46"/>
        <v>865</v>
      </c>
      <c r="Z45" s="381">
        <f t="shared" si="46"/>
        <v>295830</v>
      </c>
      <c r="AA45" s="381">
        <f t="shared" si="46"/>
        <v>300</v>
      </c>
      <c r="AB45" s="381">
        <f t="shared" si="46"/>
        <v>102600</v>
      </c>
      <c r="AC45" s="381">
        <f t="shared" si="46"/>
        <v>650</v>
      </c>
      <c r="AD45" s="381">
        <f t="shared" si="46"/>
        <v>222300</v>
      </c>
      <c r="AE45" s="381">
        <f t="shared" si="46"/>
        <v>700</v>
      </c>
      <c r="AF45" s="381">
        <f t="shared" si="46"/>
        <v>239400</v>
      </c>
      <c r="AG45" s="381">
        <f t="shared" si="46"/>
        <v>300</v>
      </c>
      <c r="AH45" s="381">
        <f t="shared" si="46"/>
        <v>102600</v>
      </c>
      <c r="AI45" s="381">
        <f t="shared" si="46"/>
        <v>550</v>
      </c>
      <c r="AJ45" s="381">
        <f t="shared" si="46"/>
        <v>188100</v>
      </c>
      <c r="AK45" s="381">
        <f t="shared" si="46"/>
        <v>328</v>
      </c>
      <c r="AL45" s="381">
        <f t="shared" si="46"/>
        <v>112176</v>
      </c>
      <c r="AM45" s="381">
        <f t="shared" si="46"/>
        <v>350</v>
      </c>
      <c r="AN45" s="381">
        <f t="shared" si="46"/>
        <v>119700</v>
      </c>
      <c r="AO45" s="381">
        <f t="shared" si="46"/>
        <v>425</v>
      </c>
      <c r="AP45" s="381">
        <f t="shared" si="46"/>
        <v>145350</v>
      </c>
      <c r="AQ45" s="381">
        <f t="shared" si="46"/>
        <v>1120</v>
      </c>
      <c r="AR45" s="381">
        <f t="shared" si="46"/>
        <v>383040</v>
      </c>
      <c r="AS45" s="381">
        <f t="shared" si="46"/>
        <v>621</v>
      </c>
      <c r="AT45" s="381">
        <f t="shared" si="46"/>
        <v>212382</v>
      </c>
      <c r="AU45" s="381">
        <f t="shared" si="46"/>
        <v>458</v>
      </c>
      <c r="AV45" s="381">
        <f t="shared" si="46"/>
        <v>156636</v>
      </c>
      <c r="AW45" s="381">
        <f t="shared" si="46"/>
        <v>375</v>
      </c>
      <c r="AX45" s="381">
        <f t="shared" si="46"/>
        <v>128250</v>
      </c>
      <c r="AY45" s="381">
        <f t="shared" si="46"/>
        <v>438</v>
      </c>
      <c r="AZ45" s="381">
        <f t="shared" si="46"/>
        <v>149796</v>
      </c>
      <c r="BA45" s="381">
        <f t="shared" si="46"/>
        <v>914</v>
      </c>
      <c r="BB45" s="381">
        <f t="shared" si="46"/>
        <v>312588</v>
      </c>
      <c r="BC45" s="381">
        <f t="shared" si="46"/>
        <v>315</v>
      </c>
      <c r="BD45" s="381">
        <f t="shared" si="46"/>
        <v>107730</v>
      </c>
      <c r="BE45" s="381">
        <f t="shared" si="46"/>
        <v>815</v>
      </c>
      <c r="BF45" s="381">
        <f t="shared" si="46"/>
        <v>278730</v>
      </c>
      <c r="BG45" s="381">
        <f t="shared" si="46"/>
        <v>0</v>
      </c>
      <c r="BH45" s="381">
        <f t="shared" si="46"/>
        <v>0</v>
      </c>
      <c r="BI45" s="381">
        <f t="shared" ref="BI45:BJ45" si="47">SUM(BI39:BI44)</f>
        <v>9524</v>
      </c>
      <c r="BJ45" s="381">
        <f t="shared" si="47"/>
        <v>3257208</v>
      </c>
      <c r="BK45" s="168"/>
      <c r="BM45" s="174">
        <f t="shared" ref="BM45:BU45" si="48">SUM(BM39:BM44)</f>
        <v>0</v>
      </c>
      <c r="BN45" s="174">
        <f t="shared" si="48"/>
        <v>0</v>
      </c>
      <c r="BO45" s="174">
        <f t="shared" si="48"/>
        <v>0</v>
      </c>
      <c r="BP45" s="174">
        <f t="shared" si="48"/>
        <v>0</v>
      </c>
      <c r="BQ45" s="174">
        <f t="shared" si="48"/>
        <v>0</v>
      </c>
      <c r="BR45" s="174">
        <f t="shared" si="48"/>
        <v>0</v>
      </c>
      <c r="BS45" s="174">
        <f t="shared" si="48"/>
        <v>0</v>
      </c>
      <c r="BT45" s="174">
        <f t="shared" si="48"/>
        <v>0</v>
      </c>
      <c r="BU45" s="174">
        <f t="shared" si="48"/>
        <v>0</v>
      </c>
    </row>
    <row r="46" spans="1:73" s="23" customFormat="1">
      <c r="A46" s="377"/>
      <c r="B46" s="176" t="s">
        <v>17</v>
      </c>
      <c r="C46" s="168" t="s">
        <v>115</v>
      </c>
      <c r="D46" s="155"/>
      <c r="E46" s="381">
        <f t="shared" ref="E46:BH46" si="49">E37+E20+E45</f>
        <v>12083</v>
      </c>
      <c r="F46" s="381">
        <f t="shared" si="49"/>
        <v>28440458</v>
      </c>
      <c r="G46" s="381">
        <f t="shared" si="49"/>
        <v>1691491.6</v>
      </c>
      <c r="H46" s="381">
        <f t="shared" si="49"/>
        <v>16257966.4</v>
      </c>
      <c r="I46" s="381">
        <f t="shared" si="49"/>
        <v>140000</v>
      </c>
      <c r="J46" s="381">
        <f t="shared" si="49"/>
        <v>0</v>
      </c>
      <c r="K46" s="381">
        <f t="shared" si="49"/>
        <v>8022000</v>
      </c>
      <c r="L46" s="381">
        <f t="shared" si="49"/>
        <v>0</v>
      </c>
      <c r="M46" s="381">
        <f t="shared" si="49"/>
        <v>0</v>
      </c>
      <c r="N46" s="381">
        <f t="shared" si="49"/>
        <v>0</v>
      </c>
      <c r="O46" s="381">
        <f t="shared" si="49"/>
        <v>2329000</v>
      </c>
      <c r="P46" s="381">
        <f t="shared" si="49"/>
        <v>0</v>
      </c>
      <c r="Q46" s="381">
        <f t="shared" si="49"/>
        <v>607</v>
      </c>
      <c r="R46" s="381">
        <f t="shared" si="49"/>
        <v>644.20000000000005</v>
      </c>
      <c r="S46" s="381">
        <f t="shared" si="49"/>
        <v>629.9</v>
      </c>
      <c r="T46" s="381">
        <f t="shared" si="49"/>
        <v>624.9</v>
      </c>
      <c r="U46" s="381">
        <f t="shared" si="49"/>
        <v>580062.5</v>
      </c>
      <c r="V46" s="381">
        <f t="shared" si="49"/>
        <v>4614562.5</v>
      </c>
      <c r="W46" s="381">
        <f t="shared" si="49"/>
        <v>3661062.5</v>
      </c>
      <c r="X46" s="381">
        <f t="shared" si="49"/>
        <v>3239562.5</v>
      </c>
      <c r="Y46" s="381">
        <f t="shared" si="49"/>
        <v>1022</v>
      </c>
      <c r="Z46" s="381">
        <f t="shared" si="49"/>
        <v>1468330</v>
      </c>
      <c r="AA46" s="381">
        <f t="shared" si="49"/>
        <v>563</v>
      </c>
      <c r="AB46" s="381">
        <f t="shared" si="49"/>
        <v>2215100</v>
      </c>
      <c r="AC46" s="381">
        <f t="shared" si="49"/>
        <v>806</v>
      </c>
      <c r="AD46" s="381">
        <f t="shared" si="49"/>
        <v>1144800</v>
      </c>
      <c r="AE46" s="381">
        <f t="shared" si="49"/>
        <v>988</v>
      </c>
      <c r="AF46" s="381">
        <f t="shared" si="49"/>
        <v>1909400</v>
      </c>
      <c r="AG46" s="381">
        <f t="shared" si="49"/>
        <v>406</v>
      </c>
      <c r="AH46" s="381">
        <f t="shared" si="49"/>
        <v>987600</v>
      </c>
      <c r="AI46" s="381">
        <f t="shared" si="49"/>
        <v>796</v>
      </c>
      <c r="AJ46" s="381">
        <f t="shared" si="49"/>
        <v>1178100</v>
      </c>
      <c r="AK46" s="381">
        <f t="shared" si="49"/>
        <v>438</v>
      </c>
      <c r="AL46" s="381">
        <f t="shared" si="49"/>
        <v>2897176</v>
      </c>
      <c r="AM46" s="381">
        <f t="shared" si="49"/>
        <v>360</v>
      </c>
      <c r="AN46" s="381">
        <f t="shared" si="49"/>
        <v>2069700</v>
      </c>
      <c r="AO46" s="381">
        <f t="shared" si="49"/>
        <v>429</v>
      </c>
      <c r="AP46" s="381">
        <f t="shared" si="49"/>
        <v>915350</v>
      </c>
      <c r="AQ46" s="381">
        <f t="shared" si="49"/>
        <v>1328</v>
      </c>
      <c r="AR46" s="381">
        <f t="shared" si="49"/>
        <v>2223040</v>
      </c>
      <c r="AS46" s="381">
        <f t="shared" si="49"/>
        <v>828</v>
      </c>
      <c r="AT46" s="381">
        <f t="shared" si="49"/>
        <v>3450382</v>
      </c>
      <c r="AU46" s="381">
        <f t="shared" si="49"/>
        <v>685</v>
      </c>
      <c r="AV46" s="381">
        <f t="shared" si="49"/>
        <v>1351636</v>
      </c>
      <c r="AW46" s="381">
        <f t="shared" si="49"/>
        <v>511</v>
      </c>
      <c r="AX46" s="381">
        <f t="shared" si="49"/>
        <v>1035750</v>
      </c>
      <c r="AY46" s="381">
        <f t="shared" si="49"/>
        <v>447</v>
      </c>
      <c r="AZ46" s="381">
        <f t="shared" si="49"/>
        <v>1609796</v>
      </c>
      <c r="BA46" s="381">
        <f t="shared" si="49"/>
        <v>1205</v>
      </c>
      <c r="BB46" s="381">
        <f t="shared" si="49"/>
        <v>1770338</v>
      </c>
      <c r="BC46" s="381">
        <f t="shared" si="49"/>
        <v>320</v>
      </c>
      <c r="BD46" s="381">
        <f t="shared" si="49"/>
        <v>1027730</v>
      </c>
      <c r="BE46" s="381">
        <f t="shared" si="49"/>
        <v>951</v>
      </c>
      <c r="BF46" s="381">
        <f t="shared" si="49"/>
        <v>1186230</v>
      </c>
      <c r="BG46" s="381">
        <f t="shared" si="49"/>
        <v>0</v>
      </c>
      <c r="BH46" s="381">
        <f t="shared" si="49"/>
        <v>0</v>
      </c>
      <c r="BI46" s="381">
        <f t="shared" ref="BI46:BJ46" si="50">BI37+BI20+BI45</f>
        <v>12083</v>
      </c>
      <c r="BJ46" s="381">
        <f t="shared" si="50"/>
        <v>28440458</v>
      </c>
      <c r="BK46" s="383"/>
      <c r="BM46" s="174">
        <f t="shared" ref="BM46:BU46" si="51">BM45+BM37+BM20</f>
        <v>9135250</v>
      </c>
      <c r="BN46" s="174">
        <f t="shared" si="51"/>
        <v>0</v>
      </c>
      <c r="BO46" s="174">
        <f t="shared" si="51"/>
        <v>1390000</v>
      </c>
      <c r="BP46" s="174">
        <f t="shared" si="51"/>
        <v>0</v>
      </c>
      <c r="BQ46" s="174">
        <f t="shared" si="51"/>
        <v>10525250</v>
      </c>
      <c r="BR46" s="174">
        <f t="shared" si="51"/>
        <v>0</v>
      </c>
      <c r="BS46" s="174">
        <f t="shared" si="51"/>
        <v>0</v>
      </c>
      <c r="BT46" s="174">
        <f t="shared" si="51"/>
        <v>0</v>
      </c>
      <c r="BU46" s="174">
        <f t="shared" si="51"/>
        <v>10525250</v>
      </c>
    </row>
    <row r="49" spans="6:62">
      <c r="F49" s="358">
        <f>F46-BJ46</f>
        <v>0</v>
      </c>
    </row>
    <row r="50" spans="6:62">
      <c r="F50" s="358">
        <f>BF46+BD46+BB46+AZ46+AX46+AV46+AT46+AR46+AP46+AN46+AL46+AJ46+AH46+AF46+AD46+AB46+Z46+BH46</f>
        <v>28440458</v>
      </c>
    </row>
    <row r="51" spans="6:62">
      <c r="BJ51" s="358"/>
    </row>
    <row r="52" spans="6:62">
      <c r="F52" s="358">
        <f>F46-F50</f>
        <v>0</v>
      </c>
      <c r="BJ52" s="358"/>
    </row>
  </sheetData>
  <mergeCells count="37">
    <mergeCell ref="BA7:BB8"/>
    <mergeCell ref="BC7:BD8"/>
    <mergeCell ref="Q7:T8"/>
    <mergeCell ref="U7:X8"/>
    <mergeCell ref="Y7:Z8"/>
    <mergeCell ref="AI7:AJ8"/>
    <mergeCell ref="AK7:AL8"/>
    <mergeCell ref="AM7:AN8"/>
    <mergeCell ref="AO7:AP8"/>
    <mergeCell ref="AS7:AT8"/>
    <mergeCell ref="AQ7:AR8"/>
    <mergeCell ref="AU7:AV8"/>
    <mergeCell ref="AW7:AX8"/>
    <mergeCell ref="AY7:AZ8"/>
    <mergeCell ref="AG7:AH8"/>
    <mergeCell ref="BU8:BU9"/>
    <mergeCell ref="BE7:BF8"/>
    <mergeCell ref="BG7:BH8"/>
    <mergeCell ref="BI7:BJ8"/>
    <mergeCell ref="BK7:BK9"/>
    <mergeCell ref="BM8:BQ8"/>
    <mergeCell ref="BR8:BT8"/>
    <mergeCell ref="B1:P1"/>
    <mergeCell ref="B2:P2"/>
    <mergeCell ref="B3:P3"/>
    <mergeCell ref="AE7:AF8"/>
    <mergeCell ref="B4:P4"/>
    <mergeCell ref="AA7:AB8"/>
    <mergeCell ref="AC7:AD8"/>
    <mergeCell ref="B5:P5"/>
    <mergeCell ref="A7:C7"/>
    <mergeCell ref="D7:F7"/>
    <mergeCell ref="G7:P7"/>
    <mergeCell ref="A8:A9"/>
    <mergeCell ref="B8:B9"/>
    <mergeCell ref="C8:C9"/>
    <mergeCell ref="F8:F9"/>
  </mergeCells>
  <pageMargins left="0.67" right="0" top="0.17" bottom="0.25" header="0.2" footer="0.05"/>
  <pageSetup paperSize="9" scale="2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6">
    <tabColor rgb="FF00B0F0"/>
    <pageSetUpPr fitToPage="1"/>
  </sheetPr>
  <dimension ref="A1:BV90"/>
  <sheetViews>
    <sheetView zoomScale="80" zoomScaleNormal="80" workbookViewId="0">
      <pane xSplit="7" ySplit="9" topLeftCell="BH82" activePane="bottomRight" state="frozen"/>
      <selection activeCell="A4" sqref="A4"/>
      <selection pane="topRight" activeCell="H4" sqref="H4"/>
      <selection pane="bottomLeft" activeCell="A10" sqref="A10"/>
      <selection pane="bottomRight" activeCell="BI96" sqref="BI96"/>
    </sheetView>
  </sheetViews>
  <sheetFormatPr defaultColWidth="15.28515625" defaultRowHeight="15.75"/>
  <cols>
    <col min="1" max="1" width="11.28515625" style="139" customWidth="1"/>
    <col min="2" max="2" width="11.42578125" style="139" customWidth="1"/>
    <col min="3" max="3" width="39.140625" style="139" customWidth="1"/>
    <col min="4" max="4" width="15.28515625" style="139" customWidth="1"/>
    <col min="5" max="5" width="16.28515625" style="140" customWidth="1"/>
    <col min="6" max="6" width="12.28515625" style="139" customWidth="1"/>
    <col min="7" max="7" width="17.140625" style="139" customWidth="1"/>
    <col min="8" max="8" width="15.5703125" style="139" customWidth="1"/>
    <col min="9" max="9" width="20.140625" style="139" customWidth="1"/>
    <col min="10" max="10" width="8" style="139" customWidth="1"/>
    <col min="11" max="11" width="6.42578125" style="139" customWidth="1"/>
    <col min="12" max="12" width="7.28515625" style="139" customWidth="1"/>
    <col min="13" max="13" width="6.28515625" style="139" customWidth="1"/>
    <col min="14" max="14" width="6" style="139" customWidth="1"/>
    <col min="15" max="15" width="7.85546875" style="139" customWidth="1"/>
    <col min="16" max="16" width="7.7109375" style="139" customWidth="1"/>
    <col min="17" max="17" width="9.28515625" style="139" customWidth="1"/>
    <col min="18" max="21" width="6.42578125" style="139" customWidth="1"/>
    <col min="22" max="22" width="15.7109375" style="139" customWidth="1"/>
    <col min="23" max="24" width="15.7109375" style="139" bestFit="1" customWidth="1"/>
    <col min="25" max="25" width="14.5703125" style="139" customWidth="1"/>
    <col min="26" max="60" width="15.28515625" style="139" customWidth="1"/>
    <col min="61" max="61" width="17.28515625" style="139" customWidth="1"/>
    <col min="62" max="62" width="15.28515625" style="139" customWidth="1"/>
    <col min="63" max="63" width="15.42578125" style="139" customWidth="1"/>
    <col min="64" max="64" width="21.42578125" style="139" customWidth="1"/>
    <col min="65" max="65" width="15.28515625" style="139" customWidth="1"/>
    <col min="66" max="66" width="7.5703125" style="139" bestFit="1" customWidth="1"/>
    <col min="67" max="67" width="14.42578125" style="139" customWidth="1"/>
    <col min="68" max="68" width="17.140625" style="139" bestFit="1" customWidth="1"/>
    <col min="69" max="69" width="9.7109375" style="139" customWidth="1"/>
    <col min="70" max="70" width="17.5703125" style="139" bestFit="1" customWidth="1"/>
    <col min="71" max="71" width="16.85546875" style="139" bestFit="1" customWidth="1"/>
    <col min="72" max="72" width="15.42578125" style="139" bestFit="1" customWidth="1"/>
    <col min="73" max="73" width="16.85546875" style="139" bestFit="1" customWidth="1"/>
    <col min="74" max="74" width="16.7109375" style="139" customWidth="1"/>
    <col min="75" max="16384" width="15.28515625" style="139"/>
  </cols>
  <sheetData>
    <row r="1" spans="1:74">
      <c r="Q1" s="139" t="s">
        <v>597</v>
      </c>
    </row>
    <row r="2" spans="1:74">
      <c r="A2" s="995" t="s">
        <v>163</v>
      </c>
      <c r="B2" s="995"/>
      <c r="C2" s="138" t="s">
        <v>157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23"/>
      <c r="S2" s="23"/>
      <c r="T2" s="23"/>
      <c r="U2" s="23"/>
      <c r="V2" s="23"/>
      <c r="W2" s="23"/>
      <c r="X2" s="23"/>
      <c r="Y2" s="23"/>
    </row>
    <row r="3" spans="1:74">
      <c r="A3" s="995" t="s">
        <v>159</v>
      </c>
      <c r="B3" s="995"/>
      <c r="C3" s="138" t="s">
        <v>158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23"/>
      <c r="S3" s="23"/>
      <c r="T3" s="23"/>
      <c r="U3" s="23"/>
      <c r="V3" s="23"/>
      <c r="W3" s="23"/>
      <c r="X3" s="23"/>
      <c r="Y3" s="23"/>
    </row>
    <row r="4" spans="1:74">
      <c r="A4" s="995" t="s">
        <v>160</v>
      </c>
      <c r="B4" s="995"/>
      <c r="C4" s="138" t="s">
        <v>950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23"/>
      <c r="S4" s="23"/>
      <c r="T4" s="23"/>
      <c r="U4" s="23"/>
      <c r="V4" s="23"/>
      <c r="W4" s="23"/>
      <c r="X4" s="23"/>
      <c r="Y4" s="23"/>
    </row>
    <row r="5" spans="1:74">
      <c r="A5" s="138" t="s">
        <v>166</v>
      </c>
      <c r="B5" s="138"/>
      <c r="C5" s="138" t="s">
        <v>164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23"/>
      <c r="S5" s="23"/>
      <c r="T5" s="23"/>
      <c r="U5" s="23"/>
      <c r="V5" s="23"/>
      <c r="W5" s="23"/>
      <c r="X5" s="23"/>
      <c r="Y5" s="23"/>
    </row>
    <row r="6" spans="1:74">
      <c r="A6" s="995" t="s">
        <v>168</v>
      </c>
      <c r="B6" s="995"/>
      <c r="C6" s="464" t="s">
        <v>167</v>
      </c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23"/>
      <c r="S6" s="23"/>
      <c r="T6" s="23"/>
      <c r="U6" s="23"/>
      <c r="V6" s="23"/>
      <c r="W6" s="23"/>
      <c r="X6" s="23"/>
      <c r="Y6" s="23"/>
    </row>
    <row r="7" spans="1:74">
      <c r="A7" s="906"/>
      <c r="B7" s="906"/>
      <c r="C7" s="906"/>
      <c r="D7" s="906"/>
      <c r="E7" s="952" t="s">
        <v>202</v>
      </c>
      <c r="F7" s="953"/>
      <c r="G7" s="954"/>
      <c r="H7" s="908" t="s">
        <v>156</v>
      </c>
      <c r="I7" s="909"/>
      <c r="J7" s="909"/>
      <c r="K7" s="909"/>
      <c r="L7" s="909"/>
      <c r="M7" s="909"/>
      <c r="N7" s="909"/>
      <c r="O7" s="909"/>
      <c r="P7" s="909"/>
      <c r="Q7" s="910"/>
      <c r="R7" s="1003" t="s">
        <v>62</v>
      </c>
      <c r="S7" s="1004"/>
      <c r="T7" s="1004"/>
      <c r="U7" s="1005"/>
      <c r="V7" s="997" t="s">
        <v>6</v>
      </c>
      <c r="W7" s="998"/>
      <c r="X7" s="998"/>
      <c r="Y7" s="999"/>
      <c r="Z7" s="918" t="s">
        <v>184</v>
      </c>
      <c r="AA7" s="918"/>
      <c r="AB7" s="918" t="s">
        <v>185</v>
      </c>
      <c r="AC7" s="918"/>
      <c r="AD7" s="918" t="s">
        <v>186</v>
      </c>
      <c r="AE7" s="918"/>
      <c r="AF7" s="918" t="s">
        <v>187</v>
      </c>
      <c r="AG7" s="918"/>
      <c r="AH7" s="918" t="s">
        <v>188</v>
      </c>
      <c r="AI7" s="918"/>
      <c r="AJ7" s="918" t="s">
        <v>189</v>
      </c>
      <c r="AK7" s="918"/>
      <c r="AL7" s="918" t="s">
        <v>190</v>
      </c>
      <c r="AM7" s="918"/>
      <c r="AN7" s="918" t="s">
        <v>191</v>
      </c>
      <c r="AO7" s="918"/>
      <c r="AP7" s="918" t="s">
        <v>192</v>
      </c>
      <c r="AQ7" s="918"/>
      <c r="AR7" s="918" t="s">
        <v>193</v>
      </c>
      <c r="AS7" s="918"/>
      <c r="AT7" s="918" t="s">
        <v>194</v>
      </c>
      <c r="AU7" s="918"/>
      <c r="AV7" s="918" t="s">
        <v>195</v>
      </c>
      <c r="AW7" s="918"/>
      <c r="AX7" s="918" t="s">
        <v>196</v>
      </c>
      <c r="AY7" s="918"/>
      <c r="AZ7" s="918" t="s">
        <v>197</v>
      </c>
      <c r="BA7" s="918"/>
      <c r="BB7" s="918" t="s">
        <v>198</v>
      </c>
      <c r="BC7" s="918"/>
      <c r="BD7" s="918" t="s">
        <v>199</v>
      </c>
      <c r="BE7" s="918"/>
      <c r="BF7" s="918" t="s">
        <v>200</v>
      </c>
      <c r="BG7" s="918"/>
      <c r="BH7" s="918" t="s">
        <v>201</v>
      </c>
      <c r="BI7" s="918"/>
      <c r="BJ7" s="918" t="s">
        <v>17</v>
      </c>
      <c r="BK7" s="985"/>
      <c r="BL7" s="886" t="s">
        <v>236</v>
      </c>
    </row>
    <row r="8" spans="1:74">
      <c r="A8" s="919" t="s">
        <v>13</v>
      </c>
      <c r="B8" s="224" t="s">
        <v>1</v>
      </c>
      <c r="C8" s="936" t="s">
        <v>12</v>
      </c>
      <c r="D8" s="936" t="s">
        <v>14</v>
      </c>
      <c r="E8" s="955" t="s">
        <v>28</v>
      </c>
      <c r="F8" s="938" t="s">
        <v>26</v>
      </c>
      <c r="G8" s="914" t="s">
        <v>27</v>
      </c>
      <c r="H8" s="155" t="s">
        <v>204</v>
      </c>
      <c r="I8" s="155" t="s">
        <v>205</v>
      </c>
      <c r="J8" s="155" t="s">
        <v>206</v>
      </c>
      <c r="K8" s="155" t="s">
        <v>207</v>
      </c>
      <c r="L8" s="155" t="s">
        <v>208</v>
      </c>
      <c r="M8" s="155" t="s">
        <v>209</v>
      </c>
      <c r="N8" s="155" t="s">
        <v>210</v>
      </c>
      <c r="O8" s="155" t="s">
        <v>211</v>
      </c>
      <c r="P8" s="155" t="s">
        <v>212</v>
      </c>
      <c r="Q8" s="155" t="s">
        <v>213</v>
      </c>
      <c r="R8" s="1006"/>
      <c r="S8" s="1007"/>
      <c r="T8" s="1007"/>
      <c r="U8" s="1008"/>
      <c r="V8" s="1000"/>
      <c r="W8" s="1001"/>
      <c r="X8" s="1001"/>
      <c r="Y8" s="1002"/>
      <c r="Z8" s="918"/>
      <c r="AA8" s="918"/>
      <c r="AB8" s="918" t="s">
        <v>43</v>
      </c>
      <c r="AC8" s="918"/>
      <c r="AD8" s="918" t="s">
        <v>44</v>
      </c>
      <c r="AE8" s="918"/>
      <c r="AF8" s="918" t="s">
        <v>45</v>
      </c>
      <c r="AG8" s="918"/>
      <c r="AH8" s="918" t="s">
        <v>46</v>
      </c>
      <c r="AI8" s="918"/>
      <c r="AJ8" s="918" t="s">
        <v>47</v>
      </c>
      <c r="AK8" s="918"/>
      <c r="AL8" s="918" t="s">
        <v>48</v>
      </c>
      <c r="AM8" s="918"/>
      <c r="AN8" s="918" t="s">
        <v>49</v>
      </c>
      <c r="AO8" s="918"/>
      <c r="AP8" s="918" t="s">
        <v>50</v>
      </c>
      <c r="AQ8" s="918"/>
      <c r="AR8" s="918" t="s">
        <v>51</v>
      </c>
      <c r="AS8" s="918"/>
      <c r="AT8" s="918" t="s">
        <v>52</v>
      </c>
      <c r="AU8" s="918"/>
      <c r="AV8" s="918" t="s">
        <v>53</v>
      </c>
      <c r="AW8" s="918"/>
      <c r="AX8" s="918" t="s">
        <v>54</v>
      </c>
      <c r="AY8" s="918"/>
      <c r="AZ8" s="918" t="s">
        <v>55</v>
      </c>
      <c r="BA8" s="918"/>
      <c r="BB8" s="918" t="s">
        <v>40</v>
      </c>
      <c r="BC8" s="918"/>
      <c r="BD8" s="918" t="s">
        <v>37</v>
      </c>
      <c r="BE8" s="918"/>
      <c r="BF8" s="918"/>
      <c r="BG8" s="918"/>
      <c r="BH8" s="918"/>
      <c r="BI8" s="918"/>
      <c r="BJ8" s="918"/>
      <c r="BK8" s="985"/>
      <c r="BL8" s="886"/>
      <c r="BN8" s="892" t="s">
        <v>234</v>
      </c>
      <c r="BO8" s="892"/>
      <c r="BP8" s="892"/>
      <c r="BQ8" s="892"/>
      <c r="BR8" s="892"/>
      <c r="BS8" s="892" t="s">
        <v>235</v>
      </c>
      <c r="BT8" s="892"/>
      <c r="BU8" s="879"/>
      <c r="BV8" s="886" t="s">
        <v>17</v>
      </c>
    </row>
    <row r="9" spans="1:74" ht="47.25">
      <c r="A9" s="920"/>
      <c r="B9" s="224" t="s">
        <v>2</v>
      </c>
      <c r="C9" s="937"/>
      <c r="D9" s="937"/>
      <c r="E9" s="959"/>
      <c r="F9" s="939"/>
      <c r="G9" s="914"/>
      <c r="H9" s="384"/>
      <c r="I9" s="384"/>
      <c r="J9" s="384">
        <v>0</v>
      </c>
      <c r="K9" s="384">
        <v>0</v>
      </c>
      <c r="L9" s="384">
        <v>0</v>
      </c>
      <c r="M9" s="384">
        <v>0</v>
      </c>
      <c r="N9" s="384">
        <v>0</v>
      </c>
      <c r="O9" s="384">
        <v>0</v>
      </c>
      <c r="P9" s="384">
        <v>0</v>
      </c>
      <c r="Q9" s="384">
        <v>0</v>
      </c>
      <c r="R9" s="224" t="s">
        <v>7</v>
      </c>
      <c r="S9" s="224" t="s">
        <v>8</v>
      </c>
      <c r="T9" s="224" t="s">
        <v>9</v>
      </c>
      <c r="U9" s="224" t="s">
        <v>10</v>
      </c>
      <c r="V9" s="224" t="s">
        <v>7</v>
      </c>
      <c r="W9" s="224" t="s">
        <v>8</v>
      </c>
      <c r="X9" s="224" t="s">
        <v>9</v>
      </c>
      <c r="Y9" s="224" t="s">
        <v>10</v>
      </c>
      <c r="Z9" s="331" t="s">
        <v>14</v>
      </c>
      <c r="AA9" s="363" t="s">
        <v>15</v>
      </c>
      <c r="AB9" s="332" t="s">
        <v>14</v>
      </c>
      <c r="AC9" s="332" t="s">
        <v>15</v>
      </c>
      <c r="AD9" s="332" t="s">
        <v>14</v>
      </c>
      <c r="AE9" s="332" t="s">
        <v>15</v>
      </c>
      <c r="AF9" s="332" t="s">
        <v>14</v>
      </c>
      <c r="AG9" s="332" t="s">
        <v>15</v>
      </c>
      <c r="AH9" s="332" t="s">
        <v>14</v>
      </c>
      <c r="AI9" s="332" t="s">
        <v>15</v>
      </c>
      <c r="AJ9" s="332" t="s">
        <v>14</v>
      </c>
      <c r="AK9" s="332" t="s">
        <v>15</v>
      </c>
      <c r="AL9" s="332" t="s">
        <v>14</v>
      </c>
      <c r="AM9" s="332" t="s">
        <v>15</v>
      </c>
      <c r="AN9" s="332" t="s">
        <v>14</v>
      </c>
      <c r="AO9" s="332" t="s">
        <v>15</v>
      </c>
      <c r="AP9" s="332" t="s">
        <v>14</v>
      </c>
      <c r="AQ9" s="332" t="s">
        <v>15</v>
      </c>
      <c r="AR9" s="332" t="s">
        <v>14</v>
      </c>
      <c r="AS9" s="332" t="s">
        <v>15</v>
      </c>
      <c r="AT9" s="332" t="s">
        <v>14</v>
      </c>
      <c r="AU9" s="332" t="s">
        <v>15</v>
      </c>
      <c r="AV9" s="332" t="s">
        <v>14</v>
      </c>
      <c r="AW9" s="332" t="s">
        <v>15</v>
      </c>
      <c r="AX9" s="332" t="s">
        <v>14</v>
      </c>
      <c r="AY9" s="332" t="s">
        <v>15</v>
      </c>
      <c r="AZ9" s="332" t="s">
        <v>14</v>
      </c>
      <c r="BA9" s="332" t="s">
        <v>15</v>
      </c>
      <c r="BB9" s="332" t="s">
        <v>14</v>
      </c>
      <c r="BC9" s="332" t="s">
        <v>15</v>
      </c>
      <c r="BD9" s="332" t="s">
        <v>14</v>
      </c>
      <c r="BE9" s="332" t="s">
        <v>15</v>
      </c>
      <c r="BF9" s="332" t="s">
        <v>14</v>
      </c>
      <c r="BG9" s="332" t="s">
        <v>15</v>
      </c>
      <c r="BH9" s="332" t="s">
        <v>14</v>
      </c>
      <c r="BI9" s="332" t="s">
        <v>15</v>
      </c>
      <c r="BJ9" s="332" t="s">
        <v>14</v>
      </c>
      <c r="BK9" s="364" t="s">
        <v>15</v>
      </c>
      <c r="BL9" s="886"/>
      <c r="BN9" s="155" t="s">
        <v>225</v>
      </c>
      <c r="BO9" s="156" t="s">
        <v>226</v>
      </c>
      <c r="BP9" s="156" t="s">
        <v>227</v>
      </c>
      <c r="BQ9" s="157" t="s">
        <v>228</v>
      </c>
      <c r="BR9" s="156" t="s">
        <v>229</v>
      </c>
      <c r="BS9" s="156" t="s">
        <v>230</v>
      </c>
      <c r="BT9" s="156" t="s">
        <v>231</v>
      </c>
      <c r="BU9" s="385" t="s">
        <v>232</v>
      </c>
      <c r="BV9" s="886"/>
    </row>
    <row r="10" spans="1:74">
      <c r="A10" s="996"/>
      <c r="B10" s="196"/>
      <c r="C10" s="158" t="s">
        <v>327</v>
      </c>
      <c r="D10" s="159"/>
      <c r="E10" s="159"/>
      <c r="F10" s="145"/>
      <c r="G10" s="367"/>
      <c r="H10" s="367"/>
      <c r="I10" s="367"/>
      <c r="J10" s="367"/>
      <c r="K10" s="367"/>
      <c r="L10" s="367"/>
      <c r="M10" s="367"/>
      <c r="N10" s="367"/>
      <c r="O10" s="386"/>
      <c r="P10" s="386"/>
      <c r="Q10" s="386"/>
      <c r="R10" s="387"/>
      <c r="S10" s="351"/>
      <c r="T10" s="387"/>
      <c r="U10" s="387"/>
      <c r="V10" s="387"/>
      <c r="W10" s="145"/>
      <c r="X10" s="224"/>
      <c r="Y10" s="224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59"/>
      <c r="BN10" s="163"/>
      <c r="BO10" s="163"/>
      <c r="BP10" s="163"/>
      <c r="BQ10" s="163"/>
      <c r="BR10" s="163"/>
      <c r="BS10" s="163"/>
      <c r="BT10" s="163"/>
      <c r="BU10" s="379"/>
      <c r="BV10" s="164">
        <f>BR10+BU10</f>
        <v>0</v>
      </c>
    </row>
    <row r="11" spans="1:74">
      <c r="A11" s="996"/>
      <c r="B11" s="228"/>
      <c r="C11" s="158" t="s">
        <v>383</v>
      </c>
      <c r="D11" s="159"/>
      <c r="E11" s="159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59"/>
      <c r="BN11" s="163"/>
      <c r="BO11" s="163"/>
      <c r="BP11" s="163"/>
      <c r="BQ11" s="163"/>
      <c r="BR11" s="163"/>
      <c r="BS11" s="163"/>
      <c r="BT11" s="163"/>
      <c r="BU11" s="379"/>
      <c r="BV11" s="164">
        <f t="shared" ref="BV11:BV78" si="0">BR11+BU11</f>
        <v>0</v>
      </c>
    </row>
    <row r="12" spans="1:74">
      <c r="A12" s="996"/>
      <c r="B12" s="196" t="s">
        <v>616</v>
      </c>
      <c r="C12" s="166" t="s">
        <v>321</v>
      </c>
      <c r="D12" s="159" t="s">
        <v>65</v>
      </c>
      <c r="E12" s="135">
        <v>250000</v>
      </c>
      <c r="F12" s="145">
        <f>BJ12</f>
        <v>12</v>
      </c>
      <c r="G12" s="388">
        <f>F12*E12</f>
        <v>3000000</v>
      </c>
      <c r="H12" s="388">
        <f>G12*0.5</f>
        <v>1500000</v>
      </c>
      <c r="I12" s="388">
        <f>G12*0.5</f>
        <v>1500000</v>
      </c>
      <c r="J12" s="388"/>
      <c r="K12" s="388"/>
      <c r="L12" s="388"/>
      <c r="M12" s="388"/>
      <c r="N12" s="388"/>
      <c r="O12" s="161"/>
      <c r="P12" s="161"/>
      <c r="Q12" s="161"/>
      <c r="R12" s="145">
        <f>F12*0.25</f>
        <v>3</v>
      </c>
      <c r="S12" s="145">
        <f>F12*0.25</f>
        <v>3</v>
      </c>
      <c r="T12" s="145">
        <f>F12*0.25</f>
        <v>3</v>
      </c>
      <c r="U12" s="145">
        <f>F12*0.25</f>
        <v>3</v>
      </c>
      <c r="V12" s="164">
        <f>R12*E12</f>
        <v>750000</v>
      </c>
      <c r="W12" s="164">
        <f>S12*E12</f>
        <v>750000</v>
      </c>
      <c r="X12" s="164">
        <f>T12*E12</f>
        <v>750000</v>
      </c>
      <c r="Y12" s="164">
        <f>U12*E12</f>
        <v>750000</v>
      </c>
      <c r="Z12" s="145"/>
      <c r="AA12" s="164"/>
      <c r="AB12" s="145"/>
      <c r="AC12" s="164"/>
      <c r="AD12" s="145"/>
      <c r="AE12" s="164"/>
      <c r="AF12" s="145"/>
      <c r="AG12" s="164"/>
      <c r="AH12" s="145"/>
      <c r="AI12" s="164"/>
      <c r="AJ12" s="145"/>
      <c r="AK12" s="164"/>
      <c r="AL12" s="145"/>
      <c r="AM12" s="164"/>
      <c r="AN12" s="145"/>
      <c r="AO12" s="164"/>
      <c r="AP12" s="145"/>
      <c r="AQ12" s="164"/>
      <c r="AR12" s="145"/>
      <c r="AS12" s="164"/>
      <c r="AT12" s="145"/>
      <c r="AU12" s="164"/>
      <c r="AV12" s="145"/>
      <c r="AW12" s="164"/>
      <c r="AX12" s="145"/>
      <c r="AY12" s="164"/>
      <c r="AZ12" s="145"/>
      <c r="BA12" s="164"/>
      <c r="BB12" s="145"/>
      <c r="BC12" s="164"/>
      <c r="BD12" s="145"/>
      <c r="BE12" s="164"/>
      <c r="BF12" s="145"/>
      <c r="BG12" s="164"/>
      <c r="BH12" s="145">
        <v>12</v>
      </c>
      <c r="BI12" s="164">
        <f>BH12*E12</f>
        <v>3000000</v>
      </c>
      <c r="BJ12" s="145">
        <f t="shared" ref="BJ12:BJ24" si="1">BH12</f>
        <v>12</v>
      </c>
      <c r="BK12" s="145">
        <f t="shared" ref="BK12:BK24" si="2">BI12</f>
        <v>3000000</v>
      </c>
      <c r="BL12" s="159" t="s">
        <v>218</v>
      </c>
      <c r="BN12" s="163"/>
      <c r="BO12" s="163"/>
      <c r="BP12" s="163"/>
      <c r="BQ12" s="163"/>
      <c r="BR12" s="163">
        <f>BN12+BO12+BP12+BQ12</f>
        <v>0</v>
      </c>
      <c r="BS12" s="163"/>
      <c r="BT12" s="163">
        <f>BK12</f>
        <v>3000000</v>
      </c>
      <c r="BU12" s="379">
        <f>BS12+BT12</f>
        <v>3000000</v>
      </c>
      <c r="BV12" s="164">
        <f t="shared" si="0"/>
        <v>3000000</v>
      </c>
    </row>
    <row r="13" spans="1:74">
      <c r="A13" s="996"/>
      <c r="B13" s="196" t="s">
        <v>617</v>
      </c>
      <c r="C13" s="166" t="s">
        <v>322</v>
      </c>
      <c r="D13" s="159" t="s">
        <v>104</v>
      </c>
      <c r="E13" s="135" t="s">
        <v>351</v>
      </c>
      <c r="F13" s="145">
        <f t="shared" ref="F13:F24" si="3">BJ13</f>
        <v>4</v>
      </c>
      <c r="G13" s="388">
        <f t="shared" ref="G13:G24" si="4">F13*E13</f>
        <v>200000</v>
      </c>
      <c r="H13" s="388">
        <f t="shared" ref="H13:H23" si="5">G13*0.2</f>
        <v>40000</v>
      </c>
      <c r="I13" s="388">
        <f t="shared" ref="I13:I23" si="6">G13*0.8</f>
        <v>160000</v>
      </c>
      <c r="J13" s="388"/>
      <c r="K13" s="388"/>
      <c r="L13" s="388"/>
      <c r="M13" s="388"/>
      <c r="N13" s="388"/>
      <c r="O13" s="161"/>
      <c r="P13" s="161"/>
      <c r="Q13" s="161"/>
      <c r="R13" s="145"/>
      <c r="S13" s="145">
        <f>F13</f>
        <v>4</v>
      </c>
      <c r="T13" s="145"/>
      <c r="U13" s="145"/>
      <c r="V13" s="164">
        <f t="shared" ref="V13:V24" si="7">R13*E13</f>
        <v>0</v>
      </c>
      <c r="W13" s="164">
        <f t="shared" ref="W13:W24" si="8">S13*E13</f>
        <v>200000</v>
      </c>
      <c r="X13" s="164">
        <f t="shared" ref="X13:X24" si="9">T13*E13</f>
        <v>0</v>
      </c>
      <c r="Y13" s="164">
        <f t="shared" ref="Y13:Y24" si="10">U13*E13</f>
        <v>0</v>
      </c>
      <c r="Z13" s="145"/>
      <c r="AA13" s="164"/>
      <c r="AB13" s="145"/>
      <c r="AC13" s="164"/>
      <c r="AD13" s="145"/>
      <c r="AE13" s="164"/>
      <c r="AF13" s="145"/>
      <c r="AG13" s="164"/>
      <c r="AH13" s="145"/>
      <c r="AI13" s="164"/>
      <c r="AJ13" s="145"/>
      <c r="AK13" s="164"/>
      <c r="AL13" s="145"/>
      <c r="AM13" s="164"/>
      <c r="AN13" s="145"/>
      <c r="AO13" s="164"/>
      <c r="AP13" s="145"/>
      <c r="AQ13" s="164"/>
      <c r="AR13" s="145"/>
      <c r="AS13" s="164"/>
      <c r="AT13" s="145"/>
      <c r="AU13" s="164"/>
      <c r="AV13" s="145"/>
      <c r="AW13" s="164"/>
      <c r="AX13" s="145"/>
      <c r="AY13" s="164"/>
      <c r="AZ13" s="145"/>
      <c r="BA13" s="164"/>
      <c r="BB13" s="145"/>
      <c r="BC13" s="164"/>
      <c r="BD13" s="145"/>
      <c r="BE13" s="164"/>
      <c r="BF13" s="145"/>
      <c r="BG13" s="164"/>
      <c r="BH13" s="145">
        <v>4</v>
      </c>
      <c r="BI13" s="164">
        <f t="shared" ref="BI13:BI78" si="11">BH13*E13</f>
        <v>200000</v>
      </c>
      <c r="BJ13" s="145">
        <f t="shared" si="1"/>
        <v>4</v>
      </c>
      <c r="BK13" s="145">
        <f t="shared" si="2"/>
        <v>200000</v>
      </c>
      <c r="BL13" s="159" t="s">
        <v>216</v>
      </c>
      <c r="BN13" s="163"/>
      <c r="BO13" s="163"/>
      <c r="BP13" s="163">
        <f>BK13</f>
        <v>200000</v>
      </c>
      <c r="BQ13" s="163"/>
      <c r="BR13" s="163">
        <f t="shared" ref="BR13:BR24" si="12">BN13+BO13+BP13+BQ13</f>
        <v>200000</v>
      </c>
      <c r="BS13" s="163"/>
      <c r="BT13" s="163"/>
      <c r="BU13" s="379">
        <f t="shared" ref="BU13:BU24" si="13">BS13+BT13</f>
        <v>0</v>
      </c>
      <c r="BV13" s="164">
        <f t="shared" si="0"/>
        <v>200000</v>
      </c>
    </row>
    <row r="14" spans="1:74">
      <c r="A14" s="996"/>
      <c r="B14" s="196" t="s">
        <v>617</v>
      </c>
      <c r="C14" s="166" t="s">
        <v>323</v>
      </c>
      <c r="D14" s="159" t="s">
        <v>104</v>
      </c>
      <c r="E14" s="135" t="s">
        <v>353</v>
      </c>
      <c r="F14" s="145">
        <f t="shared" si="3"/>
        <v>5</v>
      </c>
      <c r="G14" s="388">
        <f t="shared" si="4"/>
        <v>200000</v>
      </c>
      <c r="H14" s="388">
        <f t="shared" si="5"/>
        <v>40000</v>
      </c>
      <c r="I14" s="388">
        <f t="shared" si="6"/>
        <v>160000</v>
      </c>
      <c r="J14" s="388"/>
      <c r="K14" s="388"/>
      <c r="L14" s="388"/>
      <c r="M14" s="388"/>
      <c r="N14" s="388"/>
      <c r="O14" s="161"/>
      <c r="P14" s="161"/>
      <c r="Q14" s="161"/>
      <c r="R14" s="145"/>
      <c r="S14" s="145">
        <f>F14</f>
        <v>5</v>
      </c>
      <c r="T14" s="145"/>
      <c r="U14" s="145"/>
      <c r="V14" s="164">
        <f t="shared" si="7"/>
        <v>0</v>
      </c>
      <c r="W14" s="164">
        <f t="shared" si="8"/>
        <v>200000</v>
      </c>
      <c r="X14" s="164">
        <f t="shared" si="9"/>
        <v>0</v>
      </c>
      <c r="Y14" s="164">
        <f t="shared" si="10"/>
        <v>0</v>
      </c>
      <c r="Z14" s="145"/>
      <c r="AA14" s="164"/>
      <c r="AB14" s="145"/>
      <c r="AC14" s="164"/>
      <c r="AD14" s="145"/>
      <c r="AE14" s="164"/>
      <c r="AF14" s="145"/>
      <c r="AG14" s="164"/>
      <c r="AH14" s="145"/>
      <c r="AI14" s="164"/>
      <c r="AJ14" s="145"/>
      <c r="AK14" s="164"/>
      <c r="AL14" s="145"/>
      <c r="AM14" s="164"/>
      <c r="AN14" s="145"/>
      <c r="AO14" s="164"/>
      <c r="AP14" s="145"/>
      <c r="AQ14" s="164"/>
      <c r="AR14" s="145"/>
      <c r="AS14" s="164"/>
      <c r="AT14" s="145"/>
      <c r="AU14" s="164"/>
      <c r="AV14" s="145"/>
      <c r="AW14" s="164"/>
      <c r="AX14" s="145"/>
      <c r="AY14" s="164"/>
      <c r="AZ14" s="145"/>
      <c r="BA14" s="164"/>
      <c r="BB14" s="145"/>
      <c r="BC14" s="164"/>
      <c r="BD14" s="145"/>
      <c r="BE14" s="164"/>
      <c r="BF14" s="145"/>
      <c r="BG14" s="164"/>
      <c r="BH14" s="145">
        <v>5</v>
      </c>
      <c r="BI14" s="164">
        <f t="shared" si="11"/>
        <v>200000</v>
      </c>
      <c r="BJ14" s="145">
        <f t="shared" si="1"/>
        <v>5</v>
      </c>
      <c r="BK14" s="145">
        <f t="shared" si="2"/>
        <v>200000</v>
      </c>
      <c r="BL14" s="159" t="s">
        <v>216</v>
      </c>
      <c r="BN14" s="163"/>
      <c r="BO14" s="163"/>
      <c r="BP14" s="163">
        <f t="shared" ref="BP14:BP24" si="14">BK14</f>
        <v>200000</v>
      </c>
      <c r="BQ14" s="163"/>
      <c r="BR14" s="163">
        <f t="shared" si="12"/>
        <v>200000</v>
      </c>
      <c r="BS14" s="163"/>
      <c r="BT14" s="163"/>
      <c r="BU14" s="379">
        <f t="shared" si="13"/>
        <v>0</v>
      </c>
      <c r="BV14" s="164">
        <f t="shared" si="0"/>
        <v>200000</v>
      </c>
    </row>
    <row r="15" spans="1:74">
      <c r="A15" s="996"/>
      <c r="B15" s="196" t="s">
        <v>617</v>
      </c>
      <c r="C15" s="166" t="s">
        <v>324</v>
      </c>
      <c r="D15" s="159" t="s">
        <v>104</v>
      </c>
      <c r="E15" s="135">
        <v>40000</v>
      </c>
      <c r="F15" s="145">
        <f t="shared" si="3"/>
        <v>5</v>
      </c>
      <c r="G15" s="388">
        <f t="shared" si="4"/>
        <v>200000</v>
      </c>
      <c r="H15" s="388">
        <f t="shared" si="5"/>
        <v>40000</v>
      </c>
      <c r="I15" s="388">
        <f t="shared" si="6"/>
        <v>160000</v>
      </c>
      <c r="J15" s="388"/>
      <c r="K15" s="388"/>
      <c r="L15" s="388"/>
      <c r="M15" s="388"/>
      <c r="N15" s="388"/>
      <c r="O15" s="161"/>
      <c r="P15" s="161"/>
      <c r="Q15" s="161"/>
      <c r="R15" s="145"/>
      <c r="S15" s="145">
        <f t="shared" ref="S15:S24" si="15">F15</f>
        <v>5</v>
      </c>
      <c r="T15" s="145"/>
      <c r="U15" s="145"/>
      <c r="V15" s="164">
        <f t="shared" si="7"/>
        <v>0</v>
      </c>
      <c r="W15" s="164">
        <f t="shared" si="8"/>
        <v>200000</v>
      </c>
      <c r="X15" s="164">
        <f t="shared" si="9"/>
        <v>0</v>
      </c>
      <c r="Y15" s="164">
        <f t="shared" si="10"/>
        <v>0</v>
      </c>
      <c r="Z15" s="145"/>
      <c r="AA15" s="164"/>
      <c r="AB15" s="145"/>
      <c r="AC15" s="164"/>
      <c r="AD15" s="145"/>
      <c r="AE15" s="164"/>
      <c r="AF15" s="145"/>
      <c r="AG15" s="164"/>
      <c r="AH15" s="145"/>
      <c r="AI15" s="164"/>
      <c r="AJ15" s="145"/>
      <c r="AK15" s="164"/>
      <c r="AL15" s="145"/>
      <c r="AM15" s="164"/>
      <c r="AN15" s="145"/>
      <c r="AO15" s="164"/>
      <c r="AP15" s="145"/>
      <c r="AQ15" s="164"/>
      <c r="AR15" s="145"/>
      <c r="AS15" s="164"/>
      <c r="AT15" s="145"/>
      <c r="AU15" s="164"/>
      <c r="AV15" s="145"/>
      <c r="AW15" s="164"/>
      <c r="AX15" s="145"/>
      <c r="AY15" s="164"/>
      <c r="AZ15" s="145"/>
      <c r="BA15" s="164"/>
      <c r="BB15" s="145"/>
      <c r="BC15" s="164"/>
      <c r="BD15" s="145"/>
      <c r="BE15" s="164"/>
      <c r="BF15" s="145"/>
      <c r="BG15" s="164"/>
      <c r="BH15" s="145">
        <v>5</v>
      </c>
      <c r="BI15" s="164">
        <f t="shared" si="11"/>
        <v>200000</v>
      </c>
      <c r="BJ15" s="145">
        <f t="shared" si="1"/>
        <v>5</v>
      </c>
      <c r="BK15" s="145">
        <f t="shared" si="2"/>
        <v>200000</v>
      </c>
      <c r="BL15" s="159" t="s">
        <v>216</v>
      </c>
      <c r="BN15" s="163"/>
      <c r="BO15" s="163"/>
      <c r="BP15" s="163">
        <f t="shared" si="14"/>
        <v>200000</v>
      </c>
      <c r="BQ15" s="163"/>
      <c r="BR15" s="163">
        <f t="shared" si="12"/>
        <v>200000</v>
      </c>
      <c r="BS15" s="163"/>
      <c r="BT15" s="163"/>
      <c r="BU15" s="379">
        <f t="shared" si="13"/>
        <v>0</v>
      </c>
      <c r="BV15" s="164">
        <f t="shared" si="0"/>
        <v>200000</v>
      </c>
    </row>
    <row r="16" spans="1:74">
      <c r="A16" s="996"/>
      <c r="B16" s="196"/>
      <c r="C16" s="166" t="s">
        <v>741</v>
      </c>
      <c r="D16" s="159" t="s">
        <v>104</v>
      </c>
      <c r="E16" s="135">
        <v>250000</v>
      </c>
      <c r="F16" s="145">
        <f t="shared" si="3"/>
        <v>1</v>
      </c>
      <c r="G16" s="388">
        <f t="shared" si="4"/>
        <v>250000</v>
      </c>
      <c r="H16" s="388">
        <f t="shared" si="5"/>
        <v>50000</v>
      </c>
      <c r="I16" s="388">
        <f t="shared" si="6"/>
        <v>200000</v>
      </c>
      <c r="J16" s="388"/>
      <c r="K16" s="388"/>
      <c r="L16" s="388"/>
      <c r="M16" s="388"/>
      <c r="N16" s="388"/>
      <c r="O16" s="161"/>
      <c r="P16" s="161"/>
      <c r="Q16" s="161"/>
      <c r="R16" s="145"/>
      <c r="S16" s="145"/>
      <c r="T16" s="145"/>
      <c r="U16" s="145"/>
      <c r="V16" s="164">
        <f t="shared" si="7"/>
        <v>0</v>
      </c>
      <c r="W16" s="164"/>
      <c r="X16" s="164">
        <f t="shared" si="9"/>
        <v>0</v>
      </c>
      <c r="Y16" s="164">
        <f t="shared" si="10"/>
        <v>0</v>
      </c>
      <c r="Z16" s="145"/>
      <c r="AA16" s="164"/>
      <c r="AB16" s="145"/>
      <c r="AC16" s="164"/>
      <c r="AD16" s="145"/>
      <c r="AE16" s="164"/>
      <c r="AF16" s="145"/>
      <c r="AG16" s="164"/>
      <c r="AH16" s="145"/>
      <c r="AI16" s="164"/>
      <c r="AJ16" s="145"/>
      <c r="AK16" s="164"/>
      <c r="AL16" s="145"/>
      <c r="AM16" s="164"/>
      <c r="AN16" s="145"/>
      <c r="AO16" s="164"/>
      <c r="AP16" s="145"/>
      <c r="AQ16" s="164"/>
      <c r="AR16" s="145"/>
      <c r="AS16" s="164"/>
      <c r="AT16" s="145"/>
      <c r="AU16" s="164"/>
      <c r="AV16" s="145"/>
      <c r="AW16" s="164"/>
      <c r="AX16" s="145"/>
      <c r="AY16" s="164"/>
      <c r="AZ16" s="145"/>
      <c r="BA16" s="164"/>
      <c r="BB16" s="145"/>
      <c r="BC16" s="164"/>
      <c r="BD16" s="145"/>
      <c r="BE16" s="164"/>
      <c r="BF16" s="145"/>
      <c r="BG16" s="164"/>
      <c r="BH16" s="145">
        <v>1</v>
      </c>
      <c r="BI16" s="164">
        <f t="shared" si="11"/>
        <v>250000</v>
      </c>
      <c r="BJ16" s="145">
        <f t="shared" si="1"/>
        <v>1</v>
      </c>
      <c r="BK16" s="145">
        <f t="shared" si="2"/>
        <v>250000</v>
      </c>
      <c r="BL16" s="159"/>
      <c r="BN16" s="163"/>
      <c r="BO16" s="163"/>
      <c r="BP16" s="163"/>
      <c r="BQ16" s="163"/>
      <c r="BR16" s="163"/>
      <c r="BS16" s="163"/>
      <c r="BT16" s="163"/>
      <c r="BU16" s="379"/>
      <c r="BV16" s="164"/>
    </row>
    <row r="17" spans="1:74">
      <c r="A17" s="996"/>
      <c r="B17" s="196" t="s">
        <v>617</v>
      </c>
      <c r="C17" s="166" t="s">
        <v>325</v>
      </c>
      <c r="D17" s="159" t="s">
        <v>104</v>
      </c>
      <c r="E17" s="135" t="s">
        <v>358</v>
      </c>
      <c r="F17" s="145">
        <f t="shared" si="3"/>
        <v>18</v>
      </c>
      <c r="G17" s="388">
        <f t="shared" si="4"/>
        <v>1080000</v>
      </c>
      <c r="H17" s="388">
        <f t="shared" si="5"/>
        <v>216000</v>
      </c>
      <c r="I17" s="388">
        <f t="shared" si="6"/>
        <v>864000</v>
      </c>
      <c r="J17" s="388"/>
      <c r="K17" s="388"/>
      <c r="L17" s="388"/>
      <c r="M17" s="388"/>
      <c r="N17" s="388"/>
      <c r="O17" s="161"/>
      <c r="P17" s="161"/>
      <c r="Q17" s="161"/>
      <c r="R17" s="145"/>
      <c r="S17" s="145">
        <f t="shared" si="15"/>
        <v>18</v>
      </c>
      <c r="T17" s="145"/>
      <c r="U17" s="145"/>
      <c r="V17" s="164">
        <f t="shared" si="7"/>
        <v>0</v>
      </c>
      <c r="W17" s="164">
        <f t="shared" si="8"/>
        <v>1080000</v>
      </c>
      <c r="X17" s="164">
        <f t="shared" si="9"/>
        <v>0</v>
      </c>
      <c r="Y17" s="164">
        <f t="shared" si="10"/>
        <v>0</v>
      </c>
      <c r="Z17" s="145"/>
      <c r="AA17" s="164"/>
      <c r="AB17" s="145"/>
      <c r="AC17" s="164"/>
      <c r="AD17" s="145"/>
      <c r="AE17" s="164"/>
      <c r="AF17" s="145"/>
      <c r="AG17" s="164"/>
      <c r="AH17" s="145"/>
      <c r="AI17" s="164"/>
      <c r="AJ17" s="145"/>
      <c r="AK17" s="164"/>
      <c r="AL17" s="145"/>
      <c r="AM17" s="164"/>
      <c r="AN17" s="145"/>
      <c r="AO17" s="164"/>
      <c r="AP17" s="145"/>
      <c r="AQ17" s="164"/>
      <c r="AR17" s="145"/>
      <c r="AS17" s="164"/>
      <c r="AT17" s="145"/>
      <c r="AU17" s="164"/>
      <c r="AV17" s="145"/>
      <c r="AW17" s="164"/>
      <c r="AX17" s="145"/>
      <c r="AY17" s="164"/>
      <c r="AZ17" s="145"/>
      <c r="BA17" s="164"/>
      <c r="BB17" s="145"/>
      <c r="BC17" s="164"/>
      <c r="BD17" s="145"/>
      <c r="BE17" s="164"/>
      <c r="BF17" s="145"/>
      <c r="BG17" s="164"/>
      <c r="BH17" s="145">
        <v>18</v>
      </c>
      <c r="BI17" s="164">
        <f t="shared" si="11"/>
        <v>1080000</v>
      </c>
      <c r="BJ17" s="145">
        <f t="shared" si="1"/>
        <v>18</v>
      </c>
      <c r="BK17" s="145">
        <f t="shared" si="2"/>
        <v>1080000</v>
      </c>
      <c r="BL17" s="159" t="s">
        <v>216</v>
      </c>
      <c r="BN17" s="163"/>
      <c r="BO17" s="163"/>
      <c r="BP17" s="163">
        <f t="shared" si="14"/>
        <v>1080000</v>
      </c>
      <c r="BQ17" s="163"/>
      <c r="BR17" s="163">
        <f t="shared" si="12"/>
        <v>1080000</v>
      </c>
      <c r="BS17" s="163"/>
      <c r="BT17" s="163"/>
      <c r="BU17" s="379">
        <f t="shared" si="13"/>
        <v>0</v>
      </c>
      <c r="BV17" s="164">
        <f t="shared" si="0"/>
        <v>1080000</v>
      </c>
    </row>
    <row r="18" spans="1:74">
      <c r="A18" s="996"/>
      <c r="B18" s="196" t="s">
        <v>617</v>
      </c>
      <c r="C18" s="166" t="s">
        <v>109</v>
      </c>
      <c r="D18" s="159" t="s">
        <v>104</v>
      </c>
      <c r="E18" s="216">
        <v>50000</v>
      </c>
      <c r="F18" s="145">
        <f t="shared" si="3"/>
        <v>6</v>
      </c>
      <c r="G18" s="388">
        <f t="shared" si="4"/>
        <v>300000</v>
      </c>
      <c r="H18" s="388">
        <f t="shared" si="5"/>
        <v>60000</v>
      </c>
      <c r="I18" s="388">
        <f t="shared" si="6"/>
        <v>240000</v>
      </c>
      <c r="J18" s="389"/>
      <c r="K18" s="389"/>
      <c r="L18" s="389"/>
      <c r="M18" s="389"/>
      <c r="N18" s="389"/>
      <c r="O18" s="389"/>
      <c r="P18" s="389"/>
      <c r="Q18" s="389"/>
      <c r="R18" s="196"/>
      <c r="S18" s="145">
        <f t="shared" si="15"/>
        <v>6</v>
      </c>
      <c r="T18" s="196"/>
      <c r="U18" s="196"/>
      <c r="V18" s="164">
        <f t="shared" si="7"/>
        <v>0</v>
      </c>
      <c r="W18" s="164">
        <f t="shared" si="8"/>
        <v>300000</v>
      </c>
      <c r="X18" s="164">
        <f t="shared" si="9"/>
        <v>0</v>
      </c>
      <c r="Y18" s="164">
        <f t="shared" si="10"/>
        <v>0</v>
      </c>
      <c r="Z18" s="196"/>
      <c r="AA18" s="389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>
        <v>6</v>
      </c>
      <c r="BI18" s="164">
        <f t="shared" si="11"/>
        <v>300000</v>
      </c>
      <c r="BJ18" s="145">
        <f t="shared" si="1"/>
        <v>6</v>
      </c>
      <c r="BK18" s="145">
        <f t="shared" si="2"/>
        <v>300000</v>
      </c>
      <c r="BL18" s="159" t="s">
        <v>216</v>
      </c>
      <c r="BN18" s="390"/>
      <c r="BO18" s="390"/>
      <c r="BP18" s="163">
        <f t="shared" si="14"/>
        <v>300000</v>
      </c>
      <c r="BQ18" s="390"/>
      <c r="BR18" s="163">
        <f t="shared" si="12"/>
        <v>300000</v>
      </c>
      <c r="BS18" s="390"/>
      <c r="BT18" s="390"/>
      <c r="BU18" s="379">
        <f t="shared" si="13"/>
        <v>0</v>
      </c>
      <c r="BV18" s="164">
        <f t="shared" si="0"/>
        <v>300000</v>
      </c>
    </row>
    <row r="19" spans="1:74">
      <c r="A19" s="996"/>
      <c r="B19" s="196" t="s">
        <v>617</v>
      </c>
      <c r="C19" s="166" t="s">
        <v>326</v>
      </c>
      <c r="D19" s="159" t="s">
        <v>104</v>
      </c>
      <c r="E19" s="216">
        <v>40000</v>
      </c>
      <c r="F19" s="145">
        <f t="shared" si="3"/>
        <v>10</v>
      </c>
      <c r="G19" s="388">
        <f t="shared" si="4"/>
        <v>400000</v>
      </c>
      <c r="H19" s="388">
        <f t="shared" si="5"/>
        <v>80000</v>
      </c>
      <c r="I19" s="388">
        <f t="shared" si="6"/>
        <v>320000</v>
      </c>
      <c r="J19" s="145"/>
      <c r="K19" s="145"/>
      <c r="L19" s="145"/>
      <c r="M19" s="145"/>
      <c r="N19" s="145"/>
      <c r="O19" s="145"/>
      <c r="P19" s="145"/>
      <c r="Q19" s="145"/>
      <c r="R19" s="145"/>
      <c r="S19" s="145">
        <f t="shared" si="15"/>
        <v>10</v>
      </c>
      <c r="T19" s="145"/>
      <c r="U19" s="145"/>
      <c r="V19" s="164">
        <f t="shared" si="7"/>
        <v>0</v>
      </c>
      <c r="W19" s="164">
        <f t="shared" si="8"/>
        <v>400000</v>
      </c>
      <c r="X19" s="164">
        <f t="shared" si="9"/>
        <v>0</v>
      </c>
      <c r="Y19" s="164">
        <f t="shared" si="10"/>
        <v>0</v>
      </c>
      <c r="Z19" s="145"/>
      <c r="AA19" s="145"/>
      <c r="AB19" s="145"/>
      <c r="AC19" s="164"/>
      <c r="AD19" s="145"/>
      <c r="AE19" s="164"/>
      <c r="AF19" s="145"/>
      <c r="AG19" s="164"/>
      <c r="AH19" s="145"/>
      <c r="AI19" s="164"/>
      <c r="AJ19" s="145"/>
      <c r="AK19" s="164"/>
      <c r="AL19" s="145"/>
      <c r="AM19" s="164"/>
      <c r="AN19" s="145"/>
      <c r="AO19" s="164"/>
      <c r="AP19" s="145"/>
      <c r="AQ19" s="164"/>
      <c r="AR19" s="145"/>
      <c r="AS19" s="164"/>
      <c r="AT19" s="145"/>
      <c r="AU19" s="164"/>
      <c r="AV19" s="145"/>
      <c r="AW19" s="164"/>
      <c r="AX19" s="145"/>
      <c r="AY19" s="164"/>
      <c r="AZ19" s="145"/>
      <c r="BA19" s="164"/>
      <c r="BB19" s="145"/>
      <c r="BC19" s="164"/>
      <c r="BD19" s="145"/>
      <c r="BE19" s="164"/>
      <c r="BF19" s="145"/>
      <c r="BG19" s="164"/>
      <c r="BH19" s="145">
        <v>10</v>
      </c>
      <c r="BI19" s="164">
        <f t="shared" si="11"/>
        <v>400000</v>
      </c>
      <c r="BJ19" s="145">
        <f t="shared" si="1"/>
        <v>10</v>
      </c>
      <c r="BK19" s="145">
        <f t="shared" si="2"/>
        <v>400000</v>
      </c>
      <c r="BL19" s="159" t="s">
        <v>216</v>
      </c>
      <c r="BN19" s="163"/>
      <c r="BO19" s="163"/>
      <c r="BP19" s="163">
        <f t="shared" si="14"/>
        <v>400000</v>
      </c>
      <c r="BQ19" s="163"/>
      <c r="BR19" s="163">
        <f t="shared" si="12"/>
        <v>400000</v>
      </c>
      <c r="BS19" s="163"/>
      <c r="BT19" s="163"/>
      <c r="BU19" s="379">
        <f t="shared" si="13"/>
        <v>0</v>
      </c>
      <c r="BV19" s="164">
        <f t="shared" si="0"/>
        <v>400000</v>
      </c>
    </row>
    <row r="20" spans="1:74">
      <c r="A20" s="996"/>
      <c r="B20" s="196" t="s">
        <v>617</v>
      </c>
      <c r="C20" s="166" t="s">
        <v>606</v>
      </c>
      <c r="D20" s="159" t="s">
        <v>104</v>
      </c>
      <c r="E20" s="216">
        <v>400000</v>
      </c>
      <c r="F20" s="145">
        <f t="shared" si="3"/>
        <v>2</v>
      </c>
      <c r="G20" s="388">
        <f t="shared" si="4"/>
        <v>800000</v>
      </c>
      <c r="H20" s="388">
        <f t="shared" si="5"/>
        <v>160000</v>
      </c>
      <c r="I20" s="388">
        <f t="shared" si="6"/>
        <v>640000</v>
      </c>
      <c r="J20" s="388"/>
      <c r="K20" s="388"/>
      <c r="L20" s="388"/>
      <c r="M20" s="388"/>
      <c r="N20" s="388"/>
      <c r="O20" s="161"/>
      <c r="P20" s="161"/>
      <c r="Q20" s="161"/>
      <c r="R20" s="145"/>
      <c r="S20" s="145">
        <f t="shared" si="15"/>
        <v>2</v>
      </c>
      <c r="T20" s="145"/>
      <c r="U20" s="145"/>
      <c r="V20" s="164">
        <f t="shared" si="7"/>
        <v>0</v>
      </c>
      <c r="W20" s="164">
        <f t="shared" si="8"/>
        <v>800000</v>
      </c>
      <c r="X20" s="164">
        <f t="shared" si="9"/>
        <v>0</v>
      </c>
      <c r="Y20" s="164">
        <f t="shared" si="10"/>
        <v>0</v>
      </c>
      <c r="Z20" s="145"/>
      <c r="AA20" s="164"/>
      <c r="AB20" s="145"/>
      <c r="AC20" s="164"/>
      <c r="AD20" s="145"/>
      <c r="AE20" s="164"/>
      <c r="AF20" s="145"/>
      <c r="AG20" s="164"/>
      <c r="AH20" s="145"/>
      <c r="AI20" s="164"/>
      <c r="AJ20" s="145"/>
      <c r="AK20" s="164"/>
      <c r="AL20" s="145"/>
      <c r="AM20" s="164"/>
      <c r="AN20" s="145"/>
      <c r="AO20" s="164"/>
      <c r="AP20" s="145"/>
      <c r="AQ20" s="164"/>
      <c r="AR20" s="145"/>
      <c r="AS20" s="164"/>
      <c r="AT20" s="145"/>
      <c r="AU20" s="164"/>
      <c r="AV20" s="145"/>
      <c r="AW20" s="164"/>
      <c r="AX20" s="145"/>
      <c r="AY20" s="164"/>
      <c r="AZ20" s="145"/>
      <c r="BA20" s="164"/>
      <c r="BB20" s="145"/>
      <c r="BC20" s="164"/>
      <c r="BD20" s="145"/>
      <c r="BE20" s="164"/>
      <c r="BF20" s="145"/>
      <c r="BG20" s="164"/>
      <c r="BH20" s="145">
        <v>2</v>
      </c>
      <c r="BI20" s="164">
        <f t="shared" si="11"/>
        <v>800000</v>
      </c>
      <c r="BJ20" s="145">
        <f t="shared" si="1"/>
        <v>2</v>
      </c>
      <c r="BK20" s="145">
        <f t="shared" si="2"/>
        <v>800000</v>
      </c>
      <c r="BL20" s="159" t="s">
        <v>216</v>
      </c>
      <c r="BN20" s="163"/>
      <c r="BO20" s="163"/>
      <c r="BP20" s="163">
        <f t="shared" si="14"/>
        <v>800000</v>
      </c>
      <c r="BQ20" s="163"/>
      <c r="BR20" s="163">
        <f t="shared" si="12"/>
        <v>800000</v>
      </c>
      <c r="BS20" s="163"/>
      <c r="BT20" s="163"/>
      <c r="BU20" s="379">
        <f t="shared" si="13"/>
        <v>0</v>
      </c>
      <c r="BV20" s="164">
        <f t="shared" si="0"/>
        <v>800000</v>
      </c>
    </row>
    <row r="21" spans="1:74">
      <c r="A21" s="996"/>
      <c r="B21" s="196" t="s">
        <v>617</v>
      </c>
      <c r="C21" s="166" t="s">
        <v>106</v>
      </c>
      <c r="D21" s="159" t="s">
        <v>104</v>
      </c>
      <c r="E21" s="216">
        <v>50000</v>
      </c>
      <c r="F21" s="145">
        <f t="shared" si="3"/>
        <v>8</v>
      </c>
      <c r="G21" s="388">
        <f t="shared" si="4"/>
        <v>400000</v>
      </c>
      <c r="H21" s="388">
        <f t="shared" si="5"/>
        <v>80000</v>
      </c>
      <c r="I21" s="388">
        <f t="shared" si="6"/>
        <v>320000</v>
      </c>
      <c r="J21" s="388"/>
      <c r="K21" s="388"/>
      <c r="L21" s="388"/>
      <c r="M21" s="388"/>
      <c r="N21" s="388"/>
      <c r="O21" s="161"/>
      <c r="P21" s="161"/>
      <c r="Q21" s="161"/>
      <c r="R21" s="145"/>
      <c r="S21" s="145">
        <f t="shared" si="15"/>
        <v>8</v>
      </c>
      <c r="T21" s="145"/>
      <c r="U21" s="145"/>
      <c r="V21" s="164">
        <f t="shared" si="7"/>
        <v>0</v>
      </c>
      <c r="W21" s="164">
        <f t="shared" si="8"/>
        <v>400000</v>
      </c>
      <c r="X21" s="164">
        <f t="shared" si="9"/>
        <v>0</v>
      </c>
      <c r="Y21" s="164">
        <f t="shared" si="10"/>
        <v>0</v>
      </c>
      <c r="Z21" s="145"/>
      <c r="AA21" s="164"/>
      <c r="AB21" s="145"/>
      <c r="AC21" s="164"/>
      <c r="AD21" s="145"/>
      <c r="AE21" s="164"/>
      <c r="AF21" s="145"/>
      <c r="AG21" s="164"/>
      <c r="AH21" s="145"/>
      <c r="AI21" s="164"/>
      <c r="AJ21" s="145"/>
      <c r="AK21" s="164"/>
      <c r="AL21" s="145"/>
      <c r="AM21" s="164"/>
      <c r="AN21" s="145"/>
      <c r="AO21" s="164"/>
      <c r="AP21" s="145"/>
      <c r="AQ21" s="164"/>
      <c r="AR21" s="145"/>
      <c r="AS21" s="164"/>
      <c r="AT21" s="145"/>
      <c r="AU21" s="164"/>
      <c r="AV21" s="145"/>
      <c r="AW21" s="164"/>
      <c r="AX21" s="145"/>
      <c r="AY21" s="164"/>
      <c r="AZ21" s="145"/>
      <c r="BA21" s="164"/>
      <c r="BB21" s="145"/>
      <c r="BC21" s="164"/>
      <c r="BD21" s="145"/>
      <c r="BE21" s="164"/>
      <c r="BF21" s="145"/>
      <c r="BG21" s="164"/>
      <c r="BH21" s="145">
        <v>8</v>
      </c>
      <c r="BI21" s="164">
        <f t="shared" si="11"/>
        <v>400000</v>
      </c>
      <c r="BJ21" s="145">
        <f t="shared" si="1"/>
        <v>8</v>
      </c>
      <c r="BK21" s="145">
        <f t="shared" si="2"/>
        <v>400000</v>
      </c>
      <c r="BL21" s="159" t="s">
        <v>216</v>
      </c>
      <c r="BN21" s="163"/>
      <c r="BO21" s="163"/>
      <c r="BP21" s="163">
        <f t="shared" si="14"/>
        <v>400000</v>
      </c>
      <c r="BQ21" s="163"/>
      <c r="BR21" s="163">
        <f t="shared" si="12"/>
        <v>400000</v>
      </c>
      <c r="BS21" s="163"/>
      <c r="BT21" s="163"/>
      <c r="BU21" s="379">
        <f t="shared" si="13"/>
        <v>0</v>
      </c>
      <c r="BV21" s="164">
        <f t="shared" si="0"/>
        <v>400000</v>
      </c>
    </row>
    <row r="22" spans="1:74">
      <c r="A22" s="996"/>
      <c r="B22" s="196" t="s">
        <v>617</v>
      </c>
      <c r="C22" s="166" t="s">
        <v>540</v>
      </c>
      <c r="D22" s="159" t="s">
        <v>104</v>
      </c>
      <c r="E22" s="135">
        <v>2500</v>
      </c>
      <c r="F22" s="145">
        <f t="shared" si="3"/>
        <v>12</v>
      </c>
      <c r="G22" s="388">
        <f t="shared" si="4"/>
        <v>30000</v>
      </c>
      <c r="H22" s="388">
        <f t="shared" si="5"/>
        <v>6000</v>
      </c>
      <c r="I22" s="388">
        <f t="shared" si="6"/>
        <v>24000</v>
      </c>
      <c r="J22" s="388"/>
      <c r="K22" s="388"/>
      <c r="L22" s="388"/>
      <c r="M22" s="388"/>
      <c r="N22" s="388"/>
      <c r="O22" s="161"/>
      <c r="P22" s="161"/>
      <c r="Q22" s="161"/>
      <c r="R22" s="145"/>
      <c r="S22" s="145">
        <f t="shared" si="15"/>
        <v>12</v>
      </c>
      <c r="T22" s="145"/>
      <c r="U22" s="145"/>
      <c r="V22" s="164">
        <f t="shared" si="7"/>
        <v>0</v>
      </c>
      <c r="W22" s="164">
        <f t="shared" si="8"/>
        <v>30000</v>
      </c>
      <c r="X22" s="164">
        <f t="shared" si="9"/>
        <v>0</v>
      </c>
      <c r="Y22" s="164">
        <f t="shared" si="10"/>
        <v>0</v>
      </c>
      <c r="Z22" s="145"/>
      <c r="AA22" s="164"/>
      <c r="AB22" s="145"/>
      <c r="AC22" s="164"/>
      <c r="AD22" s="145"/>
      <c r="AE22" s="164"/>
      <c r="AF22" s="145"/>
      <c r="AG22" s="164"/>
      <c r="AH22" s="145"/>
      <c r="AI22" s="164"/>
      <c r="AJ22" s="145"/>
      <c r="AK22" s="164"/>
      <c r="AL22" s="145"/>
      <c r="AM22" s="164"/>
      <c r="AN22" s="145"/>
      <c r="AO22" s="164"/>
      <c r="AP22" s="145"/>
      <c r="AQ22" s="164"/>
      <c r="AR22" s="145"/>
      <c r="AS22" s="164"/>
      <c r="AT22" s="145"/>
      <c r="AU22" s="164"/>
      <c r="AV22" s="145"/>
      <c r="AW22" s="164"/>
      <c r="AX22" s="145"/>
      <c r="AY22" s="164"/>
      <c r="AZ22" s="145"/>
      <c r="BA22" s="164"/>
      <c r="BB22" s="145"/>
      <c r="BC22" s="164"/>
      <c r="BD22" s="145"/>
      <c r="BE22" s="164"/>
      <c r="BF22" s="145"/>
      <c r="BG22" s="164"/>
      <c r="BH22" s="145">
        <v>12</v>
      </c>
      <c r="BI22" s="164">
        <f t="shared" si="11"/>
        <v>30000</v>
      </c>
      <c r="BJ22" s="145">
        <f t="shared" si="1"/>
        <v>12</v>
      </c>
      <c r="BK22" s="145">
        <f t="shared" si="2"/>
        <v>30000</v>
      </c>
      <c r="BL22" s="159" t="s">
        <v>216</v>
      </c>
      <c r="BN22" s="163"/>
      <c r="BO22" s="163"/>
      <c r="BP22" s="163">
        <f t="shared" si="14"/>
        <v>30000</v>
      </c>
      <c r="BQ22" s="163"/>
      <c r="BR22" s="163">
        <f t="shared" si="12"/>
        <v>30000</v>
      </c>
      <c r="BS22" s="163"/>
      <c r="BT22" s="163"/>
      <c r="BU22" s="379">
        <f t="shared" si="13"/>
        <v>0</v>
      </c>
      <c r="BV22" s="164">
        <f t="shared" si="0"/>
        <v>30000</v>
      </c>
    </row>
    <row r="23" spans="1:74">
      <c r="A23" s="996"/>
      <c r="B23" s="196" t="s">
        <v>617</v>
      </c>
      <c r="C23" s="166" t="s">
        <v>596</v>
      </c>
      <c r="D23" s="159" t="s">
        <v>16</v>
      </c>
      <c r="E23" s="216">
        <v>500000</v>
      </c>
      <c r="F23" s="145">
        <f t="shared" si="3"/>
        <v>1</v>
      </c>
      <c r="G23" s="388">
        <f t="shared" si="4"/>
        <v>500000</v>
      </c>
      <c r="H23" s="388">
        <f t="shared" si="5"/>
        <v>100000</v>
      </c>
      <c r="I23" s="388">
        <f t="shared" si="6"/>
        <v>400000</v>
      </c>
      <c r="J23" s="388"/>
      <c r="K23" s="388"/>
      <c r="L23" s="388"/>
      <c r="M23" s="388"/>
      <c r="N23" s="388"/>
      <c r="O23" s="161"/>
      <c r="P23" s="161"/>
      <c r="Q23" s="161"/>
      <c r="R23" s="145"/>
      <c r="S23" s="145">
        <f t="shared" si="15"/>
        <v>1</v>
      </c>
      <c r="T23" s="145"/>
      <c r="U23" s="145"/>
      <c r="V23" s="164">
        <f t="shared" si="7"/>
        <v>0</v>
      </c>
      <c r="W23" s="164">
        <f t="shared" si="8"/>
        <v>500000</v>
      </c>
      <c r="X23" s="164">
        <f t="shared" si="9"/>
        <v>0</v>
      </c>
      <c r="Y23" s="164">
        <f t="shared" si="10"/>
        <v>0</v>
      </c>
      <c r="Z23" s="145"/>
      <c r="AA23" s="164"/>
      <c r="AB23" s="145"/>
      <c r="AC23" s="164"/>
      <c r="AD23" s="145"/>
      <c r="AE23" s="164"/>
      <c r="AF23" s="145"/>
      <c r="AG23" s="164"/>
      <c r="AH23" s="145"/>
      <c r="AI23" s="164"/>
      <c r="AJ23" s="145"/>
      <c r="AK23" s="164"/>
      <c r="AL23" s="145"/>
      <c r="AM23" s="164"/>
      <c r="AN23" s="145"/>
      <c r="AO23" s="164"/>
      <c r="AP23" s="145"/>
      <c r="AQ23" s="164"/>
      <c r="AR23" s="145"/>
      <c r="AS23" s="164"/>
      <c r="AT23" s="145"/>
      <c r="AU23" s="164"/>
      <c r="AV23" s="145"/>
      <c r="AW23" s="164"/>
      <c r="AX23" s="145"/>
      <c r="AY23" s="164"/>
      <c r="AZ23" s="145"/>
      <c r="BA23" s="164"/>
      <c r="BB23" s="145"/>
      <c r="BC23" s="164"/>
      <c r="BD23" s="145"/>
      <c r="BE23" s="164"/>
      <c r="BF23" s="145"/>
      <c r="BG23" s="164"/>
      <c r="BH23" s="145">
        <v>1</v>
      </c>
      <c r="BI23" s="164">
        <f t="shared" si="11"/>
        <v>500000</v>
      </c>
      <c r="BJ23" s="145">
        <f t="shared" si="1"/>
        <v>1</v>
      </c>
      <c r="BK23" s="145">
        <f t="shared" si="2"/>
        <v>500000</v>
      </c>
      <c r="BL23" s="159" t="s">
        <v>216</v>
      </c>
      <c r="BN23" s="163"/>
      <c r="BO23" s="163"/>
      <c r="BP23" s="163">
        <f t="shared" si="14"/>
        <v>500000</v>
      </c>
      <c r="BQ23" s="163"/>
      <c r="BR23" s="163">
        <f t="shared" si="12"/>
        <v>500000</v>
      </c>
      <c r="BS23" s="163"/>
      <c r="BT23" s="163"/>
      <c r="BU23" s="379">
        <f t="shared" si="13"/>
        <v>0</v>
      </c>
      <c r="BV23" s="164">
        <f t="shared" si="0"/>
        <v>500000</v>
      </c>
    </row>
    <row r="24" spans="1:74">
      <c r="A24" s="996"/>
      <c r="B24" s="196" t="s">
        <v>617</v>
      </c>
      <c r="C24" s="166" t="s">
        <v>108</v>
      </c>
      <c r="D24" s="159" t="s">
        <v>104</v>
      </c>
      <c r="E24" s="135" t="s">
        <v>355</v>
      </c>
      <c r="F24" s="145">
        <f t="shared" si="3"/>
        <v>3</v>
      </c>
      <c r="G24" s="388">
        <f t="shared" si="4"/>
        <v>450000</v>
      </c>
      <c r="H24" s="388">
        <f>G24*0.2</f>
        <v>90000</v>
      </c>
      <c r="I24" s="388">
        <f>G24*0.8</f>
        <v>360000</v>
      </c>
      <c r="J24" s="388"/>
      <c r="K24" s="388"/>
      <c r="L24" s="388"/>
      <c r="M24" s="388"/>
      <c r="N24" s="388"/>
      <c r="O24" s="161"/>
      <c r="P24" s="161"/>
      <c r="Q24" s="161"/>
      <c r="R24" s="145"/>
      <c r="S24" s="145">
        <f t="shared" si="15"/>
        <v>3</v>
      </c>
      <c r="T24" s="145"/>
      <c r="U24" s="145"/>
      <c r="V24" s="164">
        <f t="shared" si="7"/>
        <v>0</v>
      </c>
      <c r="W24" s="164">
        <f t="shared" si="8"/>
        <v>450000</v>
      </c>
      <c r="X24" s="164">
        <f t="shared" si="9"/>
        <v>0</v>
      </c>
      <c r="Y24" s="164">
        <f t="shared" si="10"/>
        <v>0</v>
      </c>
      <c r="Z24" s="145"/>
      <c r="AA24" s="164"/>
      <c r="AB24" s="145"/>
      <c r="AC24" s="164"/>
      <c r="AD24" s="145"/>
      <c r="AE24" s="164"/>
      <c r="AF24" s="145"/>
      <c r="AG24" s="164"/>
      <c r="AH24" s="145"/>
      <c r="AI24" s="164"/>
      <c r="AJ24" s="145"/>
      <c r="AK24" s="164"/>
      <c r="AL24" s="145"/>
      <c r="AM24" s="164"/>
      <c r="AN24" s="145"/>
      <c r="AO24" s="164"/>
      <c r="AP24" s="145"/>
      <c r="AQ24" s="164"/>
      <c r="AR24" s="145"/>
      <c r="AS24" s="164"/>
      <c r="AT24" s="145"/>
      <c r="AU24" s="164"/>
      <c r="AV24" s="145"/>
      <c r="AW24" s="164"/>
      <c r="AX24" s="145"/>
      <c r="AY24" s="164"/>
      <c r="AZ24" s="145"/>
      <c r="BA24" s="164"/>
      <c r="BB24" s="145"/>
      <c r="BC24" s="164"/>
      <c r="BD24" s="145"/>
      <c r="BE24" s="164"/>
      <c r="BF24" s="145"/>
      <c r="BG24" s="164"/>
      <c r="BH24" s="145">
        <v>3</v>
      </c>
      <c r="BI24" s="164">
        <f t="shared" si="11"/>
        <v>450000</v>
      </c>
      <c r="BJ24" s="145">
        <f t="shared" si="1"/>
        <v>3</v>
      </c>
      <c r="BK24" s="145">
        <f t="shared" si="2"/>
        <v>450000</v>
      </c>
      <c r="BL24" s="159" t="s">
        <v>216</v>
      </c>
      <c r="BN24" s="163"/>
      <c r="BO24" s="163"/>
      <c r="BP24" s="163">
        <f t="shared" si="14"/>
        <v>450000</v>
      </c>
      <c r="BQ24" s="163"/>
      <c r="BR24" s="163">
        <f t="shared" si="12"/>
        <v>450000</v>
      </c>
      <c r="BS24" s="163"/>
      <c r="BT24" s="163"/>
      <c r="BU24" s="379">
        <f t="shared" si="13"/>
        <v>0</v>
      </c>
      <c r="BV24" s="164">
        <f t="shared" si="0"/>
        <v>450000</v>
      </c>
    </row>
    <row r="25" spans="1:74" s="23" customFormat="1">
      <c r="A25" s="996"/>
      <c r="B25" s="228"/>
      <c r="C25" s="158" t="s">
        <v>384</v>
      </c>
      <c r="D25" s="168" t="s">
        <v>115</v>
      </c>
      <c r="E25" s="177" t="s">
        <v>115</v>
      </c>
      <c r="F25" s="155">
        <f>SUM(F12:F24)</f>
        <v>87</v>
      </c>
      <c r="G25" s="155">
        <f t="shared" ref="G25:BK25" si="16">SUM(G12:G24)</f>
        <v>7810000</v>
      </c>
      <c r="H25" s="155">
        <f t="shared" si="16"/>
        <v>2462000</v>
      </c>
      <c r="I25" s="155">
        <f t="shared" si="16"/>
        <v>5348000</v>
      </c>
      <c r="J25" s="155">
        <f t="shared" si="16"/>
        <v>0</v>
      </c>
      <c r="K25" s="155">
        <f t="shared" si="16"/>
        <v>0</v>
      </c>
      <c r="L25" s="155">
        <f t="shared" si="16"/>
        <v>0</v>
      </c>
      <c r="M25" s="155">
        <f t="shared" si="16"/>
        <v>0</v>
      </c>
      <c r="N25" s="155">
        <f t="shared" si="16"/>
        <v>0</v>
      </c>
      <c r="O25" s="155">
        <f t="shared" si="16"/>
        <v>0</v>
      </c>
      <c r="P25" s="155">
        <f t="shared" si="16"/>
        <v>0</v>
      </c>
      <c r="Q25" s="155">
        <f t="shared" si="16"/>
        <v>0</v>
      </c>
      <c r="R25" s="155">
        <f t="shared" si="16"/>
        <v>3</v>
      </c>
      <c r="S25" s="155">
        <f t="shared" si="16"/>
        <v>77</v>
      </c>
      <c r="T25" s="155">
        <f t="shared" si="16"/>
        <v>3</v>
      </c>
      <c r="U25" s="155">
        <f t="shared" si="16"/>
        <v>3</v>
      </c>
      <c r="V25" s="155">
        <f t="shared" si="16"/>
        <v>750000</v>
      </c>
      <c r="W25" s="155">
        <f t="shared" si="16"/>
        <v>5310000</v>
      </c>
      <c r="X25" s="155">
        <f t="shared" si="16"/>
        <v>750000</v>
      </c>
      <c r="Y25" s="155">
        <f t="shared" si="16"/>
        <v>750000</v>
      </c>
      <c r="Z25" s="155">
        <f t="shared" si="16"/>
        <v>0</v>
      </c>
      <c r="AA25" s="155">
        <f t="shared" si="16"/>
        <v>0</v>
      </c>
      <c r="AB25" s="155">
        <f t="shared" si="16"/>
        <v>0</v>
      </c>
      <c r="AC25" s="155">
        <f t="shared" si="16"/>
        <v>0</v>
      </c>
      <c r="AD25" s="155">
        <f t="shared" si="16"/>
        <v>0</v>
      </c>
      <c r="AE25" s="155">
        <f t="shared" si="16"/>
        <v>0</v>
      </c>
      <c r="AF25" s="155">
        <f t="shared" si="16"/>
        <v>0</v>
      </c>
      <c r="AG25" s="155">
        <f t="shared" si="16"/>
        <v>0</v>
      </c>
      <c r="AH25" s="155">
        <f t="shared" si="16"/>
        <v>0</v>
      </c>
      <c r="AI25" s="155">
        <f t="shared" si="16"/>
        <v>0</v>
      </c>
      <c r="AJ25" s="155">
        <f t="shared" si="16"/>
        <v>0</v>
      </c>
      <c r="AK25" s="155">
        <f t="shared" si="16"/>
        <v>0</v>
      </c>
      <c r="AL25" s="155">
        <f t="shared" si="16"/>
        <v>0</v>
      </c>
      <c r="AM25" s="155">
        <f t="shared" si="16"/>
        <v>0</v>
      </c>
      <c r="AN25" s="155">
        <f t="shared" si="16"/>
        <v>0</v>
      </c>
      <c r="AO25" s="155">
        <f t="shared" si="16"/>
        <v>0</v>
      </c>
      <c r="AP25" s="155">
        <f t="shared" si="16"/>
        <v>0</v>
      </c>
      <c r="AQ25" s="155">
        <f t="shared" si="16"/>
        <v>0</v>
      </c>
      <c r="AR25" s="155">
        <f t="shared" si="16"/>
        <v>0</v>
      </c>
      <c r="AS25" s="155">
        <f t="shared" si="16"/>
        <v>0</v>
      </c>
      <c r="AT25" s="155">
        <f t="shared" si="16"/>
        <v>0</v>
      </c>
      <c r="AU25" s="155">
        <f t="shared" si="16"/>
        <v>0</v>
      </c>
      <c r="AV25" s="155">
        <f t="shared" si="16"/>
        <v>0</v>
      </c>
      <c r="AW25" s="155">
        <f t="shared" si="16"/>
        <v>0</v>
      </c>
      <c r="AX25" s="155">
        <f t="shared" si="16"/>
        <v>0</v>
      </c>
      <c r="AY25" s="155">
        <f t="shared" si="16"/>
        <v>0</v>
      </c>
      <c r="AZ25" s="155">
        <f t="shared" si="16"/>
        <v>0</v>
      </c>
      <c r="BA25" s="155">
        <f t="shared" si="16"/>
        <v>0</v>
      </c>
      <c r="BB25" s="155">
        <f t="shared" si="16"/>
        <v>0</v>
      </c>
      <c r="BC25" s="155">
        <f t="shared" si="16"/>
        <v>0</v>
      </c>
      <c r="BD25" s="155">
        <f t="shared" si="16"/>
        <v>0</v>
      </c>
      <c r="BE25" s="155">
        <f t="shared" si="16"/>
        <v>0</v>
      </c>
      <c r="BF25" s="155">
        <f t="shared" si="16"/>
        <v>0</v>
      </c>
      <c r="BG25" s="155">
        <f t="shared" si="16"/>
        <v>0</v>
      </c>
      <c r="BH25" s="155">
        <f t="shared" si="16"/>
        <v>87</v>
      </c>
      <c r="BI25" s="155">
        <f t="shared" si="16"/>
        <v>7810000</v>
      </c>
      <c r="BJ25" s="155">
        <f t="shared" si="16"/>
        <v>87</v>
      </c>
      <c r="BK25" s="155">
        <f t="shared" si="16"/>
        <v>7810000</v>
      </c>
      <c r="BL25" s="168" t="s">
        <v>115</v>
      </c>
      <c r="BN25" s="174"/>
      <c r="BO25" s="174"/>
      <c r="BP25" s="174">
        <f t="shared" ref="BP25:BP33" si="17">G25</f>
        <v>7810000</v>
      </c>
      <c r="BQ25" s="174"/>
      <c r="BR25" s="174">
        <f t="shared" ref="BR25:BR47" si="18">BN25+BO25+BP25+BQ25</f>
        <v>7810000</v>
      </c>
      <c r="BS25" s="174"/>
      <c r="BT25" s="174"/>
      <c r="BU25" s="391">
        <f t="shared" ref="BU25:BU47" si="19">BS25+BT25</f>
        <v>0</v>
      </c>
      <c r="BV25" s="164">
        <f t="shared" si="0"/>
        <v>7810000</v>
      </c>
    </row>
    <row r="26" spans="1:74">
      <c r="A26" s="996"/>
      <c r="B26" s="196" t="s">
        <v>615</v>
      </c>
      <c r="C26" s="158" t="s">
        <v>385</v>
      </c>
      <c r="D26" s="159"/>
      <c r="E26" s="159"/>
      <c r="F26" s="145"/>
      <c r="G26" s="388"/>
      <c r="H26" s="388"/>
      <c r="I26" s="388"/>
      <c r="J26" s="388"/>
      <c r="K26" s="388"/>
      <c r="L26" s="388"/>
      <c r="M26" s="388"/>
      <c r="N26" s="388"/>
      <c r="O26" s="161"/>
      <c r="P26" s="161"/>
      <c r="Q26" s="161"/>
      <c r="R26" s="145"/>
      <c r="S26" s="145"/>
      <c r="T26" s="145"/>
      <c r="U26" s="145"/>
      <c r="V26" s="164"/>
      <c r="W26" s="164"/>
      <c r="X26" s="164"/>
      <c r="Y26" s="164"/>
      <c r="Z26" s="145"/>
      <c r="AA26" s="164"/>
      <c r="AB26" s="145"/>
      <c r="AC26" s="164"/>
      <c r="AD26" s="145"/>
      <c r="AE26" s="164"/>
      <c r="AF26" s="145"/>
      <c r="AG26" s="164"/>
      <c r="AH26" s="145"/>
      <c r="AI26" s="164"/>
      <c r="AJ26" s="145"/>
      <c r="AK26" s="164"/>
      <c r="AL26" s="145"/>
      <c r="AM26" s="164"/>
      <c r="AN26" s="145"/>
      <c r="AO26" s="164"/>
      <c r="AP26" s="145"/>
      <c r="AQ26" s="164"/>
      <c r="AR26" s="145"/>
      <c r="AS26" s="164"/>
      <c r="AT26" s="145"/>
      <c r="AU26" s="164"/>
      <c r="AV26" s="145"/>
      <c r="AW26" s="164"/>
      <c r="AX26" s="145"/>
      <c r="AY26" s="164"/>
      <c r="AZ26" s="145"/>
      <c r="BA26" s="164"/>
      <c r="BB26" s="145"/>
      <c r="BC26" s="164"/>
      <c r="BD26" s="145"/>
      <c r="BE26" s="164"/>
      <c r="BF26" s="145"/>
      <c r="BG26" s="164"/>
      <c r="BH26" s="145"/>
      <c r="BI26" s="164">
        <f t="shared" si="11"/>
        <v>0</v>
      </c>
      <c r="BJ26" s="145">
        <f t="shared" ref="BJ26:BJ87" si="20">BH26</f>
        <v>0</v>
      </c>
      <c r="BK26" s="161">
        <f t="shared" ref="BK26:BK87" si="21">BI26</f>
        <v>0</v>
      </c>
      <c r="BL26" s="159"/>
      <c r="BN26" s="163"/>
      <c r="BO26" s="163"/>
      <c r="BP26" s="163">
        <f t="shared" si="17"/>
        <v>0</v>
      </c>
      <c r="BQ26" s="163"/>
      <c r="BR26" s="163">
        <f t="shared" si="18"/>
        <v>0</v>
      </c>
      <c r="BS26" s="163"/>
      <c r="BT26" s="163"/>
      <c r="BU26" s="379">
        <f t="shared" si="19"/>
        <v>0</v>
      </c>
      <c r="BV26" s="164">
        <f t="shared" si="0"/>
        <v>0</v>
      </c>
    </row>
    <row r="27" spans="1:74">
      <c r="A27" s="996"/>
      <c r="B27" s="196" t="s">
        <v>615</v>
      </c>
      <c r="C27" s="158" t="s">
        <v>110</v>
      </c>
      <c r="D27" s="159"/>
      <c r="E27" s="159"/>
      <c r="F27" s="145"/>
      <c r="G27" s="388"/>
      <c r="H27" s="388"/>
      <c r="I27" s="388"/>
      <c r="J27" s="388"/>
      <c r="K27" s="388"/>
      <c r="L27" s="388"/>
      <c r="M27" s="388"/>
      <c r="N27" s="388"/>
      <c r="O27" s="161"/>
      <c r="P27" s="161"/>
      <c r="Q27" s="161"/>
      <c r="R27" s="145"/>
      <c r="S27" s="145"/>
      <c r="T27" s="145"/>
      <c r="U27" s="145"/>
      <c r="V27" s="164"/>
      <c r="W27" s="164"/>
      <c r="X27" s="164"/>
      <c r="Y27" s="164"/>
      <c r="Z27" s="145"/>
      <c r="AA27" s="164"/>
      <c r="AB27" s="145"/>
      <c r="AC27" s="164"/>
      <c r="AD27" s="145"/>
      <c r="AE27" s="164"/>
      <c r="AF27" s="145"/>
      <c r="AG27" s="164"/>
      <c r="AH27" s="145"/>
      <c r="AI27" s="164"/>
      <c r="AJ27" s="145"/>
      <c r="AK27" s="164"/>
      <c r="AL27" s="145"/>
      <c r="AM27" s="164"/>
      <c r="AN27" s="145"/>
      <c r="AO27" s="164"/>
      <c r="AP27" s="145"/>
      <c r="AQ27" s="164"/>
      <c r="AR27" s="145"/>
      <c r="AS27" s="164"/>
      <c r="AT27" s="145"/>
      <c r="AU27" s="164"/>
      <c r="AV27" s="145"/>
      <c r="AW27" s="164"/>
      <c r="AX27" s="145"/>
      <c r="AY27" s="164"/>
      <c r="AZ27" s="145"/>
      <c r="BA27" s="164"/>
      <c r="BB27" s="145"/>
      <c r="BC27" s="164"/>
      <c r="BD27" s="145"/>
      <c r="BE27" s="164"/>
      <c r="BF27" s="145"/>
      <c r="BG27" s="164"/>
      <c r="BH27" s="145"/>
      <c r="BI27" s="164">
        <f t="shared" si="11"/>
        <v>0</v>
      </c>
      <c r="BJ27" s="145">
        <f t="shared" si="20"/>
        <v>0</v>
      </c>
      <c r="BK27" s="161">
        <f t="shared" si="21"/>
        <v>0</v>
      </c>
      <c r="BL27" s="159"/>
      <c r="BN27" s="163"/>
      <c r="BO27" s="163"/>
      <c r="BP27" s="163">
        <f t="shared" si="17"/>
        <v>0</v>
      </c>
      <c r="BQ27" s="163"/>
      <c r="BR27" s="163">
        <f t="shared" si="18"/>
        <v>0</v>
      </c>
      <c r="BS27" s="163"/>
      <c r="BT27" s="163"/>
      <c r="BU27" s="379">
        <f t="shared" si="19"/>
        <v>0</v>
      </c>
      <c r="BV27" s="164">
        <f t="shared" si="0"/>
        <v>0</v>
      </c>
    </row>
    <row r="28" spans="1:74">
      <c r="A28" s="996"/>
      <c r="B28" s="196" t="s">
        <v>615</v>
      </c>
      <c r="C28" s="166" t="s">
        <v>386</v>
      </c>
      <c r="D28" s="159" t="s">
        <v>16</v>
      </c>
      <c r="E28" s="135" t="s">
        <v>407</v>
      </c>
      <c r="F28" s="145">
        <f>BJ28</f>
        <v>0</v>
      </c>
      <c r="G28" s="388">
        <f>F28*E28</f>
        <v>0</v>
      </c>
      <c r="H28" s="388">
        <f>G28*0.2</f>
        <v>0</v>
      </c>
      <c r="I28" s="388">
        <f>G28*0.8</f>
        <v>0</v>
      </c>
      <c r="J28" s="388"/>
      <c r="K28" s="388"/>
      <c r="L28" s="388"/>
      <c r="M28" s="388"/>
      <c r="N28" s="388"/>
      <c r="O28" s="161"/>
      <c r="P28" s="161"/>
      <c r="Q28" s="161"/>
      <c r="R28" s="145"/>
      <c r="S28" s="145">
        <f>F28</f>
        <v>0</v>
      </c>
      <c r="T28" s="145"/>
      <c r="U28" s="145"/>
      <c r="V28" s="164"/>
      <c r="W28" s="164">
        <f>S28*E28</f>
        <v>0</v>
      </c>
      <c r="X28" s="164"/>
      <c r="Y28" s="164"/>
      <c r="Z28" s="145"/>
      <c r="AA28" s="164"/>
      <c r="AB28" s="145"/>
      <c r="AC28" s="164"/>
      <c r="AD28" s="145"/>
      <c r="AE28" s="164"/>
      <c r="AF28" s="145"/>
      <c r="AG28" s="164"/>
      <c r="AH28" s="145"/>
      <c r="AI28" s="164"/>
      <c r="AJ28" s="145"/>
      <c r="AK28" s="164"/>
      <c r="AL28" s="145"/>
      <c r="AM28" s="164"/>
      <c r="AN28" s="145"/>
      <c r="AO28" s="164"/>
      <c r="AP28" s="145"/>
      <c r="AQ28" s="164"/>
      <c r="AR28" s="145"/>
      <c r="AS28" s="164"/>
      <c r="AT28" s="145"/>
      <c r="AU28" s="164"/>
      <c r="AV28" s="145"/>
      <c r="AW28" s="164"/>
      <c r="AX28" s="145"/>
      <c r="AY28" s="164"/>
      <c r="AZ28" s="145"/>
      <c r="BA28" s="164"/>
      <c r="BB28" s="145"/>
      <c r="BC28" s="164"/>
      <c r="BD28" s="145"/>
      <c r="BE28" s="164"/>
      <c r="BF28" s="145"/>
      <c r="BG28" s="164"/>
      <c r="BH28" s="145">
        <v>0</v>
      </c>
      <c r="BI28" s="164">
        <f t="shared" si="11"/>
        <v>0</v>
      </c>
      <c r="BJ28" s="145">
        <f t="shared" si="20"/>
        <v>0</v>
      </c>
      <c r="BK28" s="161">
        <f t="shared" si="21"/>
        <v>0</v>
      </c>
      <c r="BL28" s="159" t="s">
        <v>216</v>
      </c>
      <c r="BN28" s="163"/>
      <c r="BO28" s="163"/>
      <c r="BP28" s="163">
        <f t="shared" si="17"/>
        <v>0</v>
      </c>
      <c r="BQ28" s="163"/>
      <c r="BR28" s="163">
        <f t="shared" si="18"/>
        <v>0</v>
      </c>
      <c r="BS28" s="163"/>
      <c r="BT28" s="163"/>
      <c r="BU28" s="379">
        <f t="shared" si="19"/>
        <v>0</v>
      </c>
      <c r="BV28" s="164">
        <f t="shared" si="0"/>
        <v>0</v>
      </c>
    </row>
    <row r="29" spans="1:74">
      <c r="A29" s="996"/>
      <c r="B29" s="196" t="s">
        <v>615</v>
      </c>
      <c r="C29" s="166" t="s">
        <v>111</v>
      </c>
      <c r="D29" s="159" t="s">
        <v>112</v>
      </c>
      <c r="E29" s="135" t="s">
        <v>407</v>
      </c>
      <c r="F29" s="145">
        <f>BJ29</f>
        <v>0</v>
      </c>
      <c r="G29" s="388">
        <f>F29*E29</f>
        <v>0</v>
      </c>
      <c r="H29" s="388">
        <f>G29*0.2</f>
        <v>0</v>
      </c>
      <c r="I29" s="388">
        <f>G29*0.8</f>
        <v>0</v>
      </c>
      <c r="J29" s="388"/>
      <c r="K29" s="388"/>
      <c r="L29" s="388"/>
      <c r="M29" s="388"/>
      <c r="N29" s="388"/>
      <c r="O29" s="161"/>
      <c r="P29" s="161"/>
      <c r="Q29" s="161"/>
      <c r="R29" s="145"/>
      <c r="S29" s="145">
        <f>F29</f>
        <v>0</v>
      </c>
      <c r="T29" s="145"/>
      <c r="U29" s="145"/>
      <c r="V29" s="164"/>
      <c r="W29" s="164">
        <f>S29*E29</f>
        <v>0</v>
      </c>
      <c r="X29" s="164"/>
      <c r="Y29" s="164"/>
      <c r="Z29" s="145"/>
      <c r="AA29" s="164"/>
      <c r="AB29" s="145"/>
      <c r="AC29" s="164"/>
      <c r="AD29" s="145"/>
      <c r="AE29" s="164"/>
      <c r="AF29" s="145"/>
      <c r="AG29" s="164"/>
      <c r="AH29" s="145"/>
      <c r="AI29" s="164"/>
      <c r="AJ29" s="145"/>
      <c r="AK29" s="164"/>
      <c r="AL29" s="145"/>
      <c r="AM29" s="164"/>
      <c r="AN29" s="145"/>
      <c r="AO29" s="164"/>
      <c r="AP29" s="145"/>
      <c r="AQ29" s="164"/>
      <c r="AR29" s="145"/>
      <c r="AS29" s="164"/>
      <c r="AT29" s="145"/>
      <c r="AU29" s="164"/>
      <c r="AV29" s="145"/>
      <c r="AW29" s="164"/>
      <c r="AX29" s="145"/>
      <c r="AY29" s="164"/>
      <c r="AZ29" s="145"/>
      <c r="BA29" s="164"/>
      <c r="BB29" s="145"/>
      <c r="BC29" s="164"/>
      <c r="BD29" s="145"/>
      <c r="BE29" s="164"/>
      <c r="BF29" s="145"/>
      <c r="BG29" s="164"/>
      <c r="BH29" s="145">
        <v>0</v>
      </c>
      <c r="BI29" s="164">
        <f t="shared" si="11"/>
        <v>0</v>
      </c>
      <c r="BJ29" s="145">
        <f t="shared" si="20"/>
        <v>0</v>
      </c>
      <c r="BK29" s="161">
        <f t="shared" si="21"/>
        <v>0</v>
      </c>
      <c r="BL29" s="159" t="s">
        <v>216</v>
      </c>
      <c r="BN29" s="163"/>
      <c r="BO29" s="163"/>
      <c r="BP29" s="163">
        <f t="shared" si="17"/>
        <v>0</v>
      </c>
      <c r="BQ29" s="163"/>
      <c r="BR29" s="163">
        <f t="shared" si="18"/>
        <v>0</v>
      </c>
      <c r="BS29" s="163"/>
      <c r="BT29" s="163"/>
      <c r="BU29" s="379">
        <f t="shared" si="19"/>
        <v>0</v>
      </c>
      <c r="BV29" s="164">
        <f t="shared" si="0"/>
        <v>0</v>
      </c>
    </row>
    <row r="30" spans="1:74">
      <c r="A30" s="996"/>
      <c r="B30" s="196" t="s">
        <v>615</v>
      </c>
      <c r="C30" s="166" t="s">
        <v>113</v>
      </c>
      <c r="D30" s="159" t="s">
        <v>112</v>
      </c>
      <c r="E30" s="216">
        <v>1400000</v>
      </c>
      <c r="F30" s="145">
        <f>BJ30</f>
        <v>1</v>
      </c>
      <c r="G30" s="388">
        <f>F30*E30</f>
        <v>1400000</v>
      </c>
      <c r="H30" s="388">
        <f>G30*0.2</f>
        <v>280000</v>
      </c>
      <c r="I30" s="388">
        <f>G30*0.8</f>
        <v>1120000</v>
      </c>
      <c r="J30" s="388"/>
      <c r="K30" s="388"/>
      <c r="L30" s="388"/>
      <c r="M30" s="388"/>
      <c r="N30" s="388"/>
      <c r="O30" s="161"/>
      <c r="P30" s="161"/>
      <c r="Q30" s="161"/>
      <c r="R30" s="145"/>
      <c r="S30" s="145">
        <f>F30</f>
        <v>1</v>
      </c>
      <c r="T30" s="145"/>
      <c r="U30" s="145"/>
      <c r="V30" s="164"/>
      <c r="W30" s="164">
        <f>S30*E30</f>
        <v>1400000</v>
      </c>
      <c r="X30" s="164"/>
      <c r="Y30" s="164"/>
      <c r="Z30" s="145"/>
      <c r="AA30" s="164"/>
      <c r="AB30" s="145"/>
      <c r="AC30" s="164"/>
      <c r="AD30" s="145"/>
      <c r="AE30" s="164"/>
      <c r="AF30" s="145"/>
      <c r="AG30" s="164"/>
      <c r="AH30" s="145"/>
      <c r="AI30" s="164"/>
      <c r="AJ30" s="145"/>
      <c r="AK30" s="164"/>
      <c r="AL30" s="145"/>
      <c r="AM30" s="164"/>
      <c r="AN30" s="145"/>
      <c r="AO30" s="164"/>
      <c r="AP30" s="145"/>
      <c r="AQ30" s="164"/>
      <c r="AR30" s="145"/>
      <c r="AS30" s="164"/>
      <c r="AT30" s="145"/>
      <c r="AU30" s="164"/>
      <c r="AV30" s="145"/>
      <c r="AW30" s="164"/>
      <c r="AX30" s="145"/>
      <c r="AY30" s="164"/>
      <c r="AZ30" s="145"/>
      <c r="BA30" s="164"/>
      <c r="BB30" s="145"/>
      <c r="BC30" s="164"/>
      <c r="BD30" s="145"/>
      <c r="BE30" s="164"/>
      <c r="BF30" s="145"/>
      <c r="BG30" s="164"/>
      <c r="BH30" s="145">
        <v>1</v>
      </c>
      <c r="BI30" s="164">
        <f t="shared" si="11"/>
        <v>1400000</v>
      </c>
      <c r="BJ30" s="145">
        <f t="shared" si="20"/>
        <v>1</v>
      </c>
      <c r="BK30" s="161">
        <f t="shared" si="21"/>
        <v>1400000</v>
      </c>
      <c r="BL30" s="159" t="s">
        <v>216</v>
      </c>
      <c r="BN30" s="163"/>
      <c r="BO30" s="163"/>
      <c r="BP30" s="163">
        <f t="shared" si="17"/>
        <v>1400000</v>
      </c>
      <c r="BQ30" s="163"/>
      <c r="BR30" s="163">
        <f t="shared" si="18"/>
        <v>1400000</v>
      </c>
      <c r="BS30" s="163"/>
      <c r="BT30" s="163"/>
      <c r="BU30" s="379">
        <f t="shared" si="19"/>
        <v>0</v>
      </c>
      <c r="BV30" s="164">
        <f t="shared" si="0"/>
        <v>1400000</v>
      </c>
    </row>
    <row r="31" spans="1:74" ht="31.5">
      <c r="A31" s="996"/>
      <c r="B31" s="196" t="s">
        <v>615</v>
      </c>
      <c r="C31" s="739" t="s">
        <v>1024</v>
      </c>
      <c r="D31" s="159" t="s">
        <v>963</v>
      </c>
      <c r="E31" s="135">
        <v>4000000</v>
      </c>
      <c r="F31" s="145">
        <f>BJ31</f>
        <v>1</v>
      </c>
      <c r="G31" s="388">
        <f>F31*E31</f>
        <v>4000000</v>
      </c>
      <c r="H31" s="388">
        <f>G31*0</f>
        <v>0</v>
      </c>
      <c r="I31" s="388">
        <f>G31*1</f>
        <v>4000000</v>
      </c>
      <c r="J31" s="388"/>
      <c r="K31" s="388"/>
      <c r="L31" s="388"/>
      <c r="M31" s="388"/>
      <c r="N31" s="388"/>
      <c r="O31" s="161"/>
      <c r="P31" s="161"/>
      <c r="Q31" s="161"/>
      <c r="R31" s="145"/>
      <c r="S31" s="145">
        <f>F31</f>
        <v>1</v>
      </c>
      <c r="T31" s="145"/>
      <c r="U31" s="145"/>
      <c r="V31" s="164"/>
      <c r="W31" s="164">
        <f>S31*E31</f>
        <v>4000000</v>
      </c>
      <c r="X31" s="164"/>
      <c r="Y31" s="164"/>
      <c r="Z31" s="145"/>
      <c r="AA31" s="164"/>
      <c r="AB31" s="145"/>
      <c r="AC31" s="164"/>
      <c r="AD31" s="145"/>
      <c r="AE31" s="164"/>
      <c r="AF31" s="145"/>
      <c r="AG31" s="164"/>
      <c r="AH31" s="145"/>
      <c r="AI31" s="164"/>
      <c r="AJ31" s="145"/>
      <c r="AK31" s="164"/>
      <c r="AL31" s="145"/>
      <c r="AM31" s="164"/>
      <c r="AN31" s="145"/>
      <c r="AO31" s="164"/>
      <c r="AP31" s="145"/>
      <c r="AQ31" s="164"/>
      <c r="AR31" s="145"/>
      <c r="AS31" s="164"/>
      <c r="AT31" s="145"/>
      <c r="AU31" s="164"/>
      <c r="AV31" s="145"/>
      <c r="AW31" s="164"/>
      <c r="AX31" s="145"/>
      <c r="AY31" s="164"/>
      <c r="AZ31" s="145"/>
      <c r="BA31" s="164"/>
      <c r="BB31" s="145"/>
      <c r="BC31" s="164"/>
      <c r="BD31" s="145"/>
      <c r="BE31" s="164"/>
      <c r="BF31" s="145"/>
      <c r="BG31" s="164"/>
      <c r="BH31" s="145">
        <v>1</v>
      </c>
      <c r="BI31" s="164">
        <f t="shared" si="11"/>
        <v>4000000</v>
      </c>
      <c r="BJ31" s="145">
        <f t="shared" si="20"/>
        <v>1</v>
      </c>
      <c r="BK31" s="161">
        <f t="shared" si="21"/>
        <v>4000000</v>
      </c>
      <c r="BL31" s="159" t="s">
        <v>217</v>
      </c>
      <c r="BN31" s="163"/>
      <c r="BO31" s="163"/>
      <c r="BP31" s="163">
        <f t="shared" si="17"/>
        <v>4000000</v>
      </c>
      <c r="BQ31" s="163"/>
      <c r="BR31" s="163">
        <f t="shared" si="18"/>
        <v>4000000</v>
      </c>
      <c r="BS31" s="163"/>
      <c r="BT31" s="163"/>
      <c r="BU31" s="379">
        <f t="shared" si="19"/>
        <v>0</v>
      </c>
      <c r="BV31" s="164">
        <f t="shared" si="0"/>
        <v>4000000</v>
      </c>
    </row>
    <row r="32" spans="1:74">
      <c r="A32" s="996"/>
      <c r="B32" s="196" t="s">
        <v>615</v>
      </c>
      <c r="C32" s="166" t="s">
        <v>387</v>
      </c>
      <c r="D32" s="159" t="s">
        <v>72</v>
      </c>
      <c r="E32" s="135" t="s">
        <v>350</v>
      </c>
      <c r="F32" s="145">
        <f>BJ32</f>
        <v>0</v>
      </c>
      <c r="G32" s="388">
        <f>F32*E32</f>
        <v>0</v>
      </c>
      <c r="H32" s="388">
        <f>G32*0.2</f>
        <v>0</v>
      </c>
      <c r="I32" s="388">
        <f>G32*0.8</f>
        <v>0</v>
      </c>
      <c r="J32" s="388"/>
      <c r="K32" s="388"/>
      <c r="L32" s="388"/>
      <c r="M32" s="388"/>
      <c r="N32" s="388"/>
      <c r="O32" s="161"/>
      <c r="P32" s="161"/>
      <c r="Q32" s="161"/>
      <c r="R32" s="145"/>
      <c r="S32" s="145">
        <f>F32</f>
        <v>0</v>
      </c>
      <c r="T32" s="145"/>
      <c r="U32" s="145"/>
      <c r="V32" s="164"/>
      <c r="W32" s="164">
        <f>S32*E32</f>
        <v>0</v>
      </c>
      <c r="X32" s="164"/>
      <c r="Y32" s="164"/>
      <c r="Z32" s="145"/>
      <c r="AA32" s="164"/>
      <c r="AB32" s="145"/>
      <c r="AC32" s="164"/>
      <c r="AD32" s="145"/>
      <c r="AE32" s="164"/>
      <c r="AF32" s="145"/>
      <c r="AG32" s="164"/>
      <c r="AH32" s="145"/>
      <c r="AI32" s="164"/>
      <c r="AJ32" s="145"/>
      <c r="AK32" s="164"/>
      <c r="AL32" s="145"/>
      <c r="AM32" s="164"/>
      <c r="AN32" s="145"/>
      <c r="AO32" s="164"/>
      <c r="AP32" s="145"/>
      <c r="AQ32" s="164"/>
      <c r="AR32" s="145"/>
      <c r="AS32" s="164"/>
      <c r="AT32" s="145"/>
      <c r="AU32" s="164"/>
      <c r="AV32" s="145"/>
      <c r="AW32" s="164"/>
      <c r="AX32" s="145"/>
      <c r="AY32" s="164"/>
      <c r="AZ32" s="145"/>
      <c r="BA32" s="164"/>
      <c r="BB32" s="145"/>
      <c r="BC32" s="164"/>
      <c r="BD32" s="145"/>
      <c r="BE32" s="164"/>
      <c r="BF32" s="145"/>
      <c r="BG32" s="164"/>
      <c r="BH32" s="145">
        <v>0</v>
      </c>
      <c r="BI32" s="164">
        <f t="shared" si="11"/>
        <v>0</v>
      </c>
      <c r="BJ32" s="145">
        <f t="shared" si="20"/>
        <v>0</v>
      </c>
      <c r="BK32" s="161">
        <f t="shared" si="21"/>
        <v>0</v>
      </c>
      <c r="BL32" s="159" t="s">
        <v>216</v>
      </c>
      <c r="BN32" s="163"/>
      <c r="BO32" s="163"/>
      <c r="BP32" s="163">
        <f t="shared" si="17"/>
        <v>0</v>
      </c>
      <c r="BQ32" s="163"/>
      <c r="BR32" s="163">
        <f t="shared" si="18"/>
        <v>0</v>
      </c>
      <c r="BS32" s="163"/>
      <c r="BT32" s="163"/>
      <c r="BU32" s="379">
        <f t="shared" si="19"/>
        <v>0</v>
      </c>
      <c r="BV32" s="164">
        <f t="shared" si="0"/>
        <v>0</v>
      </c>
    </row>
    <row r="33" spans="1:74" s="23" customFormat="1">
      <c r="A33" s="996"/>
      <c r="B33" s="228"/>
      <c r="C33" s="158" t="s">
        <v>114</v>
      </c>
      <c r="D33" s="168" t="s">
        <v>115</v>
      </c>
      <c r="E33" s="177" t="s">
        <v>115</v>
      </c>
      <c r="F33" s="155">
        <f>SUM(F28:F32)</f>
        <v>2</v>
      </c>
      <c r="G33" s="155">
        <f t="shared" ref="G33:BK33" si="22">SUM(G28:G32)</f>
        <v>5400000</v>
      </c>
      <c r="H33" s="155">
        <f t="shared" si="22"/>
        <v>280000</v>
      </c>
      <c r="I33" s="155">
        <f t="shared" si="22"/>
        <v>5120000</v>
      </c>
      <c r="J33" s="155">
        <f t="shared" si="22"/>
        <v>0</v>
      </c>
      <c r="K33" s="155">
        <f t="shared" si="22"/>
        <v>0</v>
      </c>
      <c r="L33" s="155">
        <f t="shared" si="22"/>
        <v>0</v>
      </c>
      <c r="M33" s="155">
        <f t="shared" si="22"/>
        <v>0</v>
      </c>
      <c r="N33" s="155">
        <f t="shared" si="22"/>
        <v>0</v>
      </c>
      <c r="O33" s="155">
        <f t="shared" si="22"/>
        <v>0</v>
      </c>
      <c r="P33" s="155">
        <f t="shared" si="22"/>
        <v>0</v>
      </c>
      <c r="Q33" s="155">
        <f t="shared" si="22"/>
        <v>0</v>
      </c>
      <c r="R33" s="155">
        <f t="shared" si="22"/>
        <v>0</v>
      </c>
      <c r="S33" s="155">
        <f t="shared" si="22"/>
        <v>2</v>
      </c>
      <c r="T33" s="155">
        <f t="shared" si="22"/>
        <v>0</v>
      </c>
      <c r="U33" s="155">
        <f t="shared" si="22"/>
        <v>0</v>
      </c>
      <c r="V33" s="155">
        <f t="shared" si="22"/>
        <v>0</v>
      </c>
      <c r="W33" s="155">
        <f t="shared" si="22"/>
        <v>5400000</v>
      </c>
      <c r="X33" s="155">
        <f t="shared" si="22"/>
        <v>0</v>
      </c>
      <c r="Y33" s="155">
        <f t="shared" si="22"/>
        <v>0</v>
      </c>
      <c r="Z33" s="155">
        <f t="shared" si="22"/>
        <v>0</v>
      </c>
      <c r="AA33" s="155">
        <f t="shared" si="22"/>
        <v>0</v>
      </c>
      <c r="AB33" s="155">
        <f t="shared" si="22"/>
        <v>0</v>
      </c>
      <c r="AC33" s="155">
        <f t="shared" si="22"/>
        <v>0</v>
      </c>
      <c r="AD33" s="155">
        <f t="shared" si="22"/>
        <v>0</v>
      </c>
      <c r="AE33" s="155">
        <f t="shared" si="22"/>
        <v>0</v>
      </c>
      <c r="AF33" s="155">
        <f t="shared" si="22"/>
        <v>0</v>
      </c>
      <c r="AG33" s="155">
        <f t="shared" si="22"/>
        <v>0</v>
      </c>
      <c r="AH33" s="155">
        <f t="shared" si="22"/>
        <v>0</v>
      </c>
      <c r="AI33" s="155">
        <f t="shared" si="22"/>
        <v>0</v>
      </c>
      <c r="AJ33" s="155">
        <f t="shared" si="22"/>
        <v>0</v>
      </c>
      <c r="AK33" s="155">
        <f t="shared" si="22"/>
        <v>0</v>
      </c>
      <c r="AL33" s="155">
        <f t="shared" si="22"/>
        <v>0</v>
      </c>
      <c r="AM33" s="155">
        <f t="shared" si="22"/>
        <v>0</v>
      </c>
      <c r="AN33" s="155">
        <f t="shared" si="22"/>
        <v>0</v>
      </c>
      <c r="AO33" s="155">
        <f t="shared" si="22"/>
        <v>0</v>
      </c>
      <c r="AP33" s="155">
        <f t="shared" si="22"/>
        <v>0</v>
      </c>
      <c r="AQ33" s="155">
        <f t="shared" si="22"/>
        <v>0</v>
      </c>
      <c r="AR33" s="155">
        <f t="shared" si="22"/>
        <v>0</v>
      </c>
      <c r="AS33" s="155">
        <f t="shared" si="22"/>
        <v>0</v>
      </c>
      <c r="AT33" s="155">
        <f t="shared" si="22"/>
        <v>0</v>
      </c>
      <c r="AU33" s="155">
        <f t="shared" si="22"/>
        <v>0</v>
      </c>
      <c r="AV33" s="155">
        <f t="shared" si="22"/>
        <v>0</v>
      </c>
      <c r="AW33" s="155">
        <f t="shared" si="22"/>
        <v>0</v>
      </c>
      <c r="AX33" s="155">
        <f t="shared" si="22"/>
        <v>0</v>
      </c>
      <c r="AY33" s="155">
        <f t="shared" si="22"/>
        <v>0</v>
      </c>
      <c r="AZ33" s="155">
        <f t="shared" si="22"/>
        <v>0</v>
      </c>
      <c r="BA33" s="155">
        <f t="shared" si="22"/>
        <v>0</v>
      </c>
      <c r="BB33" s="155">
        <f t="shared" si="22"/>
        <v>0</v>
      </c>
      <c r="BC33" s="155">
        <f t="shared" si="22"/>
        <v>0</v>
      </c>
      <c r="BD33" s="155">
        <f t="shared" si="22"/>
        <v>0</v>
      </c>
      <c r="BE33" s="155">
        <f t="shared" si="22"/>
        <v>0</v>
      </c>
      <c r="BF33" s="155">
        <f t="shared" si="22"/>
        <v>0</v>
      </c>
      <c r="BG33" s="155">
        <f t="shared" si="22"/>
        <v>0</v>
      </c>
      <c r="BH33" s="155">
        <f t="shared" si="22"/>
        <v>2</v>
      </c>
      <c r="BI33" s="155">
        <f t="shared" si="22"/>
        <v>5400000</v>
      </c>
      <c r="BJ33" s="155">
        <f t="shared" si="22"/>
        <v>2</v>
      </c>
      <c r="BK33" s="155">
        <f t="shared" si="22"/>
        <v>5400000</v>
      </c>
      <c r="BL33" s="168" t="s">
        <v>115</v>
      </c>
      <c r="BN33" s="174"/>
      <c r="BO33" s="174"/>
      <c r="BP33" s="174">
        <f t="shared" si="17"/>
        <v>5400000</v>
      </c>
      <c r="BQ33" s="174"/>
      <c r="BR33" s="174">
        <f t="shared" si="18"/>
        <v>5400000</v>
      </c>
      <c r="BS33" s="174"/>
      <c r="BT33" s="174"/>
      <c r="BU33" s="391">
        <f t="shared" si="19"/>
        <v>0</v>
      </c>
      <c r="BV33" s="171">
        <f t="shared" si="0"/>
        <v>5400000</v>
      </c>
    </row>
    <row r="34" spans="1:74">
      <c r="A34" s="996"/>
      <c r="B34" s="196" t="s">
        <v>615</v>
      </c>
      <c r="C34" s="158" t="s">
        <v>388</v>
      </c>
      <c r="D34" s="159"/>
      <c r="E34" s="159"/>
      <c r="F34" s="145"/>
      <c r="G34" s="388"/>
      <c r="H34" s="388"/>
      <c r="I34" s="388"/>
      <c r="J34" s="388"/>
      <c r="K34" s="388"/>
      <c r="L34" s="388"/>
      <c r="M34" s="388"/>
      <c r="N34" s="388"/>
      <c r="O34" s="161"/>
      <c r="P34" s="161"/>
      <c r="Q34" s="161"/>
      <c r="R34" s="145"/>
      <c r="S34" s="145"/>
      <c r="T34" s="145"/>
      <c r="U34" s="145"/>
      <c r="V34" s="164"/>
      <c r="W34" s="164"/>
      <c r="X34" s="164"/>
      <c r="Y34" s="164"/>
      <c r="Z34" s="145"/>
      <c r="AA34" s="164"/>
      <c r="AB34" s="145"/>
      <c r="AC34" s="164"/>
      <c r="AD34" s="145"/>
      <c r="AE34" s="164"/>
      <c r="AF34" s="145"/>
      <c r="AG34" s="164"/>
      <c r="AH34" s="145"/>
      <c r="AI34" s="164"/>
      <c r="AJ34" s="145"/>
      <c r="AK34" s="164"/>
      <c r="AL34" s="145"/>
      <c r="AM34" s="164"/>
      <c r="AN34" s="145"/>
      <c r="AO34" s="164"/>
      <c r="AP34" s="145"/>
      <c r="AQ34" s="164"/>
      <c r="AR34" s="145"/>
      <c r="AS34" s="164"/>
      <c r="AT34" s="145"/>
      <c r="AU34" s="164"/>
      <c r="AV34" s="145"/>
      <c r="AW34" s="164"/>
      <c r="AX34" s="145"/>
      <c r="AY34" s="164"/>
      <c r="AZ34" s="145"/>
      <c r="BA34" s="164"/>
      <c r="BB34" s="145"/>
      <c r="BC34" s="164"/>
      <c r="BD34" s="145"/>
      <c r="BE34" s="164"/>
      <c r="BF34" s="145"/>
      <c r="BG34" s="164"/>
      <c r="BH34" s="145"/>
      <c r="BI34" s="164">
        <f t="shared" si="11"/>
        <v>0</v>
      </c>
      <c r="BJ34" s="145">
        <f t="shared" si="20"/>
        <v>0</v>
      </c>
      <c r="BK34" s="161"/>
      <c r="BL34" s="159"/>
      <c r="BN34" s="163"/>
      <c r="BO34" s="163"/>
      <c r="BP34" s="163"/>
      <c r="BQ34" s="163"/>
      <c r="BR34" s="163"/>
      <c r="BS34" s="163"/>
      <c r="BT34" s="163"/>
      <c r="BU34" s="379"/>
      <c r="BV34" s="164"/>
    </row>
    <row r="35" spans="1:74">
      <c r="A35" s="996"/>
      <c r="B35" s="196" t="s">
        <v>615</v>
      </c>
      <c r="C35" s="166" t="s">
        <v>34</v>
      </c>
      <c r="D35" s="159" t="s">
        <v>39</v>
      </c>
      <c r="E35" s="135">
        <v>1400000</v>
      </c>
      <c r="F35" s="145">
        <f>BJ35</f>
        <v>1</v>
      </c>
      <c r="G35" s="388">
        <f>F35*E35</f>
        <v>1400000</v>
      </c>
      <c r="H35" s="388">
        <f t="shared" ref="H35:H47" si="23">G35*0.2</f>
        <v>280000</v>
      </c>
      <c r="I35" s="388">
        <f>G35*0.8</f>
        <v>1120000</v>
      </c>
      <c r="J35" s="388"/>
      <c r="K35" s="388"/>
      <c r="L35" s="388"/>
      <c r="M35" s="388"/>
      <c r="N35" s="388"/>
      <c r="O35" s="161"/>
      <c r="P35" s="161"/>
      <c r="Q35" s="161"/>
      <c r="R35" s="145"/>
      <c r="S35" s="145"/>
      <c r="T35" s="145">
        <f>F35</f>
        <v>1</v>
      </c>
      <c r="U35" s="145"/>
      <c r="V35" s="164"/>
      <c r="W35" s="164"/>
      <c r="X35" s="164">
        <f>T35*E35</f>
        <v>1400000</v>
      </c>
      <c r="Y35" s="164"/>
      <c r="Z35" s="145"/>
      <c r="AA35" s="164"/>
      <c r="AB35" s="145"/>
      <c r="AC35" s="164"/>
      <c r="AD35" s="145"/>
      <c r="AE35" s="164"/>
      <c r="AF35" s="145"/>
      <c r="AG35" s="164"/>
      <c r="AH35" s="145"/>
      <c r="AI35" s="164"/>
      <c r="AJ35" s="145"/>
      <c r="AK35" s="164"/>
      <c r="AL35" s="145"/>
      <c r="AM35" s="164"/>
      <c r="AN35" s="145"/>
      <c r="AO35" s="164"/>
      <c r="AP35" s="145"/>
      <c r="AQ35" s="164"/>
      <c r="AR35" s="145"/>
      <c r="AS35" s="164"/>
      <c r="AT35" s="145"/>
      <c r="AU35" s="164"/>
      <c r="AV35" s="145"/>
      <c r="AW35" s="164"/>
      <c r="AX35" s="145"/>
      <c r="AY35" s="164"/>
      <c r="AZ35" s="145"/>
      <c r="BA35" s="164"/>
      <c r="BB35" s="145"/>
      <c r="BC35" s="164"/>
      <c r="BD35" s="145"/>
      <c r="BE35" s="164"/>
      <c r="BF35" s="145"/>
      <c r="BG35" s="164"/>
      <c r="BH35" s="145">
        <v>1</v>
      </c>
      <c r="BI35" s="164">
        <f t="shared" si="11"/>
        <v>1400000</v>
      </c>
      <c r="BJ35" s="145">
        <f t="shared" si="20"/>
        <v>1</v>
      </c>
      <c r="BK35" s="161">
        <f t="shared" si="21"/>
        <v>1400000</v>
      </c>
      <c r="BL35" s="159" t="s">
        <v>216</v>
      </c>
      <c r="BN35" s="163"/>
      <c r="BO35" s="163"/>
      <c r="BP35" s="163">
        <f>BK35</f>
        <v>1400000</v>
      </c>
      <c r="BQ35" s="163"/>
      <c r="BR35" s="163">
        <f t="shared" si="18"/>
        <v>1400000</v>
      </c>
      <c r="BS35" s="163"/>
      <c r="BT35" s="163"/>
      <c r="BU35" s="379">
        <f t="shared" si="19"/>
        <v>0</v>
      </c>
      <c r="BV35" s="164">
        <f t="shared" si="0"/>
        <v>1400000</v>
      </c>
    </row>
    <row r="36" spans="1:74" s="23" customFormat="1">
      <c r="A36" s="996"/>
      <c r="B36" s="196" t="s">
        <v>615</v>
      </c>
      <c r="C36" s="166" t="s">
        <v>116</v>
      </c>
      <c r="D36" s="159" t="s">
        <v>39</v>
      </c>
      <c r="E36" s="135">
        <v>650000</v>
      </c>
      <c r="F36" s="145">
        <f t="shared" ref="F36:F47" si="24">BJ36</f>
        <v>1</v>
      </c>
      <c r="G36" s="388">
        <f t="shared" ref="G36:G47" si="25">F36*E36</f>
        <v>650000</v>
      </c>
      <c r="H36" s="388">
        <f t="shared" si="23"/>
        <v>130000</v>
      </c>
      <c r="I36" s="388">
        <f t="shared" ref="I36:I47" si="26">G36*0.8</f>
        <v>520000</v>
      </c>
      <c r="J36" s="388"/>
      <c r="K36" s="388"/>
      <c r="L36" s="388"/>
      <c r="M36" s="388"/>
      <c r="N36" s="388"/>
      <c r="O36" s="161"/>
      <c r="P36" s="161"/>
      <c r="Q36" s="161"/>
      <c r="R36" s="145"/>
      <c r="S36" s="145"/>
      <c r="T36" s="145">
        <f t="shared" ref="T36:T47" si="27">F36</f>
        <v>1</v>
      </c>
      <c r="U36" s="145"/>
      <c r="V36" s="164"/>
      <c r="W36" s="164"/>
      <c r="X36" s="164">
        <f t="shared" ref="X36:X41" si="28">T36*E36</f>
        <v>650000</v>
      </c>
      <c r="Y36" s="164"/>
      <c r="Z36" s="145"/>
      <c r="AA36" s="164"/>
      <c r="AB36" s="145"/>
      <c r="AC36" s="164"/>
      <c r="AD36" s="145"/>
      <c r="AE36" s="164"/>
      <c r="AF36" s="145"/>
      <c r="AG36" s="164"/>
      <c r="AH36" s="145"/>
      <c r="AI36" s="164"/>
      <c r="AJ36" s="145"/>
      <c r="AK36" s="164"/>
      <c r="AL36" s="145"/>
      <c r="AM36" s="164"/>
      <c r="AN36" s="145"/>
      <c r="AO36" s="164"/>
      <c r="AP36" s="145"/>
      <c r="AQ36" s="164"/>
      <c r="AR36" s="145"/>
      <c r="AS36" s="164"/>
      <c r="AT36" s="145"/>
      <c r="AU36" s="164"/>
      <c r="AV36" s="145"/>
      <c r="AW36" s="164"/>
      <c r="AX36" s="145"/>
      <c r="AY36" s="164"/>
      <c r="AZ36" s="145"/>
      <c r="BA36" s="164"/>
      <c r="BB36" s="145"/>
      <c r="BC36" s="164"/>
      <c r="BD36" s="145"/>
      <c r="BE36" s="164"/>
      <c r="BF36" s="145"/>
      <c r="BG36" s="164"/>
      <c r="BH36" s="145">
        <v>1</v>
      </c>
      <c r="BI36" s="164">
        <f t="shared" si="11"/>
        <v>650000</v>
      </c>
      <c r="BJ36" s="145">
        <f t="shared" si="20"/>
        <v>1</v>
      </c>
      <c r="BK36" s="161">
        <f t="shared" si="21"/>
        <v>650000</v>
      </c>
      <c r="BL36" s="159" t="s">
        <v>216</v>
      </c>
      <c r="BN36" s="163"/>
      <c r="BO36" s="163"/>
      <c r="BP36" s="163">
        <f>BK36</f>
        <v>650000</v>
      </c>
      <c r="BQ36" s="163"/>
      <c r="BR36" s="163">
        <f t="shared" si="18"/>
        <v>650000</v>
      </c>
      <c r="BS36" s="163"/>
      <c r="BT36" s="163"/>
      <c r="BU36" s="379">
        <f t="shared" si="19"/>
        <v>0</v>
      </c>
      <c r="BV36" s="164">
        <f t="shared" si="0"/>
        <v>650000</v>
      </c>
    </row>
    <row r="37" spans="1:74">
      <c r="A37" s="996"/>
      <c r="B37" s="196" t="s">
        <v>615</v>
      </c>
      <c r="C37" s="166" t="s">
        <v>389</v>
      </c>
      <c r="D37" s="159" t="s">
        <v>39</v>
      </c>
      <c r="E37" s="135">
        <v>1800</v>
      </c>
      <c r="F37" s="145">
        <f t="shared" si="24"/>
        <v>1000</v>
      </c>
      <c r="G37" s="388">
        <f t="shared" si="25"/>
        <v>1800000</v>
      </c>
      <c r="H37" s="388">
        <f t="shared" si="23"/>
        <v>360000</v>
      </c>
      <c r="I37" s="388">
        <f t="shared" si="26"/>
        <v>1440000</v>
      </c>
      <c r="J37" s="388"/>
      <c r="K37" s="388"/>
      <c r="L37" s="388"/>
      <c r="M37" s="388"/>
      <c r="N37" s="388"/>
      <c r="O37" s="161"/>
      <c r="P37" s="161"/>
      <c r="Q37" s="161"/>
      <c r="R37" s="145"/>
      <c r="S37" s="145"/>
      <c r="T37" s="145">
        <f t="shared" si="27"/>
        <v>1000</v>
      </c>
      <c r="U37" s="145"/>
      <c r="V37" s="164"/>
      <c r="W37" s="164"/>
      <c r="X37" s="164">
        <f t="shared" si="28"/>
        <v>1800000</v>
      </c>
      <c r="Y37" s="164"/>
      <c r="Z37" s="145"/>
      <c r="AA37" s="164"/>
      <c r="AB37" s="145"/>
      <c r="AC37" s="164"/>
      <c r="AD37" s="145"/>
      <c r="AE37" s="164"/>
      <c r="AF37" s="145"/>
      <c r="AG37" s="164"/>
      <c r="AH37" s="145"/>
      <c r="AI37" s="164"/>
      <c r="AJ37" s="145"/>
      <c r="AK37" s="164"/>
      <c r="AL37" s="145"/>
      <c r="AM37" s="164"/>
      <c r="AN37" s="145"/>
      <c r="AO37" s="164"/>
      <c r="AP37" s="145"/>
      <c r="AQ37" s="164"/>
      <c r="AR37" s="145"/>
      <c r="AS37" s="164"/>
      <c r="AT37" s="145"/>
      <c r="AU37" s="164"/>
      <c r="AV37" s="145"/>
      <c r="AW37" s="164"/>
      <c r="AX37" s="145"/>
      <c r="AY37" s="164"/>
      <c r="AZ37" s="145"/>
      <c r="BA37" s="164"/>
      <c r="BB37" s="145"/>
      <c r="BC37" s="164"/>
      <c r="BD37" s="145"/>
      <c r="BE37" s="164"/>
      <c r="BF37" s="145"/>
      <c r="BG37" s="164"/>
      <c r="BH37" s="145">
        <v>1000</v>
      </c>
      <c r="BI37" s="164">
        <f t="shared" si="11"/>
        <v>1800000</v>
      </c>
      <c r="BJ37" s="145">
        <f t="shared" si="20"/>
        <v>1000</v>
      </c>
      <c r="BK37" s="161">
        <f t="shared" si="21"/>
        <v>1800000</v>
      </c>
      <c r="BL37" s="159" t="s">
        <v>216</v>
      </c>
      <c r="BN37" s="163"/>
      <c r="BO37" s="163"/>
      <c r="BP37" s="163">
        <f>BK37</f>
        <v>1800000</v>
      </c>
      <c r="BQ37" s="163"/>
      <c r="BR37" s="163">
        <f t="shared" si="18"/>
        <v>1800000</v>
      </c>
      <c r="BS37" s="163"/>
      <c r="BT37" s="163"/>
      <c r="BU37" s="379">
        <f t="shared" si="19"/>
        <v>0</v>
      </c>
      <c r="BV37" s="164">
        <f t="shared" si="0"/>
        <v>1800000</v>
      </c>
    </row>
    <row r="38" spans="1:74">
      <c r="A38" s="996"/>
      <c r="B38" s="196" t="s">
        <v>615</v>
      </c>
      <c r="C38" s="166" t="s">
        <v>390</v>
      </c>
      <c r="D38" s="159" t="s">
        <v>74</v>
      </c>
      <c r="E38" s="135" t="s">
        <v>356</v>
      </c>
      <c r="F38" s="145">
        <f t="shared" si="24"/>
        <v>0</v>
      </c>
      <c r="G38" s="388">
        <f t="shared" si="25"/>
        <v>0</v>
      </c>
      <c r="H38" s="388">
        <f t="shared" si="23"/>
        <v>0</v>
      </c>
      <c r="I38" s="388">
        <f t="shared" si="26"/>
        <v>0</v>
      </c>
      <c r="J38" s="388"/>
      <c r="K38" s="388"/>
      <c r="L38" s="388"/>
      <c r="M38" s="388"/>
      <c r="N38" s="388"/>
      <c r="O38" s="161"/>
      <c r="P38" s="161"/>
      <c r="Q38" s="161"/>
      <c r="R38" s="145"/>
      <c r="S38" s="145"/>
      <c r="T38" s="145">
        <f t="shared" si="27"/>
        <v>0</v>
      </c>
      <c r="U38" s="145"/>
      <c r="V38" s="164"/>
      <c r="W38" s="164"/>
      <c r="X38" s="164">
        <f t="shared" si="28"/>
        <v>0</v>
      </c>
      <c r="Y38" s="164"/>
      <c r="Z38" s="145"/>
      <c r="AA38" s="164"/>
      <c r="AB38" s="145"/>
      <c r="AC38" s="164"/>
      <c r="AD38" s="145"/>
      <c r="AE38" s="164"/>
      <c r="AF38" s="145"/>
      <c r="AG38" s="164"/>
      <c r="AH38" s="145"/>
      <c r="AI38" s="164"/>
      <c r="AJ38" s="145"/>
      <c r="AK38" s="164"/>
      <c r="AL38" s="145"/>
      <c r="AM38" s="164"/>
      <c r="AN38" s="145"/>
      <c r="AO38" s="164"/>
      <c r="AP38" s="145"/>
      <c r="AQ38" s="164"/>
      <c r="AR38" s="145"/>
      <c r="AS38" s="164"/>
      <c r="AT38" s="145"/>
      <c r="AU38" s="164"/>
      <c r="AV38" s="145"/>
      <c r="AW38" s="164"/>
      <c r="AX38" s="145"/>
      <c r="AY38" s="164"/>
      <c r="AZ38" s="145"/>
      <c r="BA38" s="164"/>
      <c r="BB38" s="145"/>
      <c r="BC38" s="164"/>
      <c r="BD38" s="145"/>
      <c r="BE38" s="164"/>
      <c r="BF38" s="145"/>
      <c r="BG38" s="164"/>
      <c r="BH38" s="145">
        <v>0</v>
      </c>
      <c r="BI38" s="164">
        <f t="shared" si="11"/>
        <v>0</v>
      </c>
      <c r="BJ38" s="145">
        <f t="shared" si="20"/>
        <v>0</v>
      </c>
      <c r="BK38" s="161">
        <f t="shared" si="21"/>
        <v>0</v>
      </c>
      <c r="BL38" s="159" t="s">
        <v>216</v>
      </c>
      <c r="BN38" s="163"/>
      <c r="BO38" s="163">
        <f>BK38</f>
        <v>0</v>
      </c>
      <c r="BP38" s="163"/>
      <c r="BQ38" s="163"/>
      <c r="BR38" s="163">
        <f t="shared" si="18"/>
        <v>0</v>
      </c>
      <c r="BS38" s="163"/>
      <c r="BT38" s="163"/>
      <c r="BU38" s="379">
        <f t="shared" si="19"/>
        <v>0</v>
      </c>
      <c r="BV38" s="164">
        <f t="shared" si="0"/>
        <v>0</v>
      </c>
    </row>
    <row r="39" spans="1:74">
      <c r="A39" s="996"/>
      <c r="B39" s="196" t="s">
        <v>615</v>
      </c>
      <c r="C39" s="166" t="s">
        <v>391</v>
      </c>
      <c r="D39" s="159" t="s">
        <v>74</v>
      </c>
      <c r="E39" s="135">
        <v>400000</v>
      </c>
      <c r="F39" s="145">
        <f t="shared" si="24"/>
        <v>1</v>
      </c>
      <c r="G39" s="388">
        <f t="shared" si="25"/>
        <v>400000</v>
      </c>
      <c r="H39" s="388">
        <f t="shared" si="23"/>
        <v>80000</v>
      </c>
      <c r="I39" s="388">
        <f t="shared" si="26"/>
        <v>320000</v>
      </c>
      <c r="J39" s="388"/>
      <c r="K39" s="388"/>
      <c r="L39" s="388"/>
      <c r="M39" s="388"/>
      <c r="N39" s="388"/>
      <c r="O39" s="161"/>
      <c r="P39" s="161"/>
      <c r="Q39" s="161"/>
      <c r="R39" s="145"/>
      <c r="S39" s="145"/>
      <c r="T39" s="145">
        <f t="shared" si="27"/>
        <v>1</v>
      </c>
      <c r="U39" s="145"/>
      <c r="V39" s="164"/>
      <c r="W39" s="164"/>
      <c r="X39" s="164">
        <f t="shared" si="28"/>
        <v>400000</v>
      </c>
      <c r="Y39" s="164"/>
      <c r="Z39" s="145"/>
      <c r="AA39" s="164"/>
      <c r="AB39" s="145"/>
      <c r="AC39" s="164"/>
      <c r="AD39" s="145"/>
      <c r="AE39" s="164"/>
      <c r="AF39" s="145"/>
      <c r="AG39" s="164"/>
      <c r="AH39" s="145"/>
      <c r="AI39" s="164"/>
      <c r="AJ39" s="145"/>
      <c r="AK39" s="164"/>
      <c r="AL39" s="145"/>
      <c r="AM39" s="164"/>
      <c r="AN39" s="145"/>
      <c r="AO39" s="164"/>
      <c r="AP39" s="145"/>
      <c r="AQ39" s="164"/>
      <c r="AR39" s="145"/>
      <c r="AS39" s="164"/>
      <c r="AT39" s="145"/>
      <c r="AU39" s="164"/>
      <c r="AV39" s="145"/>
      <c r="AW39" s="164"/>
      <c r="AX39" s="145"/>
      <c r="AY39" s="164"/>
      <c r="AZ39" s="145"/>
      <c r="BA39" s="164"/>
      <c r="BB39" s="145"/>
      <c r="BC39" s="164"/>
      <c r="BD39" s="145"/>
      <c r="BE39" s="164"/>
      <c r="BF39" s="145"/>
      <c r="BG39" s="164"/>
      <c r="BH39" s="145">
        <v>1</v>
      </c>
      <c r="BI39" s="164">
        <f t="shared" si="11"/>
        <v>400000</v>
      </c>
      <c r="BJ39" s="145">
        <f t="shared" si="20"/>
        <v>1</v>
      </c>
      <c r="BK39" s="161">
        <f t="shared" si="21"/>
        <v>400000</v>
      </c>
      <c r="BL39" s="159" t="s">
        <v>216</v>
      </c>
      <c r="BN39" s="163"/>
      <c r="BO39" s="163"/>
      <c r="BP39" s="163"/>
      <c r="BQ39" s="163"/>
      <c r="BR39" s="163">
        <f t="shared" si="18"/>
        <v>0</v>
      </c>
      <c r="BS39" s="163"/>
      <c r="BT39" s="163">
        <f>BK39</f>
        <v>400000</v>
      </c>
      <c r="BU39" s="379">
        <f t="shared" si="19"/>
        <v>400000</v>
      </c>
      <c r="BV39" s="164">
        <f t="shared" si="0"/>
        <v>400000</v>
      </c>
    </row>
    <row r="40" spans="1:74">
      <c r="A40" s="996"/>
      <c r="B40" s="196" t="s">
        <v>615</v>
      </c>
      <c r="C40" s="158" t="s">
        <v>117</v>
      </c>
      <c r="D40" s="159" t="s">
        <v>115</v>
      </c>
      <c r="E40" s="135"/>
      <c r="F40" s="145">
        <f t="shared" si="24"/>
        <v>0</v>
      </c>
      <c r="G40" s="388">
        <f t="shared" si="25"/>
        <v>0</v>
      </c>
      <c r="H40" s="388">
        <f t="shared" si="23"/>
        <v>0</v>
      </c>
      <c r="I40" s="388">
        <f t="shared" si="26"/>
        <v>0</v>
      </c>
      <c r="J40" s="388"/>
      <c r="K40" s="388"/>
      <c r="L40" s="388"/>
      <c r="M40" s="388"/>
      <c r="N40" s="388"/>
      <c r="O40" s="161"/>
      <c r="P40" s="161"/>
      <c r="Q40" s="161"/>
      <c r="R40" s="145"/>
      <c r="S40" s="145"/>
      <c r="T40" s="145">
        <f t="shared" si="27"/>
        <v>0</v>
      </c>
      <c r="U40" s="145"/>
      <c r="V40" s="164"/>
      <c r="W40" s="164"/>
      <c r="X40" s="164">
        <f t="shared" si="28"/>
        <v>0</v>
      </c>
      <c r="Y40" s="164"/>
      <c r="Z40" s="145"/>
      <c r="AA40" s="164"/>
      <c r="AB40" s="145"/>
      <c r="AC40" s="164"/>
      <c r="AD40" s="145"/>
      <c r="AE40" s="164"/>
      <c r="AF40" s="145"/>
      <c r="AG40" s="164"/>
      <c r="AH40" s="145"/>
      <c r="AI40" s="164"/>
      <c r="AJ40" s="145"/>
      <c r="AK40" s="164"/>
      <c r="AL40" s="145"/>
      <c r="AM40" s="164"/>
      <c r="AN40" s="145"/>
      <c r="AO40" s="164"/>
      <c r="AP40" s="145"/>
      <c r="AQ40" s="164"/>
      <c r="AR40" s="145"/>
      <c r="AS40" s="164"/>
      <c r="AT40" s="145"/>
      <c r="AU40" s="164"/>
      <c r="AV40" s="145"/>
      <c r="AW40" s="164"/>
      <c r="AX40" s="145"/>
      <c r="AY40" s="164"/>
      <c r="AZ40" s="145"/>
      <c r="BA40" s="164"/>
      <c r="BB40" s="145"/>
      <c r="BC40" s="164"/>
      <c r="BD40" s="145"/>
      <c r="BE40" s="164"/>
      <c r="BF40" s="145"/>
      <c r="BG40" s="164"/>
      <c r="BH40" s="145"/>
      <c r="BI40" s="164">
        <f t="shared" si="11"/>
        <v>0</v>
      </c>
      <c r="BJ40" s="145">
        <f t="shared" si="20"/>
        <v>0</v>
      </c>
      <c r="BK40" s="161">
        <f t="shared" si="21"/>
        <v>0</v>
      </c>
      <c r="BL40" s="159" t="s">
        <v>115</v>
      </c>
      <c r="BN40" s="163"/>
      <c r="BO40" s="163"/>
      <c r="BP40" s="163"/>
      <c r="BQ40" s="163"/>
      <c r="BR40" s="163"/>
      <c r="BS40" s="163"/>
      <c r="BT40" s="163"/>
      <c r="BU40" s="379">
        <f t="shared" si="19"/>
        <v>0</v>
      </c>
      <c r="BV40" s="164">
        <f t="shared" si="0"/>
        <v>0</v>
      </c>
    </row>
    <row r="41" spans="1:74">
      <c r="A41" s="996"/>
      <c r="B41" s="196" t="s">
        <v>615</v>
      </c>
      <c r="C41" s="158" t="s">
        <v>392</v>
      </c>
      <c r="D41" s="159"/>
      <c r="E41" s="159"/>
      <c r="F41" s="145">
        <f t="shared" si="24"/>
        <v>0</v>
      </c>
      <c r="G41" s="388">
        <f t="shared" si="25"/>
        <v>0</v>
      </c>
      <c r="H41" s="388">
        <f t="shared" si="23"/>
        <v>0</v>
      </c>
      <c r="I41" s="388">
        <f t="shared" si="26"/>
        <v>0</v>
      </c>
      <c r="J41" s="388"/>
      <c r="K41" s="388"/>
      <c r="L41" s="388"/>
      <c r="M41" s="388"/>
      <c r="N41" s="388"/>
      <c r="O41" s="161"/>
      <c r="P41" s="161"/>
      <c r="Q41" s="161"/>
      <c r="R41" s="145"/>
      <c r="S41" s="145"/>
      <c r="T41" s="145">
        <f t="shared" si="27"/>
        <v>0</v>
      </c>
      <c r="U41" s="145"/>
      <c r="V41" s="164"/>
      <c r="W41" s="164"/>
      <c r="X41" s="164">
        <f t="shared" si="28"/>
        <v>0</v>
      </c>
      <c r="Y41" s="164"/>
      <c r="Z41" s="145"/>
      <c r="AA41" s="164"/>
      <c r="AB41" s="145"/>
      <c r="AC41" s="164"/>
      <c r="AD41" s="145"/>
      <c r="AE41" s="164"/>
      <c r="AF41" s="145"/>
      <c r="AG41" s="164"/>
      <c r="AH41" s="145"/>
      <c r="AI41" s="164"/>
      <c r="AJ41" s="145"/>
      <c r="AK41" s="164"/>
      <c r="AL41" s="145"/>
      <c r="AM41" s="164"/>
      <c r="AN41" s="145"/>
      <c r="AO41" s="164"/>
      <c r="AP41" s="145"/>
      <c r="AQ41" s="164"/>
      <c r="AR41" s="145"/>
      <c r="AS41" s="164"/>
      <c r="AT41" s="145"/>
      <c r="AU41" s="164"/>
      <c r="AV41" s="145"/>
      <c r="AW41" s="164"/>
      <c r="AX41" s="145"/>
      <c r="AY41" s="164"/>
      <c r="AZ41" s="145"/>
      <c r="BA41" s="164"/>
      <c r="BB41" s="145"/>
      <c r="BC41" s="164"/>
      <c r="BD41" s="145"/>
      <c r="BE41" s="164"/>
      <c r="BF41" s="145"/>
      <c r="BG41" s="164"/>
      <c r="BH41" s="145"/>
      <c r="BI41" s="164">
        <f t="shared" si="11"/>
        <v>0</v>
      </c>
      <c r="BJ41" s="145">
        <f t="shared" si="20"/>
        <v>0</v>
      </c>
      <c r="BK41" s="161">
        <f t="shared" si="21"/>
        <v>0</v>
      </c>
      <c r="BL41" s="159"/>
      <c r="BN41" s="163"/>
      <c r="BO41" s="163"/>
      <c r="BP41" s="163">
        <f>G41</f>
        <v>0</v>
      </c>
      <c r="BQ41" s="163"/>
      <c r="BR41" s="163">
        <f t="shared" si="18"/>
        <v>0</v>
      </c>
      <c r="BS41" s="163"/>
      <c r="BT41" s="163"/>
      <c r="BU41" s="379">
        <f t="shared" si="19"/>
        <v>0</v>
      </c>
      <c r="BV41" s="164">
        <f t="shared" si="0"/>
        <v>0</v>
      </c>
    </row>
    <row r="42" spans="1:74">
      <c r="A42" s="996"/>
      <c r="B42" s="196" t="s">
        <v>615</v>
      </c>
      <c r="C42" s="166" t="s">
        <v>393</v>
      </c>
      <c r="D42" s="159" t="s">
        <v>65</v>
      </c>
      <c r="E42" s="135" t="s">
        <v>356</v>
      </c>
      <c r="F42" s="145">
        <f t="shared" si="24"/>
        <v>0</v>
      </c>
      <c r="G42" s="388">
        <f t="shared" si="25"/>
        <v>0</v>
      </c>
      <c r="H42" s="388">
        <f>G42*0.2</f>
        <v>0</v>
      </c>
      <c r="I42" s="388">
        <f>G42*0.8</f>
        <v>0</v>
      </c>
      <c r="J42" s="388">
        <f t="shared" ref="J42:BC42" si="29">I42*H42</f>
        <v>0</v>
      </c>
      <c r="K42" s="388">
        <f t="shared" si="29"/>
        <v>0</v>
      </c>
      <c r="L42" s="388">
        <f t="shared" si="29"/>
        <v>0</v>
      </c>
      <c r="M42" s="388">
        <f t="shared" si="29"/>
        <v>0</v>
      </c>
      <c r="N42" s="388">
        <f t="shared" si="29"/>
        <v>0</v>
      </c>
      <c r="O42" s="388">
        <f t="shared" si="29"/>
        <v>0</v>
      </c>
      <c r="P42" s="388">
        <f t="shared" si="29"/>
        <v>0</v>
      </c>
      <c r="Q42" s="388">
        <f t="shared" si="29"/>
        <v>0</v>
      </c>
      <c r="R42" s="388">
        <f t="shared" si="29"/>
        <v>0</v>
      </c>
      <c r="S42" s="388">
        <f t="shared" si="29"/>
        <v>0</v>
      </c>
      <c r="T42" s="388">
        <f t="shared" si="29"/>
        <v>0</v>
      </c>
      <c r="U42" s="388">
        <f t="shared" si="29"/>
        <v>0</v>
      </c>
      <c r="V42" s="388">
        <f t="shared" si="29"/>
        <v>0</v>
      </c>
      <c r="W42" s="388">
        <f t="shared" si="29"/>
        <v>0</v>
      </c>
      <c r="X42" s="388">
        <f t="shared" si="29"/>
        <v>0</v>
      </c>
      <c r="Y42" s="388">
        <f t="shared" si="29"/>
        <v>0</v>
      </c>
      <c r="Z42" s="388">
        <f t="shared" si="29"/>
        <v>0</v>
      </c>
      <c r="AA42" s="388">
        <f t="shared" si="29"/>
        <v>0</v>
      </c>
      <c r="AB42" s="388">
        <f t="shared" si="29"/>
        <v>0</v>
      </c>
      <c r="AC42" s="388">
        <f t="shared" si="29"/>
        <v>0</v>
      </c>
      <c r="AD42" s="388">
        <f t="shared" si="29"/>
        <v>0</v>
      </c>
      <c r="AE42" s="388">
        <f t="shared" si="29"/>
        <v>0</v>
      </c>
      <c r="AF42" s="388">
        <f t="shared" si="29"/>
        <v>0</v>
      </c>
      <c r="AG42" s="388">
        <f t="shared" si="29"/>
        <v>0</v>
      </c>
      <c r="AH42" s="388">
        <f t="shared" si="29"/>
        <v>0</v>
      </c>
      <c r="AI42" s="388">
        <f t="shared" si="29"/>
        <v>0</v>
      </c>
      <c r="AJ42" s="388">
        <f t="shared" si="29"/>
        <v>0</v>
      </c>
      <c r="AK42" s="388">
        <f t="shared" si="29"/>
        <v>0</v>
      </c>
      <c r="AL42" s="388">
        <f t="shared" si="29"/>
        <v>0</v>
      </c>
      <c r="AM42" s="388">
        <f t="shared" si="29"/>
        <v>0</v>
      </c>
      <c r="AN42" s="388">
        <f t="shared" si="29"/>
        <v>0</v>
      </c>
      <c r="AO42" s="388">
        <f t="shared" si="29"/>
        <v>0</v>
      </c>
      <c r="AP42" s="388">
        <f t="shared" si="29"/>
        <v>0</v>
      </c>
      <c r="AQ42" s="388">
        <f t="shared" si="29"/>
        <v>0</v>
      </c>
      <c r="AR42" s="388">
        <f t="shared" si="29"/>
        <v>0</v>
      </c>
      <c r="AS42" s="388">
        <f t="shared" si="29"/>
        <v>0</v>
      </c>
      <c r="AT42" s="388">
        <f t="shared" si="29"/>
        <v>0</v>
      </c>
      <c r="AU42" s="388">
        <f t="shared" si="29"/>
        <v>0</v>
      </c>
      <c r="AV42" s="388">
        <f t="shared" si="29"/>
        <v>0</v>
      </c>
      <c r="AW42" s="388">
        <f t="shared" si="29"/>
        <v>0</v>
      </c>
      <c r="AX42" s="388">
        <f t="shared" si="29"/>
        <v>0</v>
      </c>
      <c r="AY42" s="388">
        <f t="shared" si="29"/>
        <v>0</v>
      </c>
      <c r="AZ42" s="388">
        <f t="shared" si="29"/>
        <v>0</v>
      </c>
      <c r="BA42" s="388">
        <f t="shared" si="29"/>
        <v>0</v>
      </c>
      <c r="BB42" s="388">
        <f t="shared" si="29"/>
        <v>0</v>
      </c>
      <c r="BC42" s="388">
        <f t="shared" si="29"/>
        <v>0</v>
      </c>
      <c r="BD42" s="145"/>
      <c r="BE42" s="164"/>
      <c r="BF42" s="145"/>
      <c r="BG42" s="164"/>
      <c r="BH42" s="145">
        <v>0</v>
      </c>
      <c r="BI42" s="164">
        <f t="shared" si="11"/>
        <v>0</v>
      </c>
      <c r="BJ42" s="145">
        <f t="shared" si="20"/>
        <v>0</v>
      </c>
      <c r="BK42" s="161">
        <f t="shared" si="21"/>
        <v>0</v>
      </c>
      <c r="BL42" s="159" t="s">
        <v>216</v>
      </c>
      <c r="BN42" s="163"/>
      <c r="BO42" s="163"/>
      <c r="BP42" s="163">
        <f>G42</f>
        <v>0</v>
      </c>
      <c r="BQ42" s="163"/>
      <c r="BR42" s="163">
        <f t="shared" si="18"/>
        <v>0</v>
      </c>
      <c r="BS42" s="163"/>
      <c r="BT42" s="163"/>
      <c r="BU42" s="379">
        <f t="shared" si="19"/>
        <v>0</v>
      </c>
      <c r="BV42" s="164">
        <f t="shared" si="0"/>
        <v>0</v>
      </c>
    </row>
    <row r="43" spans="1:74" ht="31.5">
      <c r="A43" s="996"/>
      <c r="B43" s="196" t="s">
        <v>615</v>
      </c>
      <c r="C43" s="134" t="s">
        <v>537</v>
      </c>
      <c r="D43" s="159" t="s">
        <v>16</v>
      </c>
      <c r="E43" s="135">
        <v>14000000</v>
      </c>
      <c r="F43" s="145">
        <f t="shared" si="24"/>
        <v>1</v>
      </c>
      <c r="G43" s="388">
        <f t="shared" si="25"/>
        <v>14000000</v>
      </c>
      <c r="H43" s="388">
        <f>G43*0.5</f>
        <v>7000000</v>
      </c>
      <c r="I43" s="388">
        <f>G43*0.5</f>
        <v>7000000</v>
      </c>
      <c r="J43" s="388"/>
      <c r="K43" s="388"/>
      <c r="L43" s="388"/>
      <c r="M43" s="388"/>
      <c r="N43" s="388"/>
      <c r="O43" s="161"/>
      <c r="P43" s="161"/>
      <c r="Q43" s="161"/>
      <c r="R43" s="145">
        <v>0.25</v>
      </c>
      <c r="S43" s="145">
        <v>0.25</v>
      </c>
      <c r="T43" s="145">
        <f>F43*0.25</f>
        <v>0.25</v>
      </c>
      <c r="U43" s="145">
        <v>0.25</v>
      </c>
      <c r="V43" s="388">
        <f>G43*R43</f>
        <v>3500000</v>
      </c>
      <c r="W43" s="388">
        <f>G43*S43</f>
        <v>3500000</v>
      </c>
      <c r="X43" s="388">
        <f>G43*T43</f>
        <v>3500000</v>
      </c>
      <c r="Y43" s="388">
        <f>G43*U43</f>
        <v>3500000</v>
      </c>
      <c r="Z43" s="145"/>
      <c r="AA43" s="164"/>
      <c r="AB43" s="145"/>
      <c r="AC43" s="164"/>
      <c r="AD43" s="145"/>
      <c r="AE43" s="164"/>
      <c r="AF43" s="145"/>
      <c r="AG43" s="164"/>
      <c r="AH43" s="145"/>
      <c r="AI43" s="164"/>
      <c r="AJ43" s="145"/>
      <c r="AK43" s="164"/>
      <c r="AL43" s="145"/>
      <c r="AM43" s="164"/>
      <c r="AN43" s="145"/>
      <c r="AO43" s="164"/>
      <c r="AP43" s="145"/>
      <c r="AQ43" s="164"/>
      <c r="AR43" s="145"/>
      <c r="AS43" s="164"/>
      <c r="AT43" s="145"/>
      <c r="AU43" s="164"/>
      <c r="AV43" s="145"/>
      <c r="AW43" s="164"/>
      <c r="AX43" s="145"/>
      <c r="AY43" s="164"/>
      <c r="AZ43" s="145"/>
      <c r="BA43" s="164"/>
      <c r="BB43" s="145"/>
      <c r="BC43" s="164"/>
      <c r="BD43" s="145"/>
      <c r="BE43" s="164"/>
      <c r="BF43" s="145"/>
      <c r="BG43" s="164"/>
      <c r="BH43" s="145">
        <v>1</v>
      </c>
      <c r="BI43" s="164">
        <f t="shared" si="11"/>
        <v>14000000</v>
      </c>
      <c r="BJ43" s="145">
        <f t="shared" si="20"/>
        <v>1</v>
      </c>
      <c r="BK43" s="161">
        <f t="shared" si="21"/>
        <v>14000000</v>
      </c>
      <c r="BL43" s="159"/>
      <c r="BN43" s="163"/>
      <c r="BO43" s="163"/>
      <c r="BP43" s="163">
        <f>BK43</f>
        <v>14000000</v>
      </c>
      <c r="BQ43" s="163"/>
      <c r="BR43" s="163">
        <f t="shared" si="18"/>
        <v>14000000</v>
      </c>
      <c r="BS43" s="163"/>
      <c r="BT43" s="163"/>
      <c r="BU43" s="379">
        <f t="shared" si="19"/>
        <v>0</v>
      </c>
      <c r="BV43" s="164">
        <f t="shared" si="0"/>
        <v>14000000</v>
      </c>
    </row>
    <row r="44" spans="1:74">
      <c r="A44" s="996"/>
      <c r="B44" s="196" t="s">
        <v>615</v>
      </c>
      <c r="C44" s="166" t="s">
        <v>118</v>
      </c>
      <c r="D44" s="159" t="s">
        <v>16</v>
      </c>
      <c r="E44" s="216">
        <v>50000</v>
      </c>
      <c r="F44" s="145">
        <f t="shared" si="24"/>
        <v>1</v>
      </c>
      <c r="G44" s="388">
        <f t="shared" si="25"/>
        <v>50000</v>
      </c>
      <c r="H44" s="388">
        <f t="shared" si="23"/>
        <v>10000</v>
      </c>
      <c r="I44" s="388">
        <f t="shared" si="26"/>
        <v>40000</v>
      </c>
      <c r="J44" s="388"/>
      <c r="K44" s="388"/>
      <c r="L44" s="388"/>
      <c r="M44" s="388"/>
      <c r="N44" s="388"/>
      <c r="O44" s="161"/>
      <c r="P44" s="161"/>
      <c r="Q44" s="161"/>
      <c r="R44" s="145"/>
      <c r="S44" s="145"/>
      <c r="T44" s="145">
        <f t="shared" si="27"/>
        <v>1</v>
      </c>
      <c r="U44" s="145"/>
      <c r="V44" s="164"/>
      <c r="W44" s="164"/>
      <c r="X44" s="164">
        <f>T44*E44</f>
        <v>50000</v>
      </c>
      <c r="Y44" s="164"/>
      <c r="Z44" s="145"/>
      <c r="AA44" s="164"/>
      <c r="AB44" s="145"/>
      <c r="AC44" s="164"/>
      <c r="AD44" s="145"/>
      <c r="AE44" s="164"/>
      <c r="AF44" s="145"/>
      <c r="AG44" s="164"/>
      <c r="AH44" s="145"/>
      <c r="AI44" s="164"/>
      <c r="AJ44" s="145"/>
      <c r="AK44" s="164"/>
      <c r="AL44" s="145"/>
      <c r="AM44" s="164"/>
      <c r="AN44" s="145"/>
      <c r="AO44" s="164"/>
      <c r="AP44" s="145"/>
      <c r="AQ44" s="164"/>
      <c r="AR44" s="145"/>
      <c r="AS44" s="164"/>
      <c r="AT44" s="145"/>
      <c r="AU44" s="164"/>
      <c r="AV44" s="145"/>
      <c r="AW44" s="164"/>
      <c r="AX44" s="145"/>
      <c r="AY44" s="164"/>
      <c r="AZ44" s="145"/>
      <c r="BA44" s="164"/>
      <c r="BB44" s="145"/>
      <c r="BC44" s="164"/>
      <c r="BD44" s="145"/>
      <c r="BE44" s="164"/>
      <c r="BF44" s="145"/>
      <c r="BG44" s="164"/>
      <c r="BH44" s="145">
        <v>1</v>
      </c>
      <c r="BI44" s="164">
        <f t="shared" si="11"/>
        <v>50000</v>
      </c>
      <c r="BJ44" s="145">
        <f t="shared" si="20"/>
        <v>1</v>
      </c>
      <c r="BK44" s="161">
        <f t="shared" si="21"/>
        <v>50000</v>
      </c>
      <c r="BL44" s="159" t="s">
        <v>216</v>
      </c>
      <c r="BN44" s="163"/>
      <c r="BO44" s="163"/>
      <c r="BP44" s="163"/>
      <c r="BQ44" s="163"/>
      <c r="BR44" s="163">
        <f t="shared" si="18"/>
        <v>0</v>
      </c>
      <c r="BS44" s="163"/>
      <c r="BT44" s="163">
        <f>BK44</f>
        <v>50000</v>
      </c>
      <c r="BU44" s="379">
        <f t="shared" si="19"/>
        <v>50000</v>
      </c>
      <c r="BV44" s="164">
        <f t="shared" si="0"/>
        <v>50000</v>
      </c>
    </row>
    <row r="45" spans="1:74">
      <c r="A45" s="996"/>
      <c r="B45" s="196" t="s">
        <v>615</v>
      </c>
      <c r="C45" s="166" t="s">
        <v>394</v>
      </c>
      <c r="D45" s="159" t="s">
        <v>16</v>
      </c>
      <c r="E45" s="135">
        <v>200000</v>
      </c>
      <c r="F45" s="145">
        <f t="shared" si="24"/>
        <v>1</v>
      </c>
      <c r="G45" s="388">
        <f t="shared" si="25"/>
        <v>200000</v>
      </c>
      <c r="H45" s="388">
        <f t="shared" si="23"/>
        <v>40000</v>
      </c>
      <c r="I45" s="388">
        <f t="shared" si="26"/>
        <v>160000</v>
      </c>
      <c r="J45" s="388"/>
      <c r="K45" s="388"/>
      <c r="L45" s="388"/>
      <c r="M45" s="388"/>
      <c r="N45" s="388"/>
      <c r="O45" s="161"/>
      <c r="P45" s="161"/>
      <c r="Q45" s="161"/>
      <c r="R45" s="145"/>
      <c r="S45" s="145"/>
      <c r="T45" s="145">
        <f t="shared" si="27"/>
        <v>1</v>
      </c>
      <c r="U45" s="145"/>
      <c r="V45" s="164"/>
      <c r="W45" s="164"/>
      <c r="X45" s="164">
        <f>T45*E45</f>
        <v>200000</v>
      </c>
      <c r="Y45" s="164"/>
      <c r="Z45" s="145"/>
      <c r="AA45" s="164"/>
      <c r="AB45" s="145"/>
      <c r="AC45" s="164"/>
      <c r="AD45" s="145"/>
      <c r="AE45" s="164"/>
      <c r="AF45" s="145"/>
      <c r="AG45" s="164"/>
      <c r="AH45" s="145"/>
      <c r="AI45" s="164"/>
      <c r="AJ45" s="145"/>
      <c r="AK45" s="164"/>
      <c r="AL45" s="145"/>
      <c r="AM45" s="164"/>
      <c r="AN45" s="145"/>
      <c r="AO45" s="164"/>
      <c r="AP45" s="145"/>
      <c r="AQ45" s="164"/>
      <c r="AR45" s="145"/>
      <c r="AS45" s="164"/>
      <c r="AT45" s="145"/>
      <c r="AU45" s="164"/>
      <c r="AV45" s="145"/>
      <c r="AW45" s="164"/>
      <c r="AX45" s="145"/>
      <c r="AY45" s="164"/>
      <c r="AZ45" s="145"/>
      <c r="BA45" s="164"/>
      <c r="BB45" s="145"/>
      <c r="BC45" s="164"/>
      <c r="BD45" s="145"/>
      <c r="BE45" s="164"/>
      <c r="BF45" s="145"/>
      <c r="BG45" s="164"/>
      <c r="BH45" s="145">
        <v>1</v>
      </c>
      <c r="BI45" s="164">
        <f t="shared" si="11"/>
        <v>200000</v>
      </c>
      <c r="BJ45" s="145">
        <f t="shared" si="20"/>
        <v>1</v>
      </c>
      <c r="BK45" s="161">
        <f t="shared" si="21"/>
        <v>200000</v>
      </c>
      <c r="BL45" s="159" t="s">
        <v>216</v>
      </c>
      <c r="BN45" s="163"/>
      <c r="BO45" s="163"/>
      <c r="BP45" s="163">
        <f>G45</f>
        <v>200000</v>
      </c>
      <c r="BQ45" s="163"/>
      <c r="BR45" s="163">
        <f t="shared" si="18"/>
        <v>200000</v>
      </c>
      <c r="BS45" s="163"/>
      <c r="BT45" s="163">
        <f>BK45</f>
        <v>200000</v>
      </c>
      <c r="BU45" s="379">
        <f t="shared" si="19"/>
        <v>200000</v>
      </c>
      <c r="BV45" s="164">
        <f t="shared" si="0"/>
        <v>400000</v>
      </c>
    </row>
    <row r="46" spans="1:74">
      <c r="A46" s="996"/>
      <c r="B46" s="196" t="s">
        <v>615</v>
      </c>
      <c r="C46" s="166" t="s">
        <v>395</v>
      </c>
      <c r="D46" s="159" t="s">
        <v>16</v>
      </c>
      <c r="E46" s="135">
        <v>500000</v>
      </c>
      <c r="F46" s="145">
        <f t="shared" si="24"/>
        <v>1</v>
      </c>
      <c r="G46" s="388">
        <f t="shared" si="25"/>
        <v>500000</v>
      </c>
      <c r="H46" s="388">
        <f t="shared" si="23"/>
        <v>100000</v>
      </c>
      <c r="I46" s="388">
        <f t="shared" si="26"/>
        <v>400000</v>
      </c>
      <c r="J46" s="389"/>
      <c r="K46" s="389"/>
      <c r="L46" s="389"/>
      <c r="M46" s="389"/>
      <c r="N46" s="389"/>
      <c r="O46" s="389"/>
      <c r="P46" s="389"/>
      <c r="Q46" s="389"/>
      <c r="R46" s="196"/>
      <c r="S46" s="196"/>
      <c r="T46" s="145">
        <f t="shared" si="27"/>
        <v>1</v>
      </c>
      <c r="U46" s="196"/>
      <c r="V46" s="389"/>
      <c r="W46" s="389"/>
      <c r="X46" s="164">
        <f>T46*E46</f>
        <v>500000</v>
      </c>
      <c r="Y46" s="389"/>
      <c r="Z46" s="196"/>
      <c r="AA46" s="389"/>
      <c r="AB46" s="196"/>
      <c r="AC46" s="389"/>
      <c r="AD46" s="196"/>
      <c r="AE46" s="389"/>
      <c r="AF46" s="196"/>
      <c r="AG46" s="389"/>
      <c r="AH46" s="196"/>
      <c r="AI46" s="389"/>
      <c r="AJ46" s="196"/>
      <c r="AK46" s="389"/>
      <c r="AL46" s="196"/>
      <c r="AM46" s="389"/>
      <c r="AN46" s="196"/>
      <c r="AO46" s="389"/>
      <c r="AP46" s="196"/>
      <c r="AQ46" s="389"/>
      <c r="AR46" s="196"/>
      <c r="AS46" s="389"/>
      <c r="AT46" s="196"/>
      <c r="AU46" s="389"/>
      <c r="AV46" s="196"/>
      <c r="AW46" s="389"/>
      <c r="AX46" s="196"/>
      <c r="AY46" s="389"/>
      <c r="AZ46" s="196"/>
      <c r="BA46" s="389"/>
      <c r="BB46" s="196"/>
      <c r="BC46" s="389"/>
      <c r="BD46" s="196"/>
      <c r="BE46" s="389"/>
      <c r="BF46" s="196"/>
      <c r="BG46" s="389"/>
      <c r="BH46" s="196">
        <v>1</v>
      </c>
      <c r="BI46" s="164">
        <f t="shared" si="11"/>
        <v>500000</v>
      </c>
      <c r="BJ46" s="196">
        <f t="shared" si="20"/>
        <v>1</v>
      </c>
      <c r="BK46" s="389">
        <f t="shared" si="21"/>
        <v>500000</v>
      </c>
      <c r="BL46" s="159"/>
      <c r="BN46" s="392">
        <f t="shared" ref="BN46:BS46" si="30">SUM(BN20:BN45)</f>
        <v>0</v>
      </c>
      <c r="BO46" s="392">
        <f t="shared" si="30"/>
        <v>0</v>
      </c>
      <c r="BP46" s="392"/>
      <c r="BQ46" s="392">
        <f t="shared" si="30"/>
        <v>0</v>
      </c>
      <c r="BR46" s="163">
        <f t="shared" si="18"/>
        <v>0</v>
      </c>
      <c r="BS46" s="392">
        <f t="shared" si="30"/>
        <v>0</v>
      </c>
      <c r="BT46" s="392"/>
      <c r="BU46" s="379">
        <f t="shared" si="19"/>
        <v>0</v>
      </c>
      <c r="BV46" s="164">
        <f t="shared" si="0"/>
        <v>0</v>
      </c>
    </row>
    <row r="47" spans="1:74">
      <c r="A47" s="996"/>
      <c r="B47" s="196" t="s">
        <v>615</v>
      </c>
      <c r="C47" s="166" t="s">
        <v>539</v>
      </c>
      <c r="D47" s="159" t="s">
        <v>16</v>
      </c>
      <c r="E47" s="135">
        <v>500000</v>
      </c>
      <c r="F47" s="145">
        <f t="shared" si="24"/>
        <v>1</v>
      </c>
      <c r="G47" s="388">
        <f t="shared" si="25"/>
        <v>500000</v>
      </c>
      <c r="H47" s="388">
        <f t="shared" si="23"/>
        <v>100000</v>
      </c>
      <c r="I47" s="388">
        <f t="shared" si="26"/>
        <v>400000</v>
      </c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>
        <f t="shared" si="27"/>
        <v>1</v>
      </c>
      <c r="U47" s="145"/>
      <c r="V47" s="145"/>
      <c r="W47" s="145"/>
      <c r="X47" s="164">
        <f>T47*E47</f>
        <v>500000</v>
      </c>
      <c r="Y47" s="145"/>
      <c r="Z47" s="145"/>
      <c r="AA47" s="145"/>
      <c r="AB47" s="145"/>
      <c r="AC47" s="164"/>
      <c r="AD47" s="145"/>
      <c r="AE47" s="164"/>
      <c r="AF47" s="145"/>
      <c r="AG47" s="164"/>
      <c r="AH47" s="145"/>
      <c r="AI47" s="164"/>
      <c r="AJ47" s="145"/>
      <c r="AK47" s="164"/>
      <c r="AL47" s="145"/>
      <c r="AM47" s="164"/>
      <c r="AN47" s="145"/>
      <c r="AO47" s="164"/>
      <c r="AP47" s="145"/>
      <c r="AQ47" s="164"/>
      <c r="AR47" s="145"/>
      <c r="AS47" s="164"/>
      <c r="AT47" s="145"/>
      <c r="AU47" s="164"/>
      <c r="AV47" s="145"/>
      <c r="AW47" s="164"/>
      <c r="AX47" s="145"/>
      <c r="AY47" s="164"/>
      <c r="AZ47" s="145"/>
      <c r="BA47" s="164"/>
      <c r="BB47" s="145"/>
      <c r="BC47" s="164"/>
      <c r="BD47" s="145"/>
      <c r="BE47" s="164"/>
      <c r="BF47" s="145"/>
      <c r="BG47" s="164"/>
      <c r="BH47" s="145">
        <v>1</v>
      </c>
      <c r="BI47" s="164">
        <f t="shared" si="11"/>
        <v>500000</v>
      </c>
      <c r="BJ47" s="145">
        <f t="shared" si="20"/>
        <v>1</v>
      </c>
      <c r="BK47" s="145">
        <f t="shared" si="21"/>
        <v>500000</v>
      </c>
      <c r="BL47" s="159" t="s">
        <v>216</v>
      </c>
      <c r="BN47" s="163"/>
      <c r="BO47" s="163">
        <f>BK47</f>
        <v>500000</v>
      </c>
      <c r="BP47" s="163"/>
      <c r="BQ47" s="163"/>
      <c r="BR47" s="163">
        <f t="shared" si="18"/>
        <v>500000</v>
      </c>
      <c r="BS47" s="163"/>
      <c r="BT47" s="163"/>
      <c r="BU47" s="379">
        <f t="shared" si="19"/>
        <v>0</v>
      </c>
      <c r="BV47" s="164">
        <f t="shared" si="0"/>
        <v>500000</v>
      </c>
    </row>
    <row r="48" spans="1:74" s="23" customFormat="1">
      <c r="A48" s="996"/>
      <c r="B48" s="228"/>
      <c r="C48" s="158" t="s">
        <v>119</v>
      </c>
      <c r="D48" s="168" t="s">
        <v>115</v>
      </c>
      <c r="E48" s="177" t="s">
        <v>115</v>
      </c>
      <c r="F48" s="155">
        <f>SUM(F35:F47)</f>
        <v>1008</v>
      </c>
      <c r="G48" s="155">
        <f t="shared" ref="G48:BR48" si="31">SUM(G35:G47)</f>
        <v>19500000</v>
      </c>
      <c r="H48" s="155">
        <f t="shared" si="31"/>
        <v>8100000</v>
      </c>
      <c r="I48" s="155">
        <f t="shared" si="31"/>
        <v>11400000</v>
      </c>
      <c r="J48" s="155">
        <f t="shared" si="31"/>
        <v>0</v>
      </c>
      <c r="K48" s="155">
        <f t="shared" si="31"/>
        <v>0</v>
      </c>
      <c r="L48" s="155">
        <f t="shared" si="31"/>
        <v>0</v>
      </c>
      <c r="M48" s="155">
        <f t="shared" si="31"/>
        <v>0</v>
      </c>
      <c r="N48" s="155">
        <f t="shared" si="31"/>
        <v>0</v>
      </c>
      <c r="O48" s="155">
        <f t="shared" si="31"/>
        <v>0</v>
      </c>
      <c r="P48" s="155">
        <f t="shared" si="31"/>
        <v>0</v>
      </c>
      <c r="Q48" s="155">
        <f t="shared" si="31"/>
        <v>0</v>
      </c>
      <c r="R48" s="155">
        <f t="shared" si="31"/>
        <v>0.25</v>
      </c>
      <c r="S48" s="155">
        <f t="shared" si="31"/>
        <v>0.25</v>
      </c>
      <c r="T48" s="155">
        <f t="shared" si="31"/>
        <v>1007.25</v>
      </c>
      <c r="U48" s="155">
        <f t="shared" si="31"/>
        <v>0.25</v>
      </c>
      <c r="V48" s="155">
        <f t="shared" si="31"/>
        <v>3500000</v>
      </c>
      <c r="W48" s="155">
        <f t="shared" si="31"/>
        <v>3500000</v>
      </c>
      <c r="X48" s="155">
        <f t="shared" si="31"/>
        <v>9000000</v>
      </c>
      <c r="Y48" s="155">
        <f t="shared" si="31"/>
        <v>3500000</v>
      </c>
      <c r="Z48" s="155">
        <f t="shared" si="31"/>
        <v>0</v>
      </c>
      <c r="AA48" s="155">
        <f t="shared" si="31"/>
        <v>0</v>
      </c>
      <c r="AB48" s="155">
        <f t="shared" si="31"/>
        <v>0</v>
      </c>
      <c r="AC48" s="155">
        <f t="shared" si="31"/>
        <v>0</v>
      </c>
      <c r="AD48" s="155">
        <f t="shared" si="31"/>
        <v>0</v>
      </c>
      <c r="AE48" s="155">
        <f t="shared" si="31"/>
        <v>0</v>
      </c>
      <c r="AF48" s="155">
        <f t="shared" si="31"/>
        <v>0</v>
      </c>
      <c r="AG48" s="155">
        <f t="shared" si="31"/>
        <v>0</v>
      </c>
      <c r="AH48" s="155">
        <f t="shared" si="31"/>
        <v>0</v>
      </c>
      <c r="AI48" s="155">
        <f t="shared" si="31"/>
        <v>0</v>
      </c>
      <c r="AJ48" s="155">
        <f t="shared" si="31"/>
        <v>0</v>
      </c>
      <c r="AK48" s="155">
        <f t="shared" si="31"/>
        <v>0</v>
      </c>
      <c r="AL48" s="155">
        <f t="shared" si="31"/>
        <v>0</v>
      </c>
      <c r="AM48" s="155">
        <f t="shared" si="31"/>
        <v>0</v>
      </c>
      <c r="AN48" s="155">
        <f t="shared" si="31"/>
        <v>0</v>
      </c>
      <c r="AO48" s="155">
        <f t="shared" si="31"/>
        <v>0</v>
      </c>
      <c r="AP48" s="155">
        <f t="shared" si="31"/>
        <v>0</v>
      </c>
      <c r="AQ48" s="155">
        <f t="shared" si="31"/>
        <v>0</v>
      </c>
      <c r="AR48" s="155">
        <f t="shared" si="31"/>
        <v>0</v>
      </c>
      <c r="AS48" s="155">
        <f t="shared" si="31"/>
        <v>0</v>
      </c>
      <c r="AT48" s="155">
        <f t="shared" si="31"/>
        <v>0</v>
      </c>
      <c r="AU48" s="155">
        <f t="shared" si="31"/>
        <v>0</v>
      </c>
      <c r="AV48" s="155">
        <f t="shared" si="31"/>
        <v>0</v>
      </c>
      <c r="AW48" s="155">
        <f t="shared" si="31"/>
        <v>0</v>
      </c>
      <c r="AX48" s="155">
        <f t="shared" si="31"/>
        <v>0</v>
      </c>
      <c r="AY48" s="155">
        <f t="shared" si="31"/>
        <v>0</v>
      </c>
      <c r="AZ48" s="155">
        <f t="shared" si="31"/>
        <v>0</v>
      </c>
      <c r="BA48" s="155">
        <f t="shared" si="31"/>
        <v>0</v>
      </c>
      <c r="BB48" s="155">
        <f t="shared" si="31"/>
        <v>0</v>
      </c>
      <c r="BC48" s="155">
        <f t="shared" si="31"/>
        <v>0</v>
      </c>
      <c r="BD48" s="155">
        <f t="shared" si="31"/>
        <v>0</v>
      </c>
      <c r="BE48" s="155">
        <f t="shared" si="31"/>
        <v>0</v>
      </c>
      <c r="BF48" s="155">
        <f t="shared" si="31"/>
        <v>0</v>
      </c>
      <c r="BG48" s="155">
        <f t="shared" si="31"/>
        <v>0</v>
      </c>
      <c r="BH48" s="155">
        <f t="shared" si="31"/>
        <v>1008</v>
      </c>
      <c r="BI48" s="155">
        <f t="shared" si="31"/>
        <v>19500000</v>
      </c>
      <c r="BJ48" s="155">
        <f t="shared" si="31"/>
        <v>1008</v>
      </c>
      <c r="BK48" s="155">
        <f t="shared" si="31"/>
        <v>19500000</v>
      </c>
      <c r="BL48" s="155">
        <f t="shared" si="31"/>
        <v>0</v>
      </c>
      <c r="BM48" s="155">
        <f t="shared" si="31"/>
        <v>0</v>
      </c>
      <c r="BN48" s="155">
        <f t="shared" si="31"/>
        <v>0</v>
      </c>
      <c r="BO48" s="155">
        <f t="shared" si="31"/>
        <v>500000</v>
      </c>
      <c r="BP48" s="155">
        <f t="shared" si="31"/>
        <v>18050000</v>
      </c>
      <c r="BQ48" s="155">
        <f t="shared" si="31"/>
        <v>0</v>
      </c>
      <c r="BR48" s="155">
        <f t="shared" si="31"/>
        <v>18550000</v>
      </c>
      <c r="BS48" s="155">
        <f>SUM(BS35:BS47)</f>
        <v>0</v>
      </c>
      <c r="BT48" s="155">
        <f>SUM(BT35:BT47)</f>
        <v>650000</v>
      </c>
      <c r="BU48" s="155">
        <f>SUM(BU35:BU47)</f>
        <v>650000</v>
      </c>
      <c r="BV48" s="155">
        <f>SUM(BV35:BV47)</f>
        <v>19200000</v>
      </c>
    </row>
    <row r="49" spans="1:74">
      <c r="A49" s="996"/>
      <c r="B49" s="196"/>
      <c r="C49" s="158" t="s">
        <v>396</v>
      </c>
      <c r="D49" s="159" t="s">
        <v>115</v>
      </c>
      <c r="E49" s="135"/>
      <c r="F49" s="145"/>
      <c r="G49" s="388"/>
      <c r="H49" s="388"/>
      <c r="I49" s="388"/>
      <c r="J49" s="388"/>
      <c r="K49" s="388"/>
      <c r="L49" s="388"/>
      <c r="M49" s="388"/>
      <c r="N49" s="388"/>
      <c r="O49" s="161"/>
      <c r="P49" s="161"/>
      <c r="Q49" s="161"/>
      <c r="R49" s="145"/>
      <c r="S49" s="145"/>
      <c r="T49" s="145"/>
      <c r="U49" s="145"/>
      <c r="V49" s="164"/>
      <c r="W49" s="164"/>
      <c r="X49" s="164"/>
      <c r="Y49" s="164"/>
      <c r="Z49" s="145"/>
      <c r="AA49" s="164"/>
      <c r="AB49" s="145"/>
      <c r="AC49" s="164"/>
      <c r="AD49" s="145"/>
      <c r="AE49" s="164"/>
      <c r="AF49" s="145"/>
      <c r="AG49" s="164"/>
      <c r="AH49" s="145"/>
      <c r="AI49" s="164"/>
      <c r="AJ49" s="145"/>
      <c r="AK49" s="164"/>
      <c r="AL49" s="145"/>
      <c r="AM49" s="164"/>
      <c r="AN49" s="145"/>
      <c r="AO49" s="164"/>
      <c r="AP49" s="145"/>
      <c r="AQ49" s="164"/>
      <c r="AR49" s="145"/>
      <c r="AS49" s="164"/>
      <c r="AT49" s="145"/>
      <c r="AU49" s="164"/>
      <c r="AV49" s="145"/>
      <c r="AW49" s="164"/>
      <c r="AX49" s="145"/>
      <c r="AY49" s="164"/>
      <c r="AZ49" s="145"/>
      <c r="BA49" s="164"/>
      <c r="BB49" s="145"/>
      <c r="BC49" s="164"/>
      <c r="BD49" s="145"/>
      <c r="BE49" s="164"/>
      <c r="BF49" s="145"/>
      <c r="BG49" s="164"/>
      <c r="BH49" s="145"/>
      <c r="BI49" s="164">
        <f t="shared" si="11"/>
        <v>0</v>
      </c>
      <c r="BJ49" s="145">
        <f t="shared" si="20"/>
        <v>0</v>
      </c>
      <c r="BK49" s="161">
        <f t="shared" si="21"/>
        <v>0</v>
      </c>
      <c r="BL49" s="159" t="s">
        <v>115</v>
      </c>
      <c r="BN49" s="163"/>
      <c r="BO49" s="163"/>
      <c r="BP49" s="163">
        <f>G49</f>
        <v>0</v>
      </c>
      <c r="BQ49" s="163"/>
      <c r="BR49" s="163">
        <f>BN49+BO49+BP49+BQ49</f>
        <v>0</v>
      </c>
      <c r="BS49" s="163"/>
      <c r="BT49" s="163"/>
      <c r="BU49" s="379">
        <f t="shared" ref="BU49:BU55" si="32">BS49+BT49</f>
        <v>0</v>
      </c>
      <c r="BV49" s="164">
        <f t="shared" si="0"/>
        <v>0</v>
      </c>
    </row>
    <row r="50" spans="1:74">
      <c r="A50" s="996"/>
      <c r="B50" s="196"/>
      <c r="C50" s="158" t="s">
        <v>330</v>
      </c>
      <c r="D50" s="159" t="s">
        <v>115</v>
      </c>
      <c r="E50" s="135"/>
      <c r="F50" s="145"/>
      <c r="G50" s="388"/>
      <c r="H50" s="388"/>
      <c r="I50" s="388"/>
      <c r="J50" s="388"/>
      <c r="K50" s="388"/>
      <c r="L50" s="388"/>
      <c r="M50" s="388"/>
      <c r="N50" s="388"/>
      <c r="O50" s="161"/>
      <c r="P50" s="161"/>
      <c r="Q50" s="161"/>
      <c r="R50" s="145"/>
      <c r="S50" s="145"/>
      <c r="T50" s="145"/>
      <c r="U50" s="145"/>
      <c r="V50" s="164"/>
      <c r="W50" s="164"/>
      <c r="X50" s="164"/>
      <c r="Y50" s="164"/>
      <c r="Z50" s="145"/>
      <c r="AA50" s="164"/>
      <c r="AB50" s="145"/>
      <c r="AC50" s="164"/>
      <c r="AD50" s="145"/>
      <c r="AE50" s="164"/>
      <c r="AF50" s="145"/>
      <c r="AG50" s="164"/>
      <c r="AH50" s="145"/>
      <c r="AI50" s="164"/>
      <c r="AJ50" s="145"/>
      <c r="AK50" s="164"/>
      <c r="AL50" s="145"/>
      <c r="AM50" s="164"/>
      <c r="AN50" s="145"/>
      <c r="AO50" s="164"/>
      <c r="AP50" s="145"/>
      <c r="AQ50" s="164"/>
      <c r="AR50" s="145"/>
      <c r="AS50" s="164"/>
      <c r="AT50" s="145"/>
      <c r="AU50" s="164"/>
      <c r="AV50" s="145"/>
      <c r="AW50" s="164"/>
      <c r="AX50" s="145"/>
      <c r="AY50" s="164"/>
      <c r="AZ50" s="145"/>
      <c r="BA50" s="164"/>
      <c r="BB50" s="145"/>
      <c r="BC50" s="164"/>
      <c r="BD50" s="145"/>
      <c r="BE50" s="164"/>
      <c r="BF50" s="145"/>
      <c r="BG50" s="164"/>
      <c r="BH50" s="145"/>
      <c r="BI50" s="164">
        <f t="shared" si="11"/>
        <v>0</v>
      </c>
      <c r="BJ50" s="145">
        <f t="shared" si="20"/>
        <v>0</v>
      </c>
      <c r="BK50" s="161">
        <f t="shared" si="21"/>
        <v>0</v>
      </c>
      <c r="BL50" s="159" t="s">
        <v>115</v>
      </c>
      <c r="BN50" s="163"/>
      <c r="BO50" s="163"/>
      <c r="BP50" s="163">
        <f>G50</f>
        <v>0</v>
      </c>
      <c r="BQ50" s="163"/>
      <c r="BR50" s="163">
        <f>BN50+BO50+BP50+BQ50</f>
        <v>0</v>
      </c>
      <c r="BS50" s="163"/>
      <c r="BT50" s="163"/>
      <c r="BU50" s="379">
        <f t="shared" si="32"/>
        <v>0</v>
      </c>
      <c r="BV50" s="164">
        <f t="shared" si="0"/>
        <v>0</v>
      </c>
    </row>
    <row r="51" spans="1:74">
      <c r="A51" s="996"/>
      <c r="B51" s="196"/>
      <c r="C51" s="158" t="s">
        <v>331</v>
      </c>
      <c r="D51" s="159"/>
      <c r="E51" s="159"/>
      <c r="F51" s="145"/>
      <c r="G51" s="388"/>
      <c r="H51" s="388"/>
      <c r="I51" s="388"/>
      <c r="J51" s="388"/>
      <c r="K51" s="388"/>
      <c r="L51" s="388"/>
      <c r="M51" s="388"/>
      <c r="N51" s="388"/>
      <c r="O51" s="161"/>
      <c r="P51" s="161"/>
      <c r="Q51" s="161"/>
      <c r="R51" s="145"/>
      <c r="S51" s="145"/>
      <c r="T51" s="145"/>
      <c r="U51" s="145"/>
      <c r="V51" s="164"/>
      <c r="W51" s="164"/>
      <c r="X51" s="164"/>
      <c r="Y51" s="164"/>
      <c r="Z51" s="145"/>
      <c r="AA51" s="164"/>
      <c r="AB51" s="145"/>
      <c r="AC51" s="164"/>
      <c r="AD51" s="145"/>
      <c r="AE51" s="164"/>
      <c r="AF51" s="145"/>
      <c r="AG51" s="164"/>
      <c r="AH51" s="145"/>
      <c r="AI51" s="164"/>
      <c r="AJ51" s="145"/>
      <c r="AK51" s="164"/>
      <c r="AL51" s="145"/>
      <c r="AM51" s="164"/>
      <c r="AN51" s="145"/>
      <c r="AO51" s="164"/>
      <c r="AP51" s="145"/>
      <c r="AQ51" s="164"/>
      <c r="AR51" s="145"/>
      <c r="AS51" s="164"/>
      <c r="AT51" s="145"/>
      <c r="AU51" s="164"/>
      <c r="AV51" s="145"/>
      <c r="AW51" s="164"/>
      <c r="AX51" s="145"/>
      <c r="AY51" s="164"/>
      <c r="AZ51" s="145"/>
      <c r="BA51" s="164"/>
      <c r="BB51" s="145"/>
      <c r="BC51" s="164"/>
      <c r="BD51" s="145"/>
      <c r="BE51" s="164"/>
      <c r="BF51" s="145"/>
      <c r="BG51" s="164"/>
      <c r="BH51" s="145"/>
      <c r="BI51" s="164">
        <f t="shared" si="11"/>
        <v>0</v>
      </c>
      <c r="BJ51" s="145">
        <f t="shared" si="20"/>
        <v>0</v>
      </c>
      <c r="BK51" s="161">
        <f t="shared" si="21"/>
        <v>0</v>
      </c>
      <c r="BL51" s="159"/>
      <c r="BN51" s="163"/>
      <c r="BO51" s="163"/>
      <c r="BP51" s="163"/>
      <c r="BQ51" s="163"/>
      <c r="BR51" s="163">
        <f>BN51+BO51+BP51+BQ51</f>
        <v>0</v>
      </c>
      <c r="BS51" s="163"/>
      <c r="BT51" s="163"/>
      <c r="BU51" s="379">
        <f t="shared" si="32"/>
        <v>0</v>
      </c>
      <c r="BV51" s="164">
        <f t="shared" si="0"/>
        <v>0</v>
      </c>
    </row>
    <row r="52" spans="1:74">
      <c r="A52" s="996"/>
      <c r="B52" s="196"/>
      <c r="C52" s="158" t="s">
        <v>332</v>
      </c>
      <c r="D52" s="159"/>
      <c r="E52" s="159"/>
      <c r="F52" s="145"/>
      <c r="G52" s="388"/>
      <c r="H52" s="388"/>
      <c r="I52" s="388"/>
      <c r="J52" s="388"/>
      <c r="K52" s="388"/>
      <c r="L52" s="388"/>
      <c r="M52" s="388"/>
      <c r="N52" s="388"/>
      <c r="O52" s="161"/>
      <c r="P52" s="161"/>
      <c r="Q52" s="161"/>
      <c r="R52" s="145"/>
      <c r="S52" s="145"/>
      <c r="T52" s="145"/>
      <c r="U52" s="145"/>
      <c r="V52" s="164"/>
      <c r="W52" s="164"/>
      <c r="X52" s="164"/>
      <c r="Y52" s="164"/>
      <c r="Z52" s="145"/>
      <c r="AA52" s="164"/>
      <c r="AB52" s="145"/>
      <c r="AC52" s="164"/>
      <c r="AD52" s="145"/>
      <c r="AE52" s="164"/>
      <c r="AF52" s="145"/>
      <c r="AG52" s="164"/>
      <c r="AH52" s="145"/>
      <c r="AI52" s="164"/>
      <c r="AJ52" s="145"/>
      <c r="AK52" s="164"/>
      <c r="AL52" s="145"/>
      <c r="AM52" s="164"/>
      <c r="AN52" s="145"/>
      <c r="AO52" s="164"/>
      <c r="AP52" s="145"/>
      <c r="AQ52" s="164"/>
      <c r="AR52" s="145"/>
      <c r="AS52" s="164"/>
      <c r="AT52" s="145"/>
      <c r="AU52" s="164"/>
      <c r="AV52" s="145"/>
      <c r="AW52" s="164"/>
      <c r="AX52" s="145"/>
      <c r="AY52" s="164"/>
      <c r="AZ52" s="145"/>
      <c r="BA52" s="164"/>
      <c r="BB52" s="145"/>
      <c r="BC52" s="164"/>
      <c r="BD52" s="145"/>
      <c r="BE52" s="164"/>
      <c r="BF52" s="145"/>
      <c r="BG52" s="164"/>
      <c r="BH52" s="145"/>
      <c r="BI52" s="164">
        <f t="shared" si="11"/>
        <v>0</v>
      </c>
      <c r="BJ52" s="145">
        <f t="shared" si="20"/>
        <v>0</v>
      </c>
      <c r="BK52" s="161">
        <f t="shared" si="21"/>
        <v>0</v>
      </c>
      <c r="BL52" s="159"/>
      <c r="BN52" s="163"/>
      <c r="BO52" s="163"/>
      <c r="BP52" s="163"/>
      <c r="BQ52" s="163"/>
      <c r="BR52" s="163">
        <f>BN52+BO52+BP52+BQ52</f>
        <v>0</v>
      </c>
      <c r="BS52" s="163"/>
      <c r="BT52" s="163"/>
      <c r="BU52" s="379">
        <f t="shared" si="32"/>
        <v>0</v>
      </c>
      <c r="BV52" s="164">
        <f t="shared" si="0"/>
        <v>0</v>
      </c>
    </row>
    <row r="53" spans="1:74">
      <c r="A53" s="996"/>
      <c r="B53" s="196" t="s">
        <v>618</v>
      </c>
      <c r="C53" s="166" t="s">
        <v>120</v>
      </c>
      <c r="D53" s="159" t="s">
        <v>65</v>
      </c>
      <c r="E53" s="135" t="s">
        <v>409</v>
      </c>
      <c r="F53" s="145">
        <f>BJ53</f>
        <v>0</v>
      </c>
      <c r="G53" s="388">
        <f>F53*E53</f>
        <v>0</v>
      </c>
      <c r="H53" s="388">
        <f>G53*0.5</f>
        <v>0</v>
      </c>
      <c r="I53" s="388">
        <f>G53*0.5</f>
        <v>0</v>
      </c>
      <c r="J53" s="388"/>
      <c r="K53" s="388"/>
      <c r="L53" s="388"/>
      <c r="M53" s="388"/>
      <c r="N53" s="388"/>
      <c r="O53" s="161"/>
      <c r="P53" s="161"/>
      <c r="Q53" s="161"/>
      <c r="R53" s="145">
        <f>F53*0.25</f>
        <v>0</v>
      </c>
      <c r="S53" s="145">
        <f>F53*0.25</f>
        <v>0</v>
      </c>
      <c r="T53" s="145">
        <f>F53*0.25</f>
        <v>0</v>
      </c>
      <c r="U53" s="145">
        <f>F53*0.25</f>
        <v>0</v>
      </c>
      <c r="V53" s="164">
        <f>R53*E53</f>
        <v>0</v>
      </c>
      <c r="W53" s="164">
        <f>S53*E53</f>
        <v>0</v>
      </c>
      <c r="X53" s="164">
        <f>T53*E53</f>
        <v>0</v>
      </c>
      <c r="Y53" s="164">
        <f>U53*E53</f>
        <v>0</v>
      </c>
      <c r="Z53" s="145"/>
      <c r="AA53" s="164"/>
      <c r="AB53" s="145"/>
      <c r="AC53" s="164"/>
      <c r="AD53" s="145"/>
      <c r="AE53" s="164"/>
      <c r="AF53" s="145"/>
      <c r="AG53" s="164"/>
      <c r="AH53" s="145"/>
      <c r="AI53" s="164"/>
      <c r="AJ53" s="145"/>
      <c r="AK53" s="164"/>
      <c r="AL53" s="145"/>
      <c r="AM53" s="164"/>
      <c r="AN53" s="145"/>
      <c r="AO53" s="164"/>
      <c r="AP53" s="145"/>
      <c r="AQ53" s="164"/>
      <c r="AR53" s="145"/>
      <c r="AS53" s="164"/>
      <c r="AT53" s="145"/>
      <c r="AU53" s="164"/>
      <c r="AV53" s="145"/>
      <c r="AW53" s="164"/>
      <c r="AX53" s="145"/>
      <c r="AY53" s="164"/>
      <c r="AZ53" s="145"/>
      <c r="BA53" s="164"/>
      <c r="BB53" s="145"/>
      <c r="BC53" s="164"/>
      <c r="BD53" s="145"/>
      <c r="BE53" s="164"/>
      <c r="BF53" s="145"/>
      <c r="BG53" s="164"/>
      <c r="BH53" s="145">
        <v>0</v>
      </c>
      <c r="BI53" s="164">
        <f t="shared" si="11"/>
        <v>0</v>
      </c>
      <c r="BJ53" s="145">
        <f t="shared" si="20"/>
        <v>0</v>
      </c>
      <c r="BK53" s="161">
        <f t="shared" si="21"/>
        <v>0</v>
      </c>
      <c r="BL53" s="159" t="s">
        <v>218</v>
      </c>
      <c r="BN53" s="163"/>
      <c r="BO53" s="163"/>
      <c r="BP53" s="163"/>
      <c r="BQ53" s="163"/>
      <c r="BR53" s="163">
        <f>BN53+BO53+BP53+BQ53</f>
        <v>0</v>
      </c>
      <c r="BS53" s="163">
        <f>BK53</f>
        <v>0</v>
      </c>
      <c r="BT53" s="163">
        <f>BK53</f>
        <v>0</v>
      </c>
      <c r="BU53" s="379">
        <f t="shared" si="32"/>
        <v>0</v>
      </c>
      <c r="BV53" s="164">
        <f t="shared" si="0"/>
        <v>0</v>
      </c>
    </row>
    <row r="54" spans="1:74">
      <c r="A54" s="996"/>
      <c r="B54" s="196" t="s">
        <v>618</v>
      </c>
      <c r="C54" s="166" t="s">
        <v>121</v>
      </c>
      <c r="D54" s="159" t="s">
        <v>65</v>
      </c>
      <c r="E54" s="216">
        <v>115000</v>
      </c>
      <c r="F54" s="145">
        <f t="shared" ref="F54:F78" si="33">BJ54</f>
        <v>12</v>
      </c>
      <c r="G54" s="388">
        <f t="shared" ref="G54:G78" si="34">F54*E54</f>
        <v>1380000</v>
      </c>
      <c r="H54" s="388">
        <f t="shared" ref="H54:H78" si="35">G54*0.5</f>
        <v>690000</v>
      </c>
      <c r="I54" s="388">
        <f t="shared" ref="I54:I63" si="36">G54*0.5</f>
        <v>690000</v>
      </c>
      <c r="J54" s="389"/>
      <c r="K54" s="389"/>
      <c r="L54" s="389"/>
      <c r="M54" s="389"/>
      <c r="N54" s="389"/>
      <c r="O54" s="389"/>
      <c r="P54" s="389"/>
      <c r="Q54" s="389"/>
      <c r="R54" s="145">
        <f t="shared" ref="R54:R63" si="37">F54*0.25</f>
        <v>3</v>
      </c>
      <c r="S54" s="145">
        <f t="shared" ref="S54:S63" si="38">F54*0.25</f>
        <v>3</v>
      </c>
      <c r="T54" s="145">
        <f t="shared" ref="T54:T63" si="39">F54*0.25</f>
        <v>3</v>
      </c>
      <c r="U54" s="145">
        <f t="shared" ref="U54:U63" si="40">F54*0.25</f>
        <v>3</v>
      </c>
      <c r="V54" s="164">
        <f t="shared" ref="V54:V63" si="41">R54*E54</f>
        <v>345000</v>
      </c>
      <c r="W54" s="164">
        <f t="shared" ref="W54:W63" si="42">S54*E54</f>
        <v>345000</v>
      </c>
      <c r="X54" s="164">
        <f t="shared" ref="X54:X63" si="43">T54*E54</f>
        <v>345000</v>
      </c>
      <c r="Y54" s="164">
        <f t="shared" ref="Y54:Y63" si="44">U54*E54</f>
        <v>345000</v>
      </c>
      <c r="Z54" s="196"/>
      <c r="AA54" s="389"/>
      <c r="AB54" s="196"/>
      <c r="AC54" s="389"/>
      <c r="AD54" s="196"/>
      <c r="AE54" s="389"/>
      <c r="AF54" s="196"/>
      <c r="AG54" s="389"/>
      <c r="AH54" s="196"/>
      <c r="AI54" s="389"/>
      <c r="AJ54" s="196"/>
      <c r="AK54" s="389"/>
      <c r="AL54" s="196"/>
      <c r="AM54" s="389"/>
      <c r="AN54" s="196"/>
      <c r="AO54" s="389"/>
      <c r="AP54" s="196"/>
      <c r="AQ54" s="389"/>
      <c r="AR54" s="196"/>
      <c r="AS54" s="389"/>
      <c r="AT54" s="196"/>
      <c r="AU54" s="389"/>
      <c r="AV54" s="196"/>
      <c r="AW54" s="389"/>
      <c r="AX54" s="196"/>
      <c r="AY54" s="389"/>
      <c r="AZ54" s="196"/>
      <c r="BA54" s="389"/>
      <c r="BB54" s="196"/>
      <c r="BC54" s="389"/>
      <c r="BD54" s="196"/>
      <c r="BE54" s="389"/>
      <c r="BF54" s="196"/>
      <c r="BG54" s="389"/>
      <c r="BH54" s="145">
        <v>12</v>
      </c>
      <c r="BI54" s="164">
        <f t="shared" si="11"/>
        <v>1380000</v>
      </c>
      <c r="BJ54" s="196">
        <f t="shared" si="20"/>
        <v>12</v>
      </c>
      <c r="BK54" s="393">
        <f t="shared" si="21"/>
        <v>1380000</v>
      </c>
      <c r="BL54" s="159" t="s">
        <v>218</v>
      </c>
      <c r="BN54" s="392"/>
      <c r="BO54" s="392"/>
      <c r="BP54" s="392"/>
      <c r="BQ54" s="392"/>
      <c r="BR54" s="392">
        <f>SUM(BR49:BR53)</f>
        <v>0</v>
      </c>
      <c r="BS54" s="163">
        <f t="shared" ref="BS54:BS78" si="45">BK54</f>
        <v>1380000</v>
      </c>
      <c r="BT54" s="392"/>
      <c r="BU54" s="379">
        <f t="shared" si="32"/>
        <v>1380000</v>
      </c>
      <c r="BV54" s="164">
        <f t="shared" si="0"/>
        <v>1380000</v>
      </c>
    </row>
    <row r="55" spans="1:74">
      <c r="A55" s="996"/>
      <c r="B55" s="196" t="s">
        <v>618</v>
      </c>
      <c r="C55" s="166" t="s">
        <v>122</v>
      </c>
      <c r="D55" s="159" t="s">
        <v>65</v>
      </c>
      <c r="E55" s="135">
        <v>70000</v>
      </c>
      <c r="F55" s="145">
        <f t="shared" si="33"/>
        <v>12</v>
      </c>
      <c r="G55" s="388">
        <f t="shared" si="34"/>
        <v>840000</v>
      </c>
      <c r="H55" s="388">
        <f t="shared" si="35"/>
        <v>420000</v>
      </c>
      <c r="I55" s="388">
        <f t="shared" si="36"/>
        <v>420000</v>
      </c>
      <c r="J55" s="145"/>
      <c r="K55" s="145"/>
      <c r="L55" s="145"/>
      <c r="M55" s="145"/>
      <c r="N55" s="145"/>
      <c r="O55" s="145"/>
      <c r="P55" s="145"/>
      <c r="Q55" s="145"/>
      <c r="R55" s="145">
        <f t="shared" si="37"/>
        <v>3</v>
      </c>
      <c r="S55" s="145">
        <f t="shared" si="38"/>
        <v>3</v>
      </c>
      <c r="T55" s="145">
        <f t="shared" si="39"/>
        <v>3</v>
      </c>
      <c r="U55" s="145">
        <f t="shared" si="40"/>
        <v>3</v>
      </c>
      <c r="V55" s="164">
        <f t="shared" si="41"/>
        <v>210000</v>
      </c>
      <c r="W55" s="164">
        <f t="shared" si="42"/>
        <v>210000</v>
      </c>
      <c r="X55" s="164">
        <f t="shared" si="43"/>
        <v>210000</v>
      </c>
      <c r="Y55" s="164">
        <f t="shared" si="44"/>
        <v>210000</v>
      </c>
      <c r="Z55" s="145"/>
      <c r="AA55" s="145"/>
      <c r="AB55" s="145"/>
      <c r="AC55" s="164"/>
      <c r="AD55" s="145"/>
      <c r="AE55" s="164"/>
      <c r="AF55" s="145"/>
      <c r="AG55" s="164"/>
      <c r="AH55" s="145"/>
      <c r="AI55" s="164"/>
      <c r="AJ55" s="145"/>
      <c r="AK55" s="164"/>
      <c r="AL55" s="145"/>
      <c r="AM55" s="164"/>
      <c r="AN55" s="145"/>
      <c r="AO55" s="164"/>
      <c r="AP55" s="145"/>
      <c r="AQ55" s="164"/>
      <c r="AR55" s="145"/>
      <c r="AS55" s="164"/>
      <c r="AT55" s="145"/>
      <c r="AU55" s="164"/>
      <c r="AV55" s="145"/>
      <c r="AW55" s="164"/>
      <c r="AX55" s="145"/>
      <c r="AY55" s="164"/>
      <c r="AZ55" s="145"/>
      <c r="BA55" s="164"/>
      <c r="BB55" s="145"/>
      <c r="BC55" s="164"/>
      <c r="BD55" s="145"/>
      <c r="BE55" s="164"/>
      <c r="BF55" s="145"/>
      <c r="BG55" s="164"/>
      <c r="BH55" s="145">
        <v>12</v>
      </c>
      <c r="BI55" s="164">
        <f t="shared" si="11"/>
        <v>840000</v>
      </c>
      <c r="BJ55" s="145">
        <f t="shared" si="20"/>
        <v>12</v>
      </c>
      <c r="BK55" s="145">
        <f t="shared" si="21"/>
        <v>840000</v>
      </c>
      <c r="BL55" s="159" t="s">
        <v>218</v>
      </c>
      <c r="BN55" s="163"/>
      <c r="BO55" s="163"/>
      <c r="BP55" s="163"/>
      <c r="BQ55" s="163"/>
      <c r="BR55" s="163"/>
      <c r="BS55" s="163">
        <f t="shared" si="45"/>
        <v>840000</v>
      </c>
      <c r="BT55" s="163"/>
      <c r="BU55" s="379">
        <f t="shared" si="32"/>
        <v>840000</v>
      </c>
      <c r="BV55" s="164">
        <f t="shared" si="0"/>
        <v>840000</v>
      </c>
    </row>
    <row r="56" spans="1:74">
      <c r="A56" s="996"/>
      <c r="B56" s="196" t="s">
        <v>618</v>
      </c>
      <c r="C56" s="166" t="s">
        <v>123</v>
      </c>
      <c r="D56" s="159" t="s">
        <v>65</v>
      </c>
      <c r="E56" s="135">
        <v>70000</v>
      </c>
      <c r="F56" s="145">
        <f t="shared" si="33"/>
        <v>12</v>
      </c>
      <c r="G56" s="388">
        <f t="shared" si="34"/>
        <v>840000</v>
      </c>
      <c r="H56" s="388">
        <f t="shared" si="35"/>
        <v>420000</v>
      </c>
      <c r="I56" s="388">
        <f t="shared" si="36"/>
        <v>420000</v>
      </c>
      <c r="J56" s="388"/>
      <c r="K56" s="388"/>
      <c r="L56" s="388"/>
      <c r="M56" s="388"/>
      <c r="N56" s="388"/>
      <c r="O56" s="161"/>
      <c r="P56" s="161"/>
      <c r="Q56" s="161"/>
      <c r="R56" s="145">
        <f t="shared" si="37"/>
        <v>3</v>
      </c>
      <c r="S56" s="145">
        <f t="shared" si="38"/>
        <v>3</v>
      </c>
      <c r="T56" s="145">
        <f t="shared" si="39"/>
        <v>3</v>
      </c>
      <c r="U56" s="145">
        <f t="shared" si="40"/>
        <v>3</v>
      </c>
      <c r="V56" s="164">
        <f t="shared" si="41"/>
        <v>210000</v>
      </c>
      <c r="W56" s="164">
        <f t="shared" si="42"/>
        <v>210000</v>
      </c>
      <c r="X56" s="164">
        <f t="shared" si="43"/>
        <v>210000</v>
      </c>
      <c r="Y56" s="164">
        <f t="shared" si="44"/>
        <v>210000</v>
      </c>
      <c r="Z56" s="145"/>
      <c r="AA56" s="164"/>
      <c r="AB56" s="145"/>
      <c r="AC56" s="164"/>
      <c r="AD56" s="145"/>
      <c r="AE56" s="164"/>
      <c r="AF56" s="145"/>
      <c r="AG56" s="164"/>
      <c r="AH56" s="145"/>
      <c r="AI56" s="164"/>
      <c r="AJ56" s="145"/>
      <c r="AK56" s="164"/>
      <c r="AL56" s="145"/>
      <c r="AM56" s="164"/>
      <c r="AN56" s="145"/>
      <c r="AO56" s="164"/>
      <c r="AP56" s="145"/>
      <c r="AQ56" s="164"/>
      <c r="AR56" s="145"/>
      <c r="AS56" s="164"/>
      <c r="AT56" s="145"/>
      <c r="AU56" s="164"/>
      <c r="AV56" s="145"/>
      <c r="AW56" s="164"/>
      <c r="AX56" s="145"/>
      <c r="AY56" s="164"/>
      <c r="AZ56" s="145"/>
      <c r="BA56" s="164"/>
      <c r="BB56" s="145"/>
      <c r="BC56" s="164"/>
      <c r="BD56" s="145"/>
      <c r="BE56" s="164"/>
      <c r="BF56" s="145"/>
      <c r="BG56" s="164"/>
      <c r="BH56" s="145">
        <v>12</v>
      </c>
      <c r="BI56" s="164">
        <f t="shared" si="11"/>
        <v>840000</v>
      </c>
      <c r="BJ56" s="145">
        <f t="shared" si="20"/>
        <v>12</v>
      </c>
      <c r="BK56" s="161">
        <f t="shared" si="21"/>
        <v>840000</v>
      </c>
      <c r="BL56" s="159" t="s">
        <v>218</v>
      </c>
      <c r="BN56" s="163"/>
      <c r="BO56" s="163"/>
      <c r="BP56" s="163"/>
      <c r="BQ56" s="163"/>
      <c r="BR56" s="163">
        <f>BN56+BO56+BP56+BQ56</f>
        <v>0</v>
      </c>
      <c r="BS56" s="163">
        <f t="shared" si="45"/>
        <v>840000</v>
      </c>
      <c r="BT56" s="163"/>
      <c r="BU56" s="379">
        <f>BS56+BT56</f>
        <v>840000</v>
      </c>
      <c r="BV56" s="164">
        <f t="shared" si="0"/>
        <v>840000</v>
      </c>
    </row>
    <row r="57" spans="1:74">
      <c r="A57" s="996"/>
      <c r="B57" s="196" t="s">
        <v>618</v>
      </c>
      <c r="C57" s="166" t="s">
        <v>397</v>
      </c>
      <c r="D57" s="159" t="s">
        <v>65</v>
      </c>
      <c r="E57" s="135">
        <v>70000</v>
      </c>
      <c r="F57" s="145">
        <f t="shared" si="33"/>
        <v>12</v>
      </c>
      <c r="G57" s="388">
        <f t="shared" si="34"/>
        <v>840000</v>
      </c>
      <c r="H57" s="388">
        <f t="shared" si="35"/>
        <v>420000</v>
      </c>
      <c r="I57" s="388">
        <f t="shared" si="36"/>
        <v>420000</v>
      </c>
      <c r="J57" s="388"/>
      <c r="K57" s="388"/>
      <c r="L57" s="388"/>
      <c r="M57" s="388"/>
      <c r="N57" s="388"/>
      <c r="O57" s="161"/>
      <c r="P57" s="161"/>
      <c r="Q57" s="161"/>
      <c r="R57" s="145">
        <f t="shared" si="37"/>
        <v>3</v>
      </c>
      <c r="S57" s="145">
        <f t="shared" si="38"/>
        <v>3</v>
      </c>
      <c r="T57" s="145">
        <f t="shared" si="39"/>
        <v>3</v>
      </c>
      <c r="U57" s="145">
        <f t="shared" si="40"/>
        <v>3</v>
      </c>
      <c r="V57" s="164">
        <f t="shared" si="41"/>
        <v>210000</v>
      </c>
      <c r="W57" s="164">
        <f t="shared" si="42"/>
        <v>210000</v>
      </c>
      <c r="X57" s="164">
        <f t="shared" si="43"/>
        <v>210000</v>
      </c>
      <c r="Y57" s="164">
        <f t="shared" si="44"/>
        <v>210000</v>
      </c>
      <c r="Z57" s="145"/>
      <c r="AA57" s="164"/>
      <c r="AB57" s="145"/>
      <c r="AC57" s="164"/>
      <c r="AD57" s="145"/>
      <c r="AE57" s="164"/>
      <c r="AF57" s="145"/>
      <c r="AG57" s="164"/>
      <c r="AH57" s="145"/>
      <c r="AI57" s="164"/>
      <c r="AJ57" s="145"/>
      <c r="AK57" s="164"/>
      <c r="AL57" s="145"/>
      <c r="AM57" s="164"/>
      <c r="AN57" s="145"/>
      <c r="AO57" s="164"/>
      <c r="AP57" s="145"/>
      <c r="AQ57" s="164"/>
      <c r="AR57" s="145"/>
      <c r="AS57" s="164"/>
      <c r="AT57" s="145"/>
      <c r="AU57" s="164"/>
      <c r="AV57" s="145"/>
      <c r="AW57" s="164"/>
      <c r="AX57" s="145"/>
      <c r="AY57" s="164"/>
      <c r="AZ57" s="145"/>
      <c r="BA57" s="164"/>
      <c r="BB57" s="145"/>
      <c r="BC57" s="164"/>
      <c r="BD57" s="145"/>
      <c r="BE57" s="164"/>
      <c r="BF57" s="145"/>
      <c r="BG57" s="164"/>
      <c r="BH57" s="145">
        <v>12</v>
      </c>
      <c r="BI57" s="164">
        <f t="shared" si="11"/>
        <v>840000</v>
      </c>
      <c r="BJ57" s="145">
        <f t="shared" si="20"/>
        <v>12</v>
      </c>
      <c r="BK57" s="161">
        <f t="shared" si="21"/>
        <v>840000</v>
      </c>
      <c r="BL57" s="159" t="s">
        <v>218</v>
      </c>
      <c r="BN57" s="163"/>
      <c r="BO57" s="163"/>
      <c r="BP57" s="163"/>
      <c r="BQ57" s="163"/>
      <c r="BR57" s="163">
        <f>BN57+BO57+BP57+BQ57</f>
        <v>0</v>
      </c>
      <c r="BS57" s="163">
        <f t="shared" si="45"/>
        <v>840000</v>
      </c>
      <c r="BT57" s="163"/>
      <c r="BU57" s="379">
        <f t="shared" ref="BU57:BU78" si="46">BS57+BT57</f>
        <v>840000</v>
      </c>
      <c r="BV57" s="164">
        <f t="shared" si="0"/>
        <v>840000</v>
      </c>
    </row>
    <row r="58" spans="1:74">
      <c r="A58" s="996"/>
      <c r="B58" s="196" t="s">
        <v>618</v>
      </c>
      <c r="C58" s="166" t="s">
        <v>974</v>
      </c>
      <c r="D58" s="159" t="s">
        <v>65</v>
      </c>
      <c r="E58" s="135">
        <v>70000</v>
      </c>
      <c r="F58" s="145">
        <f t="shared" si="33"/>
        <v>1</v>
      </c>
      <c r="G58" s="388">
        <f t="shared" si="34"/>
        <v>70000</v>
      </c>
      <c r="H58" s="388">
        <f t="shared" si="35"/>
        <v>35000</v>
      </c>
      <c r="I58" s="388">
        <f t="shared" si="36"/>
        <v>35000</v>
      </c>
      <c r="J58" s="388"/>
      <c r="K58" s="388"/>
      <c r="L58" s="388"/>
      <c r="M58" s="388"/>
      <c r="N58" s="388"/>
      <c r="O58" s="161"/>
      <c r="P58" s="161"/>
      <c r="Q58" s="161"/>
      <c r="R58" s="145">
        <f t="shared" si="37"/>
        <v>0.25</v>
      </c>
      <c r="S58" s="145">
        <f t="shared" si="38"/>
        <v>0.25</v>
      </c>
      <c r="T58" s="145">
        <f t="shared" si="39"/>
        <v>0.25</v>
      </c>
      <c r="U58" s="145">
        <f t="shared" si="40"/>
        <v>0.25</v>
      </c>
      <c r="V58" s="164">
        <f t="shared" si="41"/>
        <v>17500</v>
      </c>
      <c r="W58" s="164">
        <f t="shared" si="42"/>
        <v>17500</v>
      </c>
      <c r="X58" s="164">
        <f t="shared" si="43"/>
        <v>17500</v>
      </c>
      <c r="Y58" s="164">
        <f t="shared" si="44"/>
        <v>17500</v>
      </c>
      <c r="Z58" s="145"/>
      <c r="AA58" s="164"/>
      <c r="AB58" s="145"/>
      <c r="AC58" s="164"/>
      <c r="AD58" s="145"/>
      <c r="AE58" s="164"/>
      <c r="AF58" s="145"/>
      <c r="AG58" s="164"/>
      <c r="AH58" s="145"/>
      <c r="AI58" s="164"/>
      <c r="AJ58" s="145"/>
      <c r="AK58" s="164"/>
      <c r="AL58" s="145"/>
      <c r="AM58" s="164"/>
      <c r="AN58" s="145"/>
      <c r="AO58" s="164"/>
      <c r="AP58" s="145"/>
      <c r="AQ58" s="164"/>
      <c r="AR58" s="145"/>
      <c r="AS58" s="164"/>
      <c r="AT58" s="145"/>
      <c r="AU58" s="164"/>
      <c r="AV58" s="145"/>
      <c r="AW58" s="164"/>
      <c r="AX58" s="145"/>
      <c r="AY58" s="164"/>
      <c r="AZ58" s="145"/>
      <c r="BA58" s="164"/>
      <c r="BB58" s="145"/>
      <c r="BC58" s="164"/>
      <c r="BD58" s="145"/>
      <c r="BE58" s="164"/>
      <c r="BF58" s="145"/>
      <c r="BG58" s="164"/>
      <c r="BH58" s="145">
        <v>1</v>
      </c>
      <c r="BI58" s="164">
        <f t="shared" si="11"/>
        <v>70000</v>
      </c>
      <c r="BJ58" s="145">
        <f t="shared" si="20"/>
        <v>1</v>
      </c>
      <c r="BK58" s="161">
        <f t="shared" si="21"/>
        <v>70000</v>
      </c>
      <c r="BL58" s="159" t="s">
        <v>218</v>
      </c>
      <c r="BN58" s="163"/>
      <c r="BO58" s="163"/>
      <c r="BP58" s="163"/>
      <c r="BQ58" s="163"/>
      <c r="BR58" s="163">
        <f>BN58+BO58+BP58+BQ58</f>
        <v>0</v>
      </c>
      <c r="BS58" s="163">
        <f t="shared" si="45"/>
        <v>70000</v>
      </c>
      <c r="BT58" s="163"/>
      <c r="BU58" s="379">
        <f t="shared" si="46"/>
        <v>70000</v>
      </c>
      <c r="BV58" s="164">
        <f t="shared" si="0"/>
        <v>70000</v>
      </c>
    </row>
    <row r="59" spans="1:74">
      <c r="A59" s="996"/>
      <c r="B59" s="196" t="s">
        <v>618</v>
      </c>
      <c r="C59" s="166" t="s">
        <v>533</v>
      </c>
      <c r="D59" s="159" t="s">
        <v>65</v>
      </c>
      <c r="E59" s="135">
        <v>70000</v>
      </c>
      <c r="F59" s="145">
        <f t="shared" si="33"/>
        <v>12</v>
      </c>
      <c r="G59" s="388">
        <f t="shared" si="34"/>
        <v>840000</v>
      </c>
      <c r="H59" s="388">
        <f t="shared" si="35"/>
        <v>420000</v>
      </c>
      <c r="I59" s="388">
        <f t="shared" si="36"/>
        <v>420000</v>
      </c>
      <c r="J59" s="388"/>
      <c r="K59" s="388"/>
      <c r="L59" s="388"/>
      <c r="M59" s="388"/>
      <c r="N59" s="388"/>
      <c r="O59" s="161"/>
      <c r="P59" s="161"/>
      <c r="Q59" s="161"/>
      <c r="R59" s="145">
        <f t="shared" si="37"/>
        <v>3</v>
      </c>
      <c r="S59" s="145">
        <f t="shared" si="38"/>
        <v>3</v>
      </c>
      <c r="T59" s="145">
        <f t="shared" si="39"/>
        <v>3</v>
      </c>
      <c r="U59" s="145">
        <f t="shared" si="40"/>
        <v>3</v>
      </c>
      <c r="V59" s="164">
        <f t="shared" si="41"/>
        <v>210000</v>
      </c>
      <c r="W59" s="164">
        <f t="shared" si="42"/>
        <v>210000</v>
      </c>
      <c r="X59" s="164">
        <f t="shared" si="43"/>
        <v>210000</v>
      </c>
      <c r="Y59" s="164">
        <f t="shared" si="44"/>
        <v>210000</v>
      </c>
      <c r="Z59" s="145"/>
      <c r="AA59" s="164"/>
      <c r="AB59" s="145"/>
      <c r="AC59" s="164"/>
      <c r="AD59" s="145"/>
      <c r="AE59" s="164"/>
      <c r="AF59" s="145"/>
      <c r="AG59" s="164"/>
      <c r="AH59" s="145"/>
      <c r="AI59" s="164"/>
      <c r="AJ59" s="145"/>
      <c r="AK59" s="164"/>
      <c r="AL59" s="145"/>
      <c r="AM59" s="164"/>
      <c r="AN59" s="145"/>
      <c r="AO59" s="164"/>
      <c r="AP59" s="145"/>
      <c r="AQ59" s="164"/>
      <c r="AR59" s="145"/>
      <c r="AS59" s="164"/>
      <c r="AT59" s="145"/>
      <c r="AU59" s="164"/>
      <c r="AV59" s="145"/>
      <c r="AW59" s="164"/>
      <c r="AX59" s="145"/>
      <c r="AY59" s="164"/>
      <c r="AZ59" s="145"/>
      <c r="BA59" s="164"/>
      <c r="BB59" s="145"/>
      <c r="BC59" s="164"/>
      <c r="BD59" s="145"/>
      <c r="BE59" s="164"/>
      <c r="BF59" s="145"/>
      <c r="BG59" s="164"/>
      <c r="BH59" s="145">
        <v>12</v>
      </c>
      <c r="BI59" s="164">
        <f t="shared" si="11"/>
        <v>840000</v>
      </c>
      <c r="BJ59" s="145">
        <f t="shared" si="20"/>
        <v>12</v>
      </c>
      <c r="BK59" s="161">
        <f t="shared" si="21"/>
        <v>840000</v>
      </c>
      <c r="BL59" s="159" t="s">
        <v>218</v>
      </c>
      <c r="BN59" s="163"/>
      <c r="BO59" s="163"/>
      <c r="BP59" s="163"/>
      <c r="BQ59" s="163"/>
      <c r="BR59" s="163">
        <f>BN59+BO59+BP59+BQ59</f>
        <v>0</v>
      </c>
      <c r="BS59" s="163">
        <f t="shared" si="45"/>
        <v>840000</v>
      </c>
      <c r="BT59" s="163"/>
      <c r="BU59" s="379">
        <f t="shared" si="46"/>
        <v>840000</v>
      </c>
      <c r="BV59" s="164">
        <f t="shared" si="0"/>
        <v>840000</v>
      </c>
    </row>
    <row r="60" spans="1:74">
      <c r="A60" s="996"/>
      <c r="B60" s="196" t="s">
        <v>618</v>
      </c>
      <c r="C60" s="166" t="s">
        <v>398</v>
      </c>
      <c r="D60" s="159" t="s">
        <v>65</v>
      </c>
      <c r="E60" s="135">
        <v>70000</v>
      </c>
      <c r="F60" s="145">
        <f t="shared" si="33"/>
        <v>12</v>
      </c>
      <c r="G60" s="388">
        <f t="shared" si="34"/>
        <v>840000</v>
      </c>
      <c r="H60" s="388">
        <f t="shared" si="35"/>
        <v>420000</v>
      </c>
      <c r="I60" s="388">
        <f t="shared" si="36"/>
        <v>420000</v>
      </c>
      <c r="J60" s="388"/>
      <c r="K60" s="388"/>
      <c r="L60" s="388"/>
      <c r="M60" s="388"/>
      <c r="N60" s="388"/>
      <c r="O60" s="161"/>
      <c r="P60" s="161"/>
      <c r="Q60" s="161"/>
      <c r="R60" s="145">
        <f t="shared" si="37"/>
        <v>3</v>
      </c>
      <c r="S60" s="145">
        <f t="shared" si="38"/>
        <v>3</v>
      </c>
      <c r="T60" s="145">
        <f t="shared" si="39"/>
        <v>3</v>
      </c>
      <c r="U60" s="145">
        <f t="shared" si="40"/>
        <v>3</v>
      </c>
      <c r="V60" s="164">
        <f t="shared" si="41"/>
        <v>210000</v>
      </c>
      <c r="W60" s="164">
        <f t="shared" si="42"/>
        <v>210000</v>
      </c>
      <c r="X60" s="164">
        <f t="shared" si="43"/>
        <v>210000</v>
      </c>
      <c r="Y60" s="164">
        <f t="shared" si="44"/>
        <v>210000</v>
      </c>
      <c r="Z60" s="145"/>
      <c r="AA60" s="164"/>
      <c r="AB60" s="145"/>
      <c r="AC60" s="164"/>
      <c r="AD60" s="145"/>
      <c r="AE60" s="164"/>
      <c r="AF60" s="145"/>
      <c r="AG60" s="164"/>
      <c r="AH60" s="145"/>
      <c r="AI60" s="164"/>
      <c r="AJ60" s="145"/>
      <c r="AK60" s="164"/>
      <c r="AL60" s="145"/>
      <c r="AM60" s="164"/>
      <c r="AN60" s="145"/>
      <c r="AO60" s="164"/>
      <c r="AP60" s="145"/>
      <c r="AQ60" s="164"/>
      <c r="AR60" s="145"/>
      <c r="AS60" s="164"/>
      <c r="AT60" s="145"/>
      <c r="AU60" s="164"/>
      <c r="AV60" s="145"/>
      <c r="AW60" s="164"/>
      <c r="AX60" s="145"/>
      <c r="AY60" s="164"/>
      <c r="AZ60" s="145"/>
      <c r="BA60" s="164"/>
      <c r="BB60" s="145"/>
      <c r="BC60" s="164"/>
      <c r="BD60" s="145"/>
      <c r="BE60" s="164"/>
      <c r="BF60" s="145"/>
      <c r="BG60" s="164"/>
      <c r="BH60" s="145">
        <v>12</v>
      </c>
      <c r="BI60" s="164">
        <f t="shared" si="11"/>
        <v>840000</v>
      </c>
      <c r="BJ60" s="145">
        <f t="shared" si="20"/>
        <v>12</v>
      </c>
      <c r="BK60" s="161">
        <f t="shared" si="21"/>
        <v>840000</v>
      </c>
      <c r="BL60" s="159" t="s">
        <v>218</v>
      </c>
      <c r="BN60" s="163"/>
      <c r="BO60" s="163"/>
      <c r="BP60" s="163"/>
      <c r="BQ60" s="163"/>
      <c r="BR60" s="163">
        <f>BN60+BO60+BP60+BQ60</f>
        <v>0</v>
      </c>
      <c r="BS60" s="163">
        <f t="shared" si="45"/>
        <v>840000</v>
      </c>
      <c r="BT60" s="163"/>
      <c r="BU60" s="379">
        <f t="shared" si="46"/>
        <v>840000</v>
      </c>
      <c r="BV60" s="164">
        <f t="shared" si="0"/>
        <v>840000</v>
      </c>
    </row>
    <row r="61" spans="1:74">
      <c r="A61" s="996"/>
      <c r="B61" s="196" t="s">
        <v>618</v>
      </c>
      <c r="C61" s="166" t="s">
        <v>399</v>
      </c>
      <c r="D61" s="159" t="s">
        <v>65</v>
      </c>
      <c r="E61" s="135">
        <v>50000</v>
      </c>
      <c r="F61" s="145">
        <f t="shared" si="33"/>
        <v>1</v>
      </c>
      <c r="G61" s="388">
        <f t="shared" si="34"/>
        <v>50000</v>
      </c>
      <c r="H61" s="388">
        <f t="shared" si="35"/>
        <v>25000</v>
      </c>
      <c r="I61" s="388">
        <f t="shared" si="36"/>
        <v>25000</v>
      </c>
      <c r="J61" s="389"/>
      <c r="K61" s="389"/>
      <c r="L61" s="389"/>
      <c r="M61" s="389"/>
      <c r="N61" s="389"/>
      <c r="O61" s="389"/>
      <c r="P61" s="389"/>
      <c r="Q61" s="389"/>
      <c r="R61" s="145">
        <f t="shared" si="37"/>
        <v>0.25</v>
      </c>
      <c r="S61" s="145">
        <f t="shared" si="38"/>
        <v>0.25</v>
      </c>
      <c r="T61" s="145">
        <f t="shared" si="39"/>
        <v>0.25</v>
      </c>
      <c r="U61" s="145">
        <f t="shared" si="40"/>
        <v>0.25</v>
      </c>
      <c r="V61" s="164">
        <f t="shared" si="41"/>
        <v>12500</v>
      </c>
      <c r="W61" s="164">
        <f t="shared" si="42"/>
        <v>12500</v>
      </c>
      <c r="X61" s="164">
        <f t="shared" si="43"/>
        <v>12500</v>
      </c>
      <c r="Y61" s="164">
        <f t="shared" si="44"/>
        <v>12500</v>
      </c>
      <c r="Z61" s="196"/>
      <c r="AA61" s="389"/>
      <c r="AB61" s="196"/>
      <c r="AC61" s="389"/>
      <c r="AD61" s="196"/>
      <c r="AE61" s="389"/>
      <c r="AF61" s="196"/>
      <c r="AG61" s="389"/>
      <c r="AH61" s="196"/>
      <c r="AI61" s="389"/>
      <c r="AJ61" s="196"/>
      <c r="AK61" s="389"/>
      <c r="AL61" s="196"/>
      <c r="AM61" s="389"/>
      <c r="AN61" s="196"/>
      <c r="AO61" s="389"/>
      <c r="AP61" s="196"/>
      <c r="AQ61" s="389"/>
      <c r="AR61" s="196"/>
      <c r="AS61" s="389"/>
      <c r="AT61" s="196"/>
      <c r="AU61" s="389"/>
      <c r="AV61" s="196"/>
      <c r="AW61" s="389"/>
      <c r="AX61" s="196"/>
      <c r="AY61" s="389"/>
      <c r="AZ61" s="196"/>
      <c r="BA61" s="389"/>
      <c r="BB61" s="196"/>
      <c r="BC61" s="389"/>
      <c r="BD61" s="196"/>
      <c r="BE61" s="389"/>
      <c r="BF61" s="196"/>
      <c r="BG61" s="389"/>
      <c r="BH61" s="145">
        <v>1</v>
      </c>
      <c r="BI61" s="164">
        <f t="shared" si="11"/>
        <v>50000</v>
      </c>
      <c r="BJ61" s="196">
        <f t="shared" si="20"/>
        <v>1</v>
      </c>
      <c r="BK61" s="393">
        <f t="shared" si="21"/>
        <v>50000</v>
      </c>
      <c r="BL61" s="159" t="s">
        <v>218</v>
      </c>
      <c r="BN61" s="392"/>
      <c r="BO61" s="392"/>
      <c r="BP61" s="392"/>
      <c r="BQ61" s="392"/>
      <c r="BR61" s="392">
        <f>SUM(BR56:BR60)</f>
        <v>0</v>
      </c>
      <c r="BS61" s="163">
        <f t="shared" si="45"/>
        <v>50000</v>
      </c>
      <c r="BT61" s="392">
        <f>SUM(BT56:BT60)</f>
        <v>0</v>
      </c>
      <c r="BU61" s="379">
        <f t="shared" si="46"/>
        <v>50000</v>
      </c>
      <c r="BV61" s="164">
        <f t="shared" si="0"/>
        <v>50000</v>
      </c>
    </row>
    <row r="62" spans="1:74">
      <c r="A62" s="996"/>
      <c r="B62" s="196"/>
      <c r="C62" s="166" t="s">
        <v>973</v>
      </c>
      <c r="D62" s="159" t="s">
        <v>65</v>
      </c>
      <c r="E62" s="135">
        <v>50000</v>
      </c>
      <c r="F62" s="145">
        <v>12</v>
      </c>
      <c r="G62" s="388">
        <f>F62*E62</f>
        <v>600000</v>
      </c>
      <c r="H62" s="388">
        <f>G62*0.5</f>
        <v>300000</v>
      </c>
      <c r="I62" s="388">
        <f>G62*0.5</f>
        <v>300000</v>
      </c>
      <c r="J62" s="389"/>
      <c r="K62" s="389"/>
      <c r="L62" s="389"/>
      <c r="M62" s="389"/>
      <c r="N62" s="389"/>
      <c r="O62" s="389"/>
      <c r="P62" s="389"/>
      <c r="Q62" s="389"/>
      <c r="R62" s="145"/>
      <c r="S62" s="145"/>
      <c r="T62" s="145"/>
      <c r="U62" s="145"/>
      <c r="V62" s="164"/>
      <c r="W62" s="164"/>
      <c r="X62" s="164"/>
      <c r="Y62" s="164"/>
      <c r="Z62" s="196"/>
      <c r="AA62" s="389"/>
      <c r="AB62" s="196"/>
      <c r="AC62" s="389"/>
      <c r="AD62" s="196"/>
      <c r="AE62" s="389"/>
      <c r="AF62" s="196"/>
      <c r="AG62" s="389"/>
      <c r="AH62" s="196"/>
      <c r="AI62" s="389"/>
      <c r="AJ62" s="196"/>
      <c r="AK62" s="389"/>
      <c r="AL62" s="196"/>
      <c r="AM62" s="389"/>
      <c r="AN62" s="196"/>
      <c r="AO62" s="389"/>
      <c r="AP62" s="196"/>
      <c r="AQ62" s="389"/>
      <c r="AR62" s="196"/>
      <c r="AS62" s="389"/>
      <c r="AT62" s="196"/>
      <c r="AU62" s="389"/>
      <c r="AV62" s="196"/>
      <c r="AW62" s="389"/>
      <c r="AX62" s="196"/>
      <c r="AY62" s="389"/>
      <c r="AZ62" s="196"/>
      <c r="BA62" s="389"/>
      <c r="BB62" s="196"/>
      <c r="BC62" s="389"/>
      <c r="BD62" s="196"/>
      <c r="BE62" s="389"/>
      <c r="BF62" s="196"/>
      <c r="BG62" s="389"/>
      <c r="BH62" s="145">
        <v>12</v>
      </c>
      <c r="BI62" s="164">
        <f t="shared" si="11"/>
        <v>600000</v>
      </c>
      <c r="BJ62" s="196">
        <f t="shared" si="20"/>
        <v>12</v>
      </c>
      <c r="BK62" s="393">
        <f t="shared" si="21"/>
        <v>600000</v>
      </c>
      <c r="BL62" s="159"/>
      <c r="BN62" s="392"/>
      <c r="BO62" s="392"/>
      <c r="BP62" s="392"/>
      <c r="BQ62" s="392"/>
      <c r="BR62" s="392"/>
      <c r="BS62" s="163">
        <f t="shared" si="45"/>
        <v>600000</v>
      </c>
      <c r="BT62" s="392"/>
      <c r="BU62" s="379">
        <f t="shared" si="46"/>
        <v>600000</v>
      </c>
      <c r="BV62" s="164">
        <f t="shared" si="0"/>
        <v>600000</v>
      </c>
    </row>
    <row r="63" spans="1:74">
      <c r="A63" s="996"/>
      <c r="B63" s="196" t="s">
        <v>618</v>
      </c>
      <c r="C63" s="166" t="s">
        <v>972</v>
      </c>
      <c r="D63" s="159" t="s">
        <v>65</v>
      </c>
      <c r="E63" s="135">
        <v>50000</v>
      </c>
      <c r="F63" s="145">
        <f t="shared" si="33"/>
        <v>8</v>
      </c>
      <c r="G63" s="388">
        <f t="shared" si="34"/>
        <v>400000</v>
      </c>
      <c r="H63" s="388">
        <f t="shared" si="35"/>
        <v>200000</v>
      </c>
      <c r="I63" s="388">
        <f t="shared" si="36"/>
        <v>200000</v>
      </c>
      <c r="J63" s="145"/>
      <c r="K63" s="145"/>
      <c r="L63" s="145"/>
      <c r="M63" s="145"/>
      <c r="N63" s="145"/>
      <c r="O63" s="145"/>
      <c r="P63" s="145"/>
      <c r="Q63" s="145"/>
      <c r="R63" s="145">
        <f t="shared" si="37"/>
        <v>2</v>
      </c>
      <c r="S63" s="145">
        <f t="shared" si="38"/>
        <v>2</v>
      </c>
      <c r="T63" s="145">
        <f t="shared" si="39"/>
        <v>2</v>
      </c>
      <c r="U63" s="145">
        <f t="shared" si="40"/>
        <v>2</v>
      </c>
      <c r="V63" s="164">
        <f t="shared" si="41"/>
        <v>100000</v>
      </c>
      <c r="W63" s="164">
        <f t="shared" si="42"/>
        <v>100000</v>
      </c>
      <c r="X63" s="164">
        <f t="shared" si="43"/>
        <v>100000</v>
      </c>
      <c r="Y63" s="164">
        <f t="shared" si="44"/>
        <v>100000</v>
      </c>
      <c r="Z63" s="145"/>
      <c r="AA63" s="145"/>
      <c r="AB63" s="145"/>
      <c r="AC63" s="164"/>
      <c r="AD63" s="145"/>
      <c r="AE63" s="164"/>
      <c r="AF63" s="145"/>
      <c r="AG63" s="164"/>
      <c r="AH63" s="145"/>
      <c r="AI63" s="164"/>
      <c r="AJ63" s="145"/>
      <c r="AK63" s="164"/>
      <c r="AL63" s="145"/>
      <c r="AM63" s="164"/>
      <c r="AN63" s="145"/>
      <c r="AO63" s="164"/>
      <c r="AP63" s="145"/>
      <c r="AQ63" s="164"/>
      <c r="AR63" s="145"/>
      <c r="AS63" s="164"/>
      <c r="AT63" s="145"/>
      <c r="AU63" s="164"/>
      <c r="AV63" s="145"/>
      <c r="AW63" s="164"/>
      <c r="AX63" s="145"/>
      <c r="AY63" s="164"/>
      <c r="AZ63" s="145"/>
      <c r="BA63" s="164"/>
      <c r="BB63" s="145"/>
      <c r="BC63" s="164"/>
      <c r="BD63" s="145"/>
      <c r="BE63" s="164"/>
      <c r="BF63" s="145"/>
      <c r="BG63" s="164"/>
      <c r="BH63" s="145">
        <v>8</v>
      </c>
      <c r="BI63" s="164">
        <f t="shared" si="11"/>
        <v>400000</v>
      </c>
      <c r="BJ63" s="145">
        <f t="shared" si="20"/>
        <v>8</v>
      </c>
      <c r="BK63" s="145">
        <f t="shared" si="21"/>
        <v>400000</v>
      </c>
      <c r="BL63" s="159" t="s">
        <v>218</v>
      </c>
      <c r="BN63" s="163"/>
      <c r="BO63" s="163"/>
      <c r="BP63" s="163"/>
      <c r="BQ63" s="163"/>
      <c r="BR63" s="163"/>
      <c r="BS63" s="163">
        <f t="shared" si="45"/>
        <v>400000</v>
      </c>
      <c r="BT63" s="163"/>
      <c r="BU63" s="379">
        <f t="shared" si="46"/>
        <v>400000</v>
      </c>
      <c r="BV63" s="164">
        <f t="shared" si="0"/>
        <v>400000</v>
      </c>
    </row>
    <row r="64" spans="1:74">
      <c r="A64" s="996"/>
      <c r="B64" s="196" t="s">
        <v>618</v>
      </c>
      <c r="C64" s="166" t="s">
        <v>400</v>
      </c>
      <c r="D64" s="159" t="s">
        <v>65</v>
      </c>
      <c r="E64" s="135">
        <v>70000</v>
      </c>
      <c r="F64" s="145">
        <f t="shared" si="33"/>
        <v>12</v>
      </c>
      <c r="G64" s="388">
        <f t="shared" si="34"/>
        <v>840000</v>
      </c>
      <c r="H64" s="388">
        <f t="shared" si="35"/>
        <v>420000</v>
      </c>
      <c r="I64" s="388">
        <f t="shared" ref="I64:I78" si="47">G64*0.5</f>
        <v>420000</v>
      </c>
      <c r="J64" s="388"/>
      <c r="K64" s="388"/>
      <c r="L64" s="388"/>
      <c r="M64" s="388"/>
      <c r="N64" s="388"/>
      <c r="O64" s="161"/>
      <c r="P64" s="161"/>
      <c r="Q64" s="161"/>
      <c r="R64" s="145">
        <f t="shared" ref="R64:R78" si="48">F64*0.25</f>
        <v>3</v>
      </c>
      <c r="S64" s="145">
        <f t="shared" ref="S64:S78" si="49">F64*0.25</f>
        <v>3</v>
      </c>
      <c r="T64" s="145">
        <f t="shared" ref="T64:T78" si="50">F64*0.25</f>
        <v>3</v>
      </c>
      <c r="U64" s="145">
        <f t="shared" ref="U64:U78" si="51">F64*0.25</f>
        <v>3</v>
      </c>
      <c r="V64" s="164">
        <f t="shared" ref="V64:V78" si="52">R64*E64</f>
        <v>210000</v>
      </c>
      <c r="W64" s="164">
        <f t="shared" ref="W64:W78" si="53">S64*E64</f>
        <v>210000</v>
      </c>
      <c r="X64" s="164">
        <f t="shared" ref="X64:X78" si="54">T64*E64</f>
        <v>210000</v>
      </c>
      <c r="Y64" s="164">
        <f t="shared" ref="Y64:Y78" si="55">U64*E64</f>
        <v>210000</v>
      </c>
      <c r="Z64" s="145"/>
      <c r="AA64" s="164"/>
      <c r="AB64" s="145"/>
      <c r="AC64" s="164"/>
      <c r="AD64" s="145"/>
      <c r="AE64" s="164"/>
      <c r="AF64" s="145"/>
      <c r="AG64" s="164"/>
      <c r="AH64" s="145"/>
      <c r="AI64" s="164"/>
      <c r="AJ64" s="145"/>
      <c r="AK64" s="164"/>
      <c r="AL64" s="145"/>
      <c r="AM64" s="164"/>
      <c r="AN64" s="145"/>
      <c r="AO64" s="164"/>
      <c r="AP64" s="145"/>
      <c r="AQ64" s="164"/>
      <c r="AR64" s="145"/>
      <c r="AS64" s="164"/>
      <c r="AT64" s="145"/>
      <c r="AU64" s="164"/>
      <c r="AV64" s="145"/>
      <c r="AW64" s="164"/>
      <c r="AX64" s="145"/>
      <c r="AY64" s="164"/>
      <c r="AZ64" s="145"/>
      <c r="BA64" s="164"/>
      <c r="BB64" s="145"/>
      <c r="BC64" s="164"/>
      <c r="BD64" s="145"/>
      <c r="BE64" s="164"/>
      <c r="BF64" s="145"/>
      <c r="BG64" s="164"/>
      <c r="BH64" s="145">
        <v>12</v>
      </c>
      <c r="BI64" s="164">
        <f t="shared" si="11"/>
        <v>840000</v>
      </c>
      <c r="BJ64" s="145">
        <f t="shared" si="20"/>
        <v>12</v>
      </c>
      <c r="BK64" s="161">
        <f t="shared" si="21"/>
        <v>840000</v>
      </c>
      <c r="BL64" s="159" t="s">
        <v>218</v>
      </c>
      <c r="BN64" s="163"/>
      <c r="BO64" s="163"/>
      <c r="BP64" s="163"/>
      <c r="BQ64" s="163"/>
      <c r="BR64" s="163">
        <f>BN64+BO64+BP64+BQ64</f>
        <v>0</v>
      </c>
      <c r="BS64" s="163">
        <f t="shared" si="45"/>
        <v>840000</v>
      </c>
      <c r="BT64" s="163"/>
      <c r="BU64" s="379">
        <f t="shared" si="46"/>
        <v>840000</v>
      </c>
      <c r="BV64" s="164">
        <f t="shared" si="0"/>
        <v>840000</v>
      </c>
    </row>
    <row r="65" spans="1:74">
      <c r="A65" s="996"/>
      <c r="B65" s="196" t="s">
        <v>618</v>
      </c>
      <c r="C65" s="166" t="s">
        <v>401</v>
      </c>
      <c r="D65" s="159" t="s">
        <v>65</v>
      </c>
      <c r="E65" s="135">
        <v>70000</v>
      </c>
      <c r="F65" s="145">
        <f t="shared" si="33"/>
        <v>12</v>
      </c>
      <c r="G65" s="388">
        <f t="shared" si="34"/>
        <v>840000</v>
      </c>
      <c r="H65" s="388">
        <f t="shared" si="35"/>
        <v>420000</v>
      </c>
      <c r="I65" s="388">
        <f t="shared" si="47"/>
        <v>420000</v>
      </c>
      <c r="J65" s="388"/>
      <c r="K65" s="388"/>
      <c r="L65" s="388"/>
      <c r="M65" s="388"/>
      <c r="N65" s="388"/>
      <c r="O65" s="161"/>
      <c r="P65" s="161"/>
      <c r="Q65" s="161"/>
      <c r="R65" s="145">
        <f t="shared" si="48"/>
        <v>3</v>
      </c>
      <c r="S65" s="145">
        <f t="shared" si="49"/>
        <v>3</v>
      </c>
      <c r="T65" s="145">
        <f t="shared" si="50"/>
        <v>3</v>
      </c>
      <c r="U65" s="145">
        <f t="shared" si="51"/>
        <v>3</v>
      </c>
      <c r="V65" s="164">
        <f t="shared" si="52"/>
        <v>210000</v>
      </c>
      <c r="W65" s="164">
        <f t="shared" si="53"/>
        <v>210000</v>
      </c>
      <c r="X65" s="164">
        <f t="shared" si="54"/>
        <v>210000</v>
      </c>
      <c r="Y65" s="164">
        <f t="shared" si="55"/>
        <v>210000</v>
      </c>
      <c r="Z65" s="145"/>
      <c r="AA65" s="164"/>
      <c r="AB65" s="145"/>
      <c r="AC65" s="164"/>
      <c r="AD65" s="145"/>
      <c r="AE65" s="164"/>
      <c r="AF65" s="145"/>
      <c r="AG65" s="164"/>
      <c r="AH65" s="145"/>
      <c r="AI65" s="164"/>
      <c r="AJ65" s="145"/>
      <c r="AK65" s="164"/>
      <c r="AL65" s="145"/>
      <c r="AM65" s="164"/>
      <c r="AN65" s="145"/>
      <c r="AO65" s="164"/>
      <c r="AP65" s="145"/>
      <c r="AQ65" s="164"/>
      <c r="AR65" s="145"/>
      <c r="AS65" s="164"/>
      <c r="AT65" s="145"/>
      <c r="AU65" s="164"/>
      <c r="AV65" s="145"/>
      <c r="AW65" s="164"/>
      <c r="AX65" s="145"/>
      <c r="AY65" s="164"/>
      <c r="AZ65" s="145"/>
      <c r="BA65" s="164"/>
      <c r="BB65" s="145"/>
      <c r="BC65" s="164"/>
      <c r="BD65" s="145"/>
      <c r="BE65" s="164"/>
      <c r="BF65" s="145"/>
      <c r="BG65" s="164"/>
      <c r="BH65" s="145">
        <v>12</v>
      </c>
      <c r="BI65" s="164">
        <f t="shared" si="11"/>
        <v>840000</v>
      </c>
      <c r="BJ65" s="145">
        <f t="shared" si="20"/>
        <v>12</v>
      </c>
      <c r="BK65" s="161">
        <f t="shared" si="21"/>
        <v>840000</v>
      </c>
      <c r="BL65" s="159" t="s">
        <v>218</v>
      </c>
      <c r="BN65" s="163"/>
      <c r="BO65" s="163"/>
      <c r="BP65" s="163"/>
      <c r="BQ65" s="163"/>
      <c r="BR65" s="163">
        <f>BN65+BO65+BP65+BQ65</f>
        <v>0</v>
      </c>
      <c r="BS65" s="163">
        <f t="shared" si="45"/>
        <v>840000</v>
      </c>
      <c r="BT65" s="163"/>
      <c r="BU65" s="379">
        <f t="shared" si="46"/>
        <v>840000</v>
      </c>
      <c r="BV65" s="164">
        <f t="shared" si="0"/>
        <v>840000</v>
      </c>
    </row>
    <row r="66" spans="1:74">
      <c r="A66" s="996"/>
      <c r="B66" s="196" t="s">
        <v>618</v>
      </c>
      <c r="C66" s="166" t="s">
        <v>534</v>
      </c>
      <c r="D66" s="159" t="s">
        <v>65</v>
      </c>
      <c r="E66" s="135">
        <v>34000</v>
      </c>
      <c r="F66" s="145">
        <f t="shared" si="33"/>
        <v>12</v>
      </c>
      <c r="G66" s="388">
        <f t="shared" si="34"/>
        <v>408000</v>
      </c>
      <c r="H66" s="388">
        <f t="shared" si="35"/>
        <v>204000</v>
      </c>
      <c r="I66" s="388">
        <f t="shared" si="47"/>
        <v>204000</v>
      </c>
      <c r="J66" s="388"/>
      <c r="K66" s="388"/>
      <c r="L66" s="388"/>
      <c r="M66" s="388"/>
      <c r="N66" s="388"/>
      <c r="O66" s="161"/>
      <c r="P66" s="161"/>
      <c r="Q66" s="161"/>
      <c r="R66" s="145">
        <f t="shared" si="48"/>
        <v>3</v>
      </c>
      <c r="S66" s="145">
        <f t="shared" si="49"/>
        <v>3</v>
      </c>
      <c r="T66" s="145">
        <f t="shared" si="50"/>
        <v>3</v>
      </c>
      <c r="U66" s="145">
        <f t="shared" si="51"/>
        <v>3</v>
      </c>
      <c r="V66" s="164">
        <f t="shared" si="52"/>
        <v>102000</v>
      </c>
      <c r="W66" s="164">
        <f t="shared" si="53"/>
        <v>102000</v>
      </c>
      <c r="X66" s="164">
        <f t="shared" si="54"/>
        <v>102000</v>
      </c>
      <c r="Y66" s="164">
        <f t="shared" si="55"/>
        <v>102000</v>
      </c>
      <c r="Z66" s="145"/>
      <c r="AA66" s="164"/>
      <c r="AB66" s="145"/>
      <c r="AC66" s="164"/>
      <c r="AD66" s="145"/>
      <c r="AE66" s="164"/>
      <c r="AF66" s="145"/>
      <c r="AG66" s="164"/>
      <c r="AH66" s="145"/>
      <c r="AI66" s="164"/>
      <c r="AJ66" s="145"/>
      <c r="AK66" s="164"/>
      <c r="AL66" s="145"/>
      <c r="AM66" s="164"/>
      <c r="AN66" s="145"/>
      <c r="AO66" s="164"/>
      <c r="AP66" s="145"/>
      <c r="AQ66" s="164"/>
      <c r="AR66" s="145"/>
      <c r="AS66" s="164"/>
      <c r="AT66" s="145"/>
      <c r="AU66" s="164"/>
      <c r="AV66" s="145"/>
      <c r="AW66" s="164"/>
      <c r="AX66" s="145"/>
      <c r="AY66" s="164"/>
      <c r="AZ66" s="145"/>
      <c r="BA66" s="164"/>
      <c r="BB66" s="145"/>
      <c r="BC66" s="164"/>
      <c r="BD66" s="145"/>
      <c r="BE66" s="164"/>
      <c r="BF66" s="145"/>
      <c r="BG66" s="164"/>
      <c r="BH66" s="145">
        <v>12</v>
      </c>
      <c r="BI66" s="164">
        <f t="shared" si="11"/>
        <v>408000</v>
      </c>
      <c r="BJ66" s="145">
        <f t="shared" si="20"/>
        <v>12</v>
      </c>
      <c r="BK66" s="161">
        <f t="shared" si="21"/>
        <v>408000</v>
      </c>
      <c r="BL66" s="159" t="s">
        <v>218</v>
      </c>
      <c r="BN66" s="163"/>
      <c r="BO66" s="163"/>
      <c r="BP66" s="163"/>
      <c r="BQ66" s="163"/>
      <c r="BR66" s="163">
        <f>BN66+BO66+BP66+BQ66</f>
        <v>0</v>
      </c>
      <c r="BS66" s="163">
        <f t="shared" si="45"/>
        <v>408000</v>
      </c>
      <c r="BT66" s="163"/>
      <c r="BU66" s="379">
        <f t="shared" si="46"/>
        <v>408000</v>
      </c>
      <c r="BV66" s="164">
        <f t="shared" si="0"/>
        <v>408000</v>
      </c>
    </row>
    <row r="67" spans="1:74">
      <c r="A67" s="996"/>
      <c r="B67" s="196" t="s">
        <v>618</v>
      </c>
      <c r="C67" s="166" t="s">
        <v>402</v>
      </c>
      <c r="D67" s="159" t="s">
        <v>65</v>
      </c>
      <c r="E67" s="135">
        <v>27000</v>
      </c>
      <c r="F67" s="145">
        <f t="shared" si="33"/>
        <v>24</v>
      </c>
      <c r="G67" s="388">
        <f t="shared" si="34"/>
        <v>648000</v>
      </c>
      <c r="H67" s="388">
        <f t="shared" si="35"/>
        <v>324000</v>
      </c>
      <c r="I67" s="388">
        <f t="shared" si="47"/>
        <v>324000</v>
      </c>
      <c r="J67" s="389"/>
      <c r="K67" s="389"/>
      <c r="L67" s="389"/>
      <c r="M67" s="389"/>
      <c r="N67" s="389"/>
      <c r="O67" s="389"/>
      <c r="P67" s="389"/>
      <c r="Q67" s="393"/>
      <c r="R67" s="145">
        <f t="shared" si="48"/>
        <v>6</v>
      </c>
      <c r="S67" s="145">
        <f t="shared" si="49"/>
        <v>6</v>
      </c>
      <c r="T67" s="145">
        <f t="shared" si="50"/>
        <v>6</v>
      </c>
      <c r="U67" s="145">
        <f t="shared" si="51"/>
        <v>6</v>
      </c>
      <c r="V67" s="164">
        <f t="shared" si="52"/>
        <v>162000</v>
      </c>
      <c r="W67" s="164">
        <f t="shared" si="53"/>
        <v>162000</v>
      </c>
      <c r="X67" s="164">
        <f t="shared" si="54"/>
        <v>162000</v>
      </c>
      <c r="Y67" s="164">
        <f t="shared" si="55"/>
        <v>162000</v>
      </c>
      <c r="Z67" s="196"/>
      <c r="AA67" s="393"/>
      <c r="AB67" s="196"/>
      <c r="AC67" s="393"/>
      <c r="AD67" s="196"/>
      <c r="AE67" s="393"/>
      <c r="AF67" s="196"/>
      <c r="AG67" s="393"/>
      <c r="AH67" s="196"/>
      <c r="AI67" s="393"/>
      <c r="AJ67" s="196"/>
      <c r="AK67" s="393"/>
      <c r="AL67" s="196"/>
      <c r="AM67" s="393"/>
      <c r="AN67" s="196"/>
      <c r="AO67" s="393"/>
      <c r="AP67" s="196"/>
      <c r="AQ67" s="393"/>
      <c r="AR67" s="196"/>
      <c r="AS67" s="393"/>
      <c r="AT67" s="196"/>
      <c r="AU67" s="393"/>
      <c r="AV67" s="196"/>
      <c r="AW67" s="393"/>
      <c r="AX67" s="196"/>
      <c r="AY67" s="393"/>
      <c r="AZ67" s="196"/>
      <c r="BA67" s="393"/>
      <c r="BB67" s="196"/>
      <c r="BC67" s="393"/>
      <c r="BD67" s="196"/>
      <c r="BE67" s="393"/>
      <c r="BF67" s="196"/>
      <c r="BG67" s="393"/>
      <c r="BH67" s="145">
        <v>24</v>
      </c>
      <c r="BI67" s="164">
        <f t="shared" si="11"/>
        <v>648000</v>
      </c>
      <c r="BJ67" s="196">
        <f t="shared" si="20"/>
        <v>24</v>
      </c>
      <c r="BK67" s="393">
        <f t="shared" si="21"/>
        <v>648000</v>
      </c>
      <c r="BL67" s="159" t="s">
        <v>218</v>
      </c>
      <c r="BN67" s="392"/>
      <c r="BO67" s="392"/>
      <c r="BP67" s="392"/>
      <c r="BQ67" s="392"/>
      <c r="BR67" s="392">
        <f>SUM(BR64:BR66)</f>
        <v>0</v>
      </c>
      <c r="BS67" s="163">
        <f t="shared" si="45"/>
        <v>648000</v>
      </c>
      <c r="BT67" s="392">
        <f>SUM(BT64:BT66)</f>
        <v>0</v>
      </c>
      <c r="BU67" s="379">
        <f t="shared" si="46"/>
        <v>648000</v>
      </c>
      <c r="BV67" s="164">
        <f t="shared" si="0"/>
        <v>648000</v>
      </c>
    </row>
    <row r="68" spans="1:74">
      <c r="A68" s="996"/>
      <c r="B68" s="196" t="s">
        <v>618</v>
      </c>
      <c r="C68" s="166" t="s">
        <v>124</v>
      </c>
      <c r="D68" s="159" t="s">
        <v>65</v>
      </c>
      <c r="E68" s="135">
        <v>20000</v>
      </c>
      <c r="F68" s="145">
        <f t="shared" si="33"/>
        <v>12</v>
      </c>
      <c r="G68" s="388">
        <f t="shared" si="34"/>
        <v>240000</v>
      </c>
      <c r="H68" s="388">
        <f t="shared" si="35"/>
        <v>120000</v>
      </c>
      <c r="I68" s="388">
        <f t="shared" si="47"/>
        <v>120000</v>
      </c>
      <c r="J68" s="248"/>
      <c r="K68" s="248"/>
      <c r="L68" s="248"/>
      <c r="M68" s="248"/>
      <c r="N68" s="248"/>
      <c r="O68" s="248"/>
      <c r="P68" s="248"/>
      <c r="Q68" s="260"/>
      <c r="R68" s="145">
        <f t="shared" si="48"/>
        <v>3</v>
      </c>
      <c r="S68" s="145">
        <f t="shared" si="49"/>
        <v>3</v>
      </c>
      <c r="T68" s="145">
        <f t="shared" si="50"/>
        <v>3</v>
      </c>
      <c r="U68" s="145">
        <f t="shared" si="51"/>
        <v>3</v>
      </c>
      <c r="V68" s="164">
        <f t="shared" si="52"/>
        <v>60000</v>
      </c>
      <c r="W68" s="164">
        <f t="shared" si="53"/>
        <v>60000</v>
      </c>
      <c r="X68" s="164">
        <f t="shared" si="54"/>
        <v>60000</v>
      </c>
      <c r="Y68" s="164">
        <f t="shared" si="55"/>
        <v>60000</v>
      </c>
      <c r="Z68" s="259"/>
      <c r="AA68" s="260"/>
      <c r="AB68" s="259"/>
      <c r="AC68" s="260"/>
      <c r="AD68" s="259"/>
      <c r="AE68" s="260"/>
      <c r="AF68" s="259"/>
      <c r="AG68" s="260"/>
      <c r="AH68" s="259"/>
      <c r="AI68" s="260"/>
      <c r="AJ68" s="259"/>
      <c r="AK68" s="260"/>
      <c r="AL68" s="259"/>
      <c r="AM68" s="260"/>
      <c r="AN68" s="259"/>
      <c r="AO68" s="260"/>
      <c r="AP68" s="259"/>
      <c r="AQ68" s="260"/>
      <c r="AR68" s="259"/>
      <c r="AS68" s="260"/>
      <c r="AT68" s="259"/>
      <c r="AU68" s="260"/>
      <c r="AV68" s="259"/>
      <c r="AW68" s="260"/>
      <c r="AX68" s="259"/>
      <c r="AY68" s="260"/>
      <c r="AZ68" s="259"/>
      <c r="BA68" s="260"/>
      <c r="BB68" s="259"/>
      <c r="BC68" s="260"/>
      <c r="BD68" s="259"/>
      <c r="BE68" s="260"/>
      <c r="BF68" s="259"/>
      <c r="BG68" s="260"/>
      <c r="BH68" s="145">
        <v>12</v>
      </c>
      <c r="BI68" s="164">
        <f t="shared" si="11"/>
        <v>240000</v>
      </c>
      <c r="BJ68" s="259">
        <f t="shared" si="20"/>
        <v>12</v>
      </c>
      <c r="BK68" s="260">
        <f t="shared" si="21"/>
        <v>240000</v>
      </c>
      <c r="BL68" s="159" t="s">
        <v>218</v>
      </c>
      <c r="BN68" s="394"/>
      <c r="BO68" s="394"/>
      <c r="BP68" s="394"/>
      <c r="BQ68" s="394"/>
      <c r="BR68" s="394">
        <f>BR67+BR61+BR54</f>
        <v>0</v>
      </c>
      <c r="BS68" s="163">
        <f t="shared" si="45"/>
        <v>240000</v>
      </c>
      <c r="BT68" s="394">
        <f>BT67+BT61+BT54</f>
        <v>0</v>
      </c>
      <c r="BU68" s="379">
        <f t="shared" si="46"/>
        <v>240000</v>
      </c>
      <c r="BV68" s="164">
        <f t="shared" si="0"/>
        <v>240000</v>
      </c>
    </row>
    <row r="69" spans="1:74">
      <c r="A69" s="996"/>
      <c r="B69" s="196" t="s">
        <v>618</v>
      </c>
      <c r="C69" s="166" t="s">
        <v>125</v>
      </c>
      <c r="D69" s="159" t="s">
        <v>65</v>
      </c>
      <c r="E69" s="135">
        <v>20000</v>
      </c>
      <c r="F69" s="145">
        <f t="shared" si="33"/>
        <v>24</v>
      </c>
      <c r="G69" s="388">
        <f t="shared" si="34"/>
        <v>480000</v>
      </c>
      <c r="H69" s="388">
        <f t="shared" si="35"/>
        <v>240000</v>
      </c>
      <c r="I69" s="388">
        <f t="shared" si="47"/>
        <v>240000</v>
      </c>
      <c r="J69" s="145"/>
      <c r="K69" s="145"/>
      <c r="L69" s="145"/>
      <c r="M69" s="145"/>
      <c r="N69" s="145"/>
      <c r="O69" s="145"/>
      <c r="P69" s="145"/>
      <c r="Q69" s="145"/>
      <c r="R69" s="145">
        <f t="shared" si="48"/>
        <v>6</v>
      </c>
      <c r="S69" s="145">
        <f t="shared" si="49"/>
        <v>6</v>
      </c>
      <c r="T69" s="145">
        <f t="shared" si="50"/>
        <v>6</v>
      </c>
      <c r="U69" s="145">
        <f t="shared" si="51"/>
        <v>6</v>
      </c>
      <c r="V69" s="164">
        <f t="shared" si="52"/>
        <v>120000</v>
      </c>
      <c r="W69" s="164">
        <f t="shared" si="53"/>
        <v>120000</v>
      </c>
      <c r="X69" s="164">
        <f t="shared" si="54"/>
        <v>120000</v>
      </c>
      <c r="Y69" s="164">
        <f t="shared" si="55"/>
        <v>120000</v>
      </c>
      <c r="Z69" s="145"/>
      <c r="AA69" s="145"/>
      <c r="AB69" s="145"/>
      <c r="AC69" s="164"/>
      <c r="AD69" s="145"/>
      <c r="AE69" s="164"/>
      <c r="AF69" s="145"/>
      <c r="AG69" s="164"/>
      <c r="AH69" s="145"/>
      <c r="AI69" s="164"/>
      <c r="AJ69" s="145"/>
      <c r="AK69" s="164"/>
      <c r="AL69" s="145"/>
      <c r="AM69" s="164"/>
      <c r="AN69" s="145"/>
      <c r="AO69" s="164"/>
      <c r="AP69" s="145"/>
      <c r="AQ69" s="164"/>
      <c r="AR69" s="145"/>
      <c r="AS69" s="164"/>
      <c r="AT69" s="145"/>
      <c r="AU69" s="164"/>
      <c r="AV69" s="145"/>
      <c r="AW69" s="164"/>
      <c r="AX69" s="145"/>
      <c r="AY69" s="164"/>
      <c r="AZ69" s="145"/>
      <c r="BA69" s="164"/>
      <c r="BB69" s="145"/>
      <c r="BC69" s="164"/>
      <c r="BD69" s="145"/>
      <c r="BE69" s="164"/>
      <c r="BF69" s="145"/>
      <c r="BG69" s="164"/>
      <c r="BH69" s="145">
        <v>24</v>
      </c>
      <c r="BI69" s="164">
        <f t="shared" si="11"/>
        <v>480000</v>
      </c>
      <c r="BJ69" s="145">
        <f t="shared" si="20"/>
        <v>24</v>
      </c>
      <c r="BK69" s="145">
        <f t="shared" si="21"/>
        <v>480000</v>
      </c>
      <c r="BL69" s="159" t="s">
        <v>218</v>
      </c>
      <c r="BN69" s="163"/>
      <c r="BO69" s="163"/>
      <c r="BP69" s="163"/>
      <c r="BQ69" s="163"/>
      <c r="BR69" s="163"/>
      <c r="BS69" s="163">
        <f t="shared" si="45"/>
        <v>480000</v>
      </c>
      <c r="BT69" s="163"/>
      <c r="BU69" s="379">
        <f t="shared" si="46"/>
        <v>480000</v>
      </c>
      <c r="BV69" s="164">
        <f t="shared" si="0"/>
        <v>480000</v>
      </c>
    </row>
    <row r="70" spans="1:74">
      <c r="A70" s="996"/>
      <c r="B70" s="196" t="s">
        <v>618</v>
      </c>
      <c r="C70" s="166" t="s">
        <v>403</v>
      </c>
      <c r="D70" s="159" t="s">
        <v>65</v>
      </c>
      <c r="E70" s="135" t="s">
        <v>359</v>
      </c>
      <c r="F70" s="145">
        <f t="shared" si="33"/>
        <v>0</v>
      </c>
      <c r="G70" s="388">
        <f t="shared" si="34"/>
        <v>0</v>
      </c>
      <c r="H70" s="388">
        <f t="shared" si="35"/>
        <v>0</v>
      </c>
      <c r="I70" s="388">
        <f t="shared" si="47"/>
        <v>0</v>
      </c>
      <c r="J70" s="145"/>
      <c r="K70" s="145"/>
      <c r="L70" s="145"/>
      <c r="M70" s="145"/>
      <c r="N70" s="145"/>
      <c r="O70" s="145"/>
      <c r="P70" s="145"/>
      <c r="Q70" s="145"/>
      <c r="R70" s="145">
        <f t="shared" si="48"/>
        <v>0</v>
      </c>
      <c r="S70" s="145">
        <f t="shared" si="49"/>
        <v>0</v>
      </c>
      <c r="T70" s="145">
        <f t="shared" si="50"/>
        <v>0</v>
      </c>
      <c r="U70" s="145">
        <f t="shared" si="51"/>
        <v>0</v>
      </c>
      <c r="V70" s="164">
        <f t="shared" si="52"/>
        <v>0</v>
      </c>
      <c r="W70" s="164">
        <f t="shared" si="53"/>
        <v>0</v>
      </c>
      <c r="X70" s="164">
        <f t="shared" si="54"/>
        <v>0</v>
      </c>
      <c r="Y70" s="164">
        <f t="shared" si="55"/>
        <v>0</v>
      </c>
      <c r="Z70" s="145"/>
      <c r="AA70" s="145"/>
      <c r="AB70" s="145"/>
      <c r="AC70" s="164"/>
      <c r="AD70" s="145"/>
      <c r="AE70" s="164"/>
      <c r="AF70" s="145"/>
      <c r="AG70" s="164"/>
      <c r="AH70" s="145"/>
      <c r="AI70" s="164"/>
      <c r="AJ70" s="145"/>
      <c r="AK70" s="164"/>
      <c r="AL70" s="145"/>
      <c r="AM70" s="164"/>
      <c r="AN70" s="145"/>
      <c r="AO70" s="164"/>
      <c r="AP70" s="145"/>
      <c r="AQ70" s="164"/>
      <c r="AR70" s="145"/>
      <c r="AS70" s="164"/>
      <c r="AT70" s="145"/>
      <c r="AU70" s="164"/>
      <c r="AV70" s="145"/>
      <c r="AW70" s="164"/>
      <c r="AX70" s="145"/>
      <c r="AY70" s="164"/>
      <c r="AZ70" s="145"/>
      <c r="BA70" s="164"/>
      <c r="BB70" s="145"/>
      <c r="BC70" s="164"/>
      <c r="BD70" s="145"/>
      <c r="BE70" s="164"/>
      <c r="BF70" s="145"/>
      <c r="BG70" s="164"/>
      <c r="BH70" s="145">
        <v>0</v>
      </c>
      <c r="BI70" s="164">
        <f t="shared" si="11"/>
        <v>0</v>
      </c>
      <c r="BJ70" s="145">
        <f t="shared" si="20"/>
        <v>0</v>
      </c>
      <c r="BK70" s="145">
        <f t="shared" si="21"/>
        <v>0</v>
      </c>
      <c r="BL70" s="159" t="s">
        <v>218</v>
      </c>
      <c r="BN70" s="163"/>
      <c r="BO70" s="163"/>
      <c r="BP70" s="163"/>
      <c r="BQ70" s="163"/>
      <c r="BR70" s="163"/>
      <c r="BS70" s="163">
        <f t="shared" si="45"/>
        <v>0</v>
      </c>
      <c r="BT70" s="163"/>
      <c r="BU70" s="379">
        <f t="shared" si="46"/>
        <v>0</v>
      </c>
      <c r="BV70" s="164">
        <f t="shared" si="0"/>
        <v>0</v>
      </c>
    </row>
    <row r="71" spans="1:74">
      <c r="A71" s="996"/>
      <c r="B71" s="196" t="s">
        <v>618</v>
      </c>
      <c r="C71" s="166" t="s">
        <v>404</v>
      </c>
      <c r="D71" s="159" t="s">
        <v>65</v>
      </c>
      <c r="E71" s="135" t="s">
        <v>410</v>
      </c>
      <c r="F71" s="145">
        <f t="shared" si="33"/>
        <v>0</v>
      </c>
      <c r="G71" s="388">
        <f t="shared" si="34"/>
        <v>0</v>
      </c>
      <c r="H71" s="388">
        <f t="shared" si="35"/>
        <v>0</v>
      </c>
      <c r="I71" s="388">
        <f t="shared" si="47"/>
        <v>0</v>
      </c>
      <c r="J71" s="388"/>
      <c r="K71" s="388"/>
      <c r="L71" s="388"/>
      <c r="M71" s="388"/>
      <c r="N71" s="388"/>
      <c r="O71" s="161"/>
      <c r="P71" s="161"/>
      <c r="Q71" s="161"/>
      <c r="R71" s="145">
        <f t="shared" si="48"/>
        <v>0</v>
      </c>
      <c r="S71" s="145">
        <f t="shared" si="49"/>
        <v>0</v>
      </c>
      <c r="T71" s="145">
        <f t="shared" si="50"/>
        <v>0</v>
      </c>
      <c r="U71" s="145">
        <f t="shared" si="51"/>
        <v>0</v>
      </c>
      <c r="V71" s="164">
        <f t="shared" si="52"/>
        <v>0</v>
      </c>
      <c r="W71" s="164">
        <f t="shared" si="53"/>
        <v>0</v>
      </c>
      <c r="X71" s="164">
        <f t="shared" si="54"/>
        <v>0</v>
      </c>
      <c r="Y71" s="164">
        <f t="shared" si="55"/>
        <v>0</v>
      </c>
      <c r="Z71" s="145"/>
      <c r="AA71" s="164"/>
      <c r="AB71" s="145"/>
      <c r="AC71" s="164"/>
      <c r="AD71" s="145"/>
      <c r="AE71" s="164"/>
      <c r="AF71" s="145"/>
      <c r="AG71" s="164"/>
      <c r="AH71" s="145"/>
      <c r="AI71" s="164"/>
      <c r="AJ71" s="145"/>
      <c r="AK71" s="164"/>
      <c r="AL71" s="145"/>
      <c r="AM71" s="164"/>
      <c r="AN71" s="145"/>
      <c r="AO71" s="164"/>
      <c r="AP71" s="145"/>
      <c r="AQ71" s="164"/>
      <c r="AR71" s="145"/>
      <c r="AS71" s="164"/>
      <c r="AT71" s="145"/>
      <c r="AU71" s="164"/>
      <c r="AV71" s="145"/>
      <c r="AW71" s="164"/>
      <c r="AX71" s="145"/>
      <c r="AY71" s="164"/>
      <c r="AZ71" s="145"/>
      <c r="BA71" s="164"/>
      <c r="BB71" s="145"/>
      <c r="BC71" s="164"/>
      <c r="BD71" s="145"/>
      <c r="BE71" s="164"/>
      <c r="BF71" s="145"/>
      <c r="BG71" s="164"/>
      <c r="BH71" s="145">
        <v>0</v>
      </c>
      <c r="BI71" s="164">
        <f t="shared" si="11"/>
        <v>0</v>
      </c>
      <c r="BJ71" s="145">
        <f t="shared" si="20"/>
        <v>0</v>
      </c>
      <c r="BK71" s="161">
        <f t="shared" si="21"/>
        <v>0</v>
      </c>
      <c r="BL71" s="159" t="s">
        <v>218</v>
      </c>
      <c r="BN71" s="163"/>
      <c r="BO71" s="163"/>
      <c r="BP71" s="163"/>
      <c r="BQ71" s="163"/>
      <c r="BR71" s="163">
        <f>BN71+BO71+BP71+BQ71</f>
        <v>0</v>
      </c>
      <c r="BS71" s="163">
        <f t="shared" si="45"/>
        <v>0</v>
      </c>
      <c r="BT71" s="163"/>
      <c r="BU71" s="379">
        <f t="shared" si="46"/>
        <v>0</v>
      </c>
      <c r="BV71" s="164">
        <f t="shared" si="0"/>
        <v>0</v>
      </c>
    </row>
    <row r="72" spans="1:74">
      <c r="A72" s="996"/>
      <c r="B72" s="196" t="s">
        <v>619</v>
      </c>
      <c r="C72" s="166" t="s">
        <v>126</v>
      </c>
      <c r="D72" s="159" t="s">
        <v>65</v>
      </c>
      <c r="E72" s="135" t="s">
        <v>375</v>
      </c>
      <c r="F72" s="145">
        <f t="shared" si="33"/>
        <v>0</v>
      </c>
      <c r="G72" s="388">
        <f t="shared" si="34"/>
        <v>0</v>
      </c>
      <c r="H72" s="388">
        <f t="shared" si="35"/>
        <v>0</v>
      </c>
      <c r="I72" s="388">
        <f t="shared" si="47"/>
        <v>0</v>
      </c>
      <c r="J72" s="388"/>
      <c r="K72" s="388"/>
      <c r="L72" s="388"/>
      <c r="M72" s="388"/>
      <c r="N72" s="388"/>
      <c r="O72" s="161"/>
      <c r="P72" s="161"/>
      <c r="Q72" s="161"/>
      <c r="R72" s="145">
        <f t="shared" si="48"/>
        <v>0</v>
      </c>
      <c r="S72" s="145">
        <f t="shared" si="49"/>
        <v>0</v>
      </c>
      <c r="T72" s="145">
        <f t="shared" si="50"/>
        <v>0</v>
      </c>
      <c r="U72" s="145">
        <f t="shared" si="51"/>
        <v>0</v>
      </c>
      <c r="V72" s="164">
        <f t="shared" si="52"/>
        <v>0</v>
      </c>
      <c r="W72" s="164">
        <f t="shared" si="53"/>
        <v>0</v>
      </c>
      <c r="X72" s="164">
        <f t="shared" si="54"/>
        <v>0</v>
      </c>
      <c r="Y72" s="164">
        <f t="shared" si="55"/>
        <v>0</v>
      </c>
      <c r="Z72" s="145"/>
      <c r="AA72" s="164"/>
      <c r="AB72" s="145"/>
      <c r="AC72" s="164"/>
      <c r="AD72" s="145"/>
      <c r="AE72" s="164"/>
      <c r="AF72" s="145"/>
      <c r="AG72" s="164"/>
      <c r="AH72" s="145"/>
      <c r="AI72" s="164"/>
      <c r="AJ72" s="145"/>
      <c r="AK72" s="164"/>
      <c r="AL72" s="145"/>
      <c r="AM72" s="164"/>
      <c r="AN72" s="145"/>
      <c r="AO72" s="164"/>
      <c r="AP72" s="145"/>
      <c r="AQ72" s="164"/>
      <c r="AR72" s="145"/>
      <c r="AS72" s="164"/>
      <c r="AT72" s="145"/>
      <c r="AU72" s="164"/>
      <c r="AV72" s="145"/>
      <c r="AW72" s="164"/>
      <c r="AX72" s="145"/>
      <c r="AY72" s="164"/>
      <c r="AZ72" s="145"/>
      <c r="BA72" s="164"/>
      <c r="BB72" s="145"/>
      <c r="BC72" s="164"/>
      <c r="BD72" s="145"/>
      <c r="BE72" s="164"/>
      <c r="BF72" s="145"/>
      <c r="BG72" s="164"/>
      <c r="BH72" s="145">
        <v>0</v>
      </c>
      <c r="BI72" s="164">
        <f t="shared" si="11"/>
        <v>0</v>
      </c>
      <c r="BJ72" s="145">
        <f t="shared" si="20"/>
        <v>0</v>
      </c>
      <c r="BK72" s="161">
        <f t="shared" si="21"/>
        <v>0</v>
      </c>
      <c r="BL72" s="159" t="s">
        <v>218</v>
      </c>
      <c r="BN72" s="163"/>
      <c r="BO72" s="163"/>
      <c r="BP72" s="163"/>
      <c r="BQ72" s="163"/>
      <c r="BR72" s="163">
        <f t="shared" ref="BR72:BR87" si="56">BN72+BO72+BP72+BQ72</f>
        <v>0</v>
      </c>
      <c r="BS72" s="163">
        <f t="shared" si="45"/>
        <v>0</v>
      </c>
      <c r="BT72" s="163"/>
      <c r="BU72" s="379">
        <f t="shared" si="46"/>
        <v>0</v>
      </c>
      <c r="BV72" s="164">
        <f t="shared" si="0"/>
        <v>0</v>
      </c>
    </row>
    <row r="73" spans="1:74" ht="31.5">
      <c r="A73" s="996"/>
      <c r="B73" s="196" t="s">
        <v>619</v>
      </c>
      <c r="C73" s="134" t="s">
        <v>538</v>
      </c>
      <c r="D73" s="159" t="s">
        <v>16</v>
      </c>
      <c r="E73" s="135">
        <v>350000</v>
      </c>
      <c r="F73" s="145">
        <f t="shared" si="33"/>
        <v>1</v>
      </c>
      <c r="G73" s="388">
        <f t="shared" si="34"/>
        <v>350000</v>
      </c>
      <c r="H73" s="388">
        <f t="shared" si="35"/>
        <v>175000</v>
      </c>
      <c r="I73" s="388">
        <f t="shared" si="47"/>
        <v>175000</v>
      </c>
      <c r="J73" s="388"/>
      <c r="K73" s="388"/>
      <c r="L73" s="388"/>
      <c r="M73" s="388"/>
      <c r="N73" s="388"/>
      <c r="O73" s="161"/>
      <c r="P73" s="161"/>
      <c r="Q73" s="161"/>
      <c r="R73" s="145">
        <f t="shared" si="48"/>
        <v>0.25</v>
      </c>
      <c r="S73" s="145">
        <f t="shared" si="49"/>
        <v>0.25</v>
      </c>
      <c r="T73" s="145">
        <f t="shared" si="50"/>
        <v>0.25</v>
      </c>
      <c r="U73" s="145">
        <f t="shared" si="51"/>
        <v>0.25</v>
      </c>
      <c r="V73" s="164">
        <f t="shared" si="52"/>
        <v>87500</v>
      </c>
      <c r="W73" s="164">
        <f t="shared" si="53"/>
        <v>87500</v>
      </c>
      <c r="X73" s="164">
        <f t="shared" si="54"/>
        <v>87500</v>
      </c>
      <c r="Y73" s="164">
        <f t="shared" si="55"/>
        <v>87500</v>
      </c>
      <c r="Z73" s="145"/>
      <c r="AA73" s="164"/>
      <c r="AB73" s="145"/>
      <c r="AC73" s="164"/>
      <c r="AD73" s="145"/>
      <c r="AE73" s="164"/>
      <c r="AF73" s="145"/>
      <c r="AG73" s="164"/>
      <c r="AH73" s="145"/>
      <c r="AI73" s="164"/>
      <c r="AJ73" s="145"/>
      <c r="AK73" s="164"/>
      <c r="AL73" s="145"/>
      <c r="AM73" s="164"/>
      <c r="AN73" s="145"/>
      <c r="AO73" s="164"/>
      <c r="AP73" s="145"/>
      <c r="AQ73" s="164"/>
      <c r="AR73" s="145"/>
      <c r="AS73" s="164"/>
      <c r="AT73" s="145"/>
      <c r="AU73" s="164"/>
      <c r="AV73" s="145"/>
      <c r="AW73" s="164"/>
      <c r="AX73" s="145"/>
      <c r="AY73" s="164"/>
      <c r="AZ73" s="145"/>
      <c r="BA73" s="164"/>
      <c r="BB73" s="145"/>
      <c r="BC73" s="164"/>
      <c r="BD73" s="145"/>
      <c r="BE73" s="164"/>
      <c r="BF73" s="145"/>
      <c r="BG73" s="164"/>
      <c r="BH73" s="145">
        <v>1</v>
      </c>
      <c r="BI73" s="164">
        <f t="shared" si="11"/>
        <v>350000</v>
      </c>
      <c r="BJ73" s="145">
        <f t="shared" si="20"/>
        <v>1</v>
      </c>
      <c r="BK73" s="161">
        <f t="shared" si="21"/>
        <v>350000</v>
      </c>
      <c r="BL73" s="159" t="s">
        <v>218</v>
      </c>
      <c r="BN73" s="163"/>
      <c r="BO73" s="163"/>
      <c r="BP73" s="163"/>
      <c r="BQ73" s="163"/>
      <c r="BR73" s="163">
        <f t="shared" si="56"/>
        <v>0</v>
      </c>
      <c r="BS73" s="163">
        <f t="shared" si="45"/>
        <v>350000</v>
      </c>
      <c r="BT73" s="163"/>
      <c r="BU73" s="379">
        <f t="shared" si="46"/>
        <v>350000</v>
      </c>
      <c r="BV73" s="164">
        <f t="shared" si="0"/>
        <v>350000</v>
      </c>
    </row>
    <row r="74" spans="1:74" ht="31.5">
      <c r="A74" s="996"/>
      <c r="B74" s="196" t="s">
        <v>619</v>
      </c>
      <c r="C74" s="134" t="s">
        <v>569</v>
      </c>
      <c r="D74" s="159" t="s">
        <v>65</v>
      </c>
      <c r="E74" s="216">
        <v>1000000</v>
      </c>
      <c r="F74" s="145">
        <f t="shared" si="33"/>
        <v>12</v>
      </c>
      <c r="G74" s="388">
        <f t="shared" si="34"/>
        <v>12000000</v>
      </c>
      <c r="H74" s="388">
        <f t="shared" si="35"/>
        <v>6000000</v>
      </c>
      <c r="I74" s="388">
        <f t="shared" si="47"/>
        <v>6000000</v>
      </c>
      <c r="J74" s="388"/>
      <c r="K74" s="388"/>
      <c r="L74" s="388"/>
      <c r="M74" s="388"/>
      <c r="N74" s="388"/>
      <c r="O74" s="161"/>
      <c r="P74" s="161"/>
      <c r="Q74" s="161"/>
      <c r="R74" s="145">
        <f t="shared" si="48"/>
        <v>3</v>
      </c>
      <c r="S74" s="145">
        <f t="shared" si="49"/>
        <v>3</v>
      </c>
      <c r="T74" s="145">
        <f t="shared" si="50"/>
        <v>3</v>
      </c>
      <c r="U74" s="145">
        <f t="shared" si="51"/>
        <v>3</v>
      </c>
      <c r="V74" s="164">
        <f t="shared" si="52"/>
        <v>3000000</v>
      </c>
      <c r="W74" s="164">
        <f t="shared" si="53"/>
        <v>3000000</v>
      </c>
      <c r="X74" s="164">
        <f t="shared" si="54"/>
        <v>3000000</v>
      </c>
      <c r="Y74" s="164">
        <f t="shared" si="55"/>
        <v>3000000</v>
      </c>
      <c r="Z74" s="145"/>
      <c r="AA74" s="164"/>
      <c r="AB74" s="145"/>
      <c r="AC74" s="164"/>
      <c r="AD74" s="145"/>
      <c r="AE74" s="164"/>
      <c r="AF74" s="145"/>
      <c r="AG74" s="164"/>
      <c r="AH74" s="145"/>
      <c r="AI74" s="164"/>
      <c r="AJ74" s="145"/>
      <c r="AK74" s="164"/>
      <c r="AL74" s="145"/>
      <c r="AM74" s="164"/>
      <c r="AN74" s="145"/>
      <c r="AO74" s="164"/>
      <c r="AP74" s="145"/>
      <c r="AQ74" s="164"/>
      <c r="AR74" s="145"/>
      <c r="AS74" s="164"/>
      <c r="AT74" s="145"/>
      <c r="AU74" s="164"/>
      <c r="AV74" s="145"/>
      <c r="AW74" s="164"/>
      <c r="AX74" s="145"/>
      <c r="AY74" s="164"/>
      <c r="AZ74" s="145"/>
      <c r="BA74" s="164"/>
      <c r="BB74" s="145"/>
      <c r="BC74" s="164"/>
      <c r="BD74" s="145"/>
      <c r="BE74" s="164"/>
      <c r="BF74" s="145"/>
      <c r="BG74" s="164"/>
      <c r="BH74" s="145">
        <v>12</v>
      </c>
      <c r="BI74" s="164">
        <f t="shared" si="11"/>
        <v>12000000</v>
      </c>
      <c r="BJ74" s="145">
        <f t="shared" si="20"/>
        <v>12</v>
      </c>
      <c r="BK74" s="161">
        <f t="shared" si="21"/>
        <v>12000000</v>
      </c>
      <c r="BL74" s="159" t="s">
        <v>218</v>
      </c>
      <c r="BN74" s="163"/>
      <c r="BO74" s="163"/>
      <c r="BP74" s="163"/>
      <c r="BQ74" s="163"/>
      <c r="BR74" s="163">
        <f t="shared" si="56"/>
        <v>0</v>
      </c>
      <c r="BS74" s="163">
        <f t="shared" si="45"/>
        <v>12000000</v>
      </c>
      <c r="BT74" s="163"/>
      <c r="BU74" s="379">
        <f t="shared" si="46"/>
        <v>12000000</v>
      </c>
      <c r="BV74" s="164">
        <f t="shared" si="0"/>
        <v>12000000</v>
      </c>
    </row>
    <row r="75" spans="1:74">
      <c r="A75" s="996"/>
      <c r="B75" s="196" t="s">
        <v>619</v>
      </c>
      <c r="C75" s="166" t="s">
        <v>127</v>
      </c>
      <c r="D75" s="159" t="s">
        <v>65</v>
      </c>
      <c r="E75" s="216">
        <v>200000</v>
      </c>
      <c r="F75" s="145">
        <f t="shared" si="33"/>
        <v>12</v>
      </c>
      <c r="G75" s="388">
        <f t="shared" si="34"/>
        <v>2400000</v>
      </c>
      <c r="H75" s="388">
        <f t="shared" si="35"/>
        <v>1200000</v>
      </c>
      <c r="I75" s="388">
        <f t="shared" si="47"/>
        <v>1200000</v>
      </c>
      <c r="J75" s="388"/>
      <c r="K75" s="388"/>
      <c r="L75" s="388"/>
      <c r="M75" s="388"/>
      <c r="N75" s="388"/>
      <c r="O75" s="161"/>
      <c r="P75" s="161"/>
      <c r="Q75" s="161"/>
      <c r="R75" s="145">
        <f t="shared" si="48"/>
        <v>3</v>
      </c>
      <c r="S75" s="145">
        <f t="shared" si="49"/>
        <v>3</v>
      </c>
      <c r="T75" s="145">
        <f t="shared" si="50"/>
        <v>3</v>
      </c>
      <c r="U75" s="145">
        <f t="shared" si="51"/>
        <v>3</v>
      </c>
      <c r="V75" s="164">
        <f t="shared" si="52"/>
        <v>600000</v>
      </c>
      <c r="W75" s="164">
        <f t="shared" si="53"/>
        <v>600000</v>
      </c>
      <c r="X75" s="164">
        <f t="shared" si="54"/>
        <v>600000</v>
      </c>
      <c r="Y75" s="164">
        <f t="shared" si="55"/>
        <v>600000</v>
      </c>
      <c r="Z75" s="145"/>
      <c r="AA75" s="164"/>
      <c r="AB75" s="145"/>
      <c r="AC75" s="164"/>
      <c r="AD75" s="145"/>
      <c r="AE75" s="164"/>
      <c r="AF75" s="145"/>
      <c r="AG75" s="164"/>
      <c r="AH75" s="145"/>
      <c r="AI75" s="164"/>
      <c r="AJ75" s="145"/>
      <c r="AK75" s="164"/>
      <c r="AL75" s="145"/>
      <c r="AM75" s="164"/>
      <c r="AN75" s="145"/>
      <c r="AO75" s="164"/>
      <c r="AP75" s="145"/>
      <c r="AQ75" s="164"/>
      <c r="AR75" s="145"/>
      <c r="AS75" s="164"/>
      <c r="AT75" s="145"/>
      <c r="AU75" s="164"/>
      <c r="AV75" s="145"/>
      <c r="AW75" s="164"/>
      <c r="AX75" s="145"/>
      <c r="AY75" s="164"/>
      <c r="AZ75" s="145"/>
      <c r="BA75" s="164"/>
      <c r="BB75" s="145"/>
      <c r="BC75" s="164"/>
      <c r="BD75" s="145"/>
      <c r="BE75" s="164"/>
      <c r="BF75" s="145"/>
      <c r="BG75" s="164"/>
      <c r="BH75" s="145">
        <v>12</v>
      </c>
      <c r="BI75" s="164">
        <f t="shared" si="11"/>
        <v>2400000</v>
      </c>
      <c r="BJ75" s="145">
        <f t="shared" si="20"/>
        <v>12</v>
      </c>
      <c r="BK75" s="161">
        <f t="shared" si="21"/>
        <v>2400000</v>
      </c>
      <c r="BL75" s="159" t="s">
        <v>218</v>
      </c>
      <c r="BN75" s="163"/>
      <c r="BO75" s="163"/>
      <c r="BP75" s="163"/>
      <c r="BQ75" s="163"/>
      <c r="BR75" s="163">
        <f t="shared" si="56"/>
        <v>0</v>
      </c>
      <c r="BS75" s="163">
        <f t="shared" si="45"/>
        <v>2400000</v>
      </c>
      <c r="BT75" s="163"/>
      <c r="BU75" s="379">
        <f t="shared" si="46"/>
        <v>2400000</v>
      </c>
      <c r="BV75" s="164">
        <f t="shared" si="0"/>
        <v>2400000</v>
      </c>
    </row>
    <row r="76" spans="1:74">
      <c r="A76" s="996"/>
      <c r="B76" s="196" t="s">
        <v>619</v>
      </c>
      <c r="C76" s="166" t="s">
        <v>128</v>
      </c>
      <c r="D76" s="159" t="s">
        <v>65</v>
      </c>
      <c r="E76" s="135" t="s">
        <v>410</v>
      </c>
      <c r="F76" s="145">
        <f t="shared" si="33"/>
        <v>12</v>
      </c>
      <c r="G76" s="388">
        <f t="shared" si="34"/>
        <v>180000</v>
      </c>
      <c r="H76" s="388">
        <f t="shared" si="35"/>
        <v>90000</v>
      </c>
      <c r="I76" s="388">
        <f t="shared" si="47"/>
        <v>90000</v>
      </c>
      <c r="J76" s="388"/>
      <c r="K76" s="388"/>
      <c r="L76" s="388"/>
      <c r="M76" s="388"/>
      <c r="N76" s="388"/>
      <c r="O76" s="161"/>
      <c r="P76" s="161"/>
      <c r="Q76" s="161"/>
      <c r="R76" s="145">
        <f t="shared" si="48"/>
        <v>3</v>
      </c>
      <c r="S76" s="145">
        <f t="shared" si="49"/>
        <v>3</v>
      </c>
      <c r="T76" s="145">
        <f t="shared" si="50"/>
        <v>3</v>
      </c>
      <c r="U76" s="145">
        <f t="shared" si="51"/>
        <v>3</v>
      </c>
      <c r="V76" s="164">
        <f t="shared" si="52"/>
        <v>45000</v>
      </c>
      <c r="W76" s="164">
        <f t="shared" si="53"/>
        <v>45000</v>
      </c>
      <c r="X76" s="164">
        <f t="shared" si="54"/>
        <v>45000</v>
      </c>
      <c r="Y76" s="164">
        <f t="shared" si="55"/>
        <v>45000</v>
      </c>
      <c r="Z76" s="145"/>
      <c r="AA76" s="164"/>
      <c r="AB76" s="145"/>
      <c r="AC76" s="164"/>
      <c r="AD76" s="145"/>
      <c r="AE76" s="164"/>
      <c r="AF76" s="145"/>
      <c r="AG76" s="164"/>
      <c r="AH76" s="145"/>
      <c r="AI76" s="164"/>
      <c r="AJ76" s="145"/>
      <c r="AK76" s="164"/>
      <c r="AL76" s="145"/>
      <c r="AM76" s="164"/>
      <c r="AN76" s="145"/>
      <c r="AO76" s="164"/>
      <c r="AP76" s="145"/>
      <c r="AQ76" s="164"/>
      <c r="AR76" s="145"/>
      <c r="AS76" s="164"/>
      <c r="AT76" s="145"/>
      <c r="AU76" s="164"/>
      <c r="AV76" s="145"/>
      <c r="AW76" s="164"/>
      <c r="AX76" s="145"/>
      <c r="AY76" s="164"/>
      <c r="AZ76" s="145"/>
      <c r="BA76" s="164"/>
      <c r="BB76" s="145"/>
      <c r="BC76" s="164"/>
      <c r="BD76" s="145"/>
      <c r="BE76" s="164"/>
      <c r="BF76" s="145"/>
      <c r="BG76" s="164"/>
      <c r="BH76" s="145">
        <v>12</v>
      </c>
      <c r="BI76" s="164">
        <f t="shared" si="11"/>
        <v>180000</v>
      </c>
      <c r="BJ76" s="145">
        <f t="shared" si="20"/>
        <v>12</v>
      </c>
      <c r="BK76" s="161">
        <f t="shared" si="21"/>
        <v>180000</v>
      </c>
      <c r="BL76" s="159" t="s">
        <v>218</v>
      </c>
      <c r="BN76" s="163"/>
      <c r="BO76" s="163"/>
      <c r="BP76" s="163"/>
      <c r="BQ76" s="163"/>
      <c r="BR76" s="163">
        <f t="shared" si="56"/>
        <v>0</v>
      </c>
      <c r="BS76" s="163">
        <f t="shared" si="45"/>
        <v>180000</v>
      </c>
      <c r="BT76" s="163"/>
      <c r="BU76" s="379">
        <f t="shared" si="46"/>
        <v>180000</v>
      </c>
      <c r="BV76" s="164">
        <f t="shared" si="0"/>
        <v>180000</v>
      </c>
    </row>
    <row r="77" spans="1:74">
      <c r="A77" s="996"/>
      <c r="B77" s="196" t="s">
        <v>619</v>
      </c>
      <c r="C77" s="166" t="s">
        <v>129</v>
      </c>
      <c r="D77" s="159" t="s">
        <v>65</v>
      </c>
      <c r="E77" s="135" t="s">
        <v>410</v>
      </c>
      <c r="F77" s="145">
        <f t="shared" si="33"/>
        <v>12</v>
      </c>
      <c r="G77" s="388">
        <f t="shared" si="34"/>
        <v>180000</v>
      </c>
      <c r="H77" s="388">
        <f t="shared" si="35"/>
        <v>90000</v>
      </c>
      <c r="I77" s="388">
        <f t="shared" si="47"/>
        <v>90000</v>
      </c>
      <c r="J77" s="388"/>
      <c r="K77" s="388"/>
      <c r="L77" s="388"/>
      <c r="M77" s="388"/>
      <c r="N77" s="388"/>
      <c r="O77" s="161"/>
      <c r="P77" s="161"/>
      <c r="Q77" s="161"/>
      <c r="R77" s="145">
        <f t="shared" si="48"/>
        <v>3</v>
      </c>
      <c r="S77" s="145">
        <f t="shared" si="49"/>
        <v>3</v>
      </c>
      <c r="T77" s="145">
        <f t="shared" si="50"/>
        <v>3</v>
      </c>
      <c r="U77" s="145">
        <f t="shared" si="51"/>
        <v>3</v>
      </c>
      <c r="V77" s="164">
        <f t="shared" si="52"/>
        <v>45000</v>
      </c>
      <c r="W77" s="164">
        <f t="shared" si="53"/>
        <v>45000</v>
      </c>
      <c r="X77" s="164">
        <f t="shared" si="54"/>
        <v>45000</v>
      </c>
      <c r="Y77" s="164">
        <f t="shared" si="55"/>
        <v>45000</v>
      </c>
      <c r="Z77" s="145"/>
      <c r="AA77" s="164"/>
      <c r="AB77" s="145"/>
      <c r="AC77" s="164"/>
      <c r="AD77" s="145"/>
      <c r="AE77" s="164"/>
      <c r="AF77" s="145"/>
      <c r="AG77" s="164"/>
      <c r="AH77" s="145"/>
      <c r="AI77" s="164"/>
      <c r="AJ77" s="145"/>
      <c r="AK77" s="164"/>
      <c r="AL77" s="145"/>
      <c r="AM77" s="164"/>
      <c r="AN77" s="145"/>
      <c r="AO77" s="164"/>
      <c r="AP77" s="145"/>
      <c r="AQ77" s="164"/>
      <c r="AR77" s="145"/>
      <c r="AS77" s="164"/>
      <c r="AT77" s="145"/>
      <c r="AU77" s="164"/>
      <c r="AV77" s="145"/>
      <c r="AW77" s="164"/>
      <c r="AX77" s="145"/>
      <c r="AY77" s="164"/>
      <c r="AZ77" s="145"/>
      <c r="BA77" s="164"/>
      <c r="BB77" s="145"/>
      <c r="BC77" s="164"/>
      <c r="BD77" s="145"/>
      <c r="BE77" s="164"/>
      <c r="BF77" s="145"/>
      <c r="BG77" s="164"/>
      <c r="BH77" s="145">
        <v>12</v>
      </c>
      <c r="BI77" s="164">
        <f t="shared" si="11"/>
        <v>180000</v>
      </c>
      <c r="BJ77" s="145">
        <f t="shared" si="20"/>
        <v>12</v>
      </c>
      <c r="BK77" s="161">
        <f t="shared" si="21"/>
        <v>180000</v>
      </c>
      <c r="BL77" s="159" t="s">
        <v>218</v>
      </c>
      <c r="BN77" s="163"/>
      <c r="BO77" s="163"/>
      <c r="BP77" s="163"/>
      <c r="BQ77" s="163"/>
      <c r="BR77" s="163">
        <f t="shared" si="56"/>
        <v>0</v>
      </c>
      <c r="BS77" s="163">
        <f t="shared" si="45"/>
        <v>180000</v>
      </c>
      <c r="BT77" s="163"/>
      <c r="BU77" s="379">
        <f t="shared" si="46"/>
        <v>180000</v>
      </c>
      <c r="BV77" s="164">
        <f t="shared" si="0"/>
        <v>180000</v>
      </c>
    </row>
    <row r="78" spans="1:74">
      <c r="A78" s="996"/>
      <c r="B78" s="196" t="s">
        <v>619</v>
      </c>
      <c r="C78" s="166" t="s">
        <v>130</v>
      </c>
      <c r="D78" s="159" t="s">
        <v>65</v>
      </c>
      <c r="E78" s="135" t="s">
        <v>411</v>
      </c>
      <c r="F78" s="145">
        <f t="shared" si="33"/>
        <v>0</v>
      </c>
      <c r="G78" s="388">
        <f t="shared" si="34"/>
        <v>0</v>
      </c>
      <c r="H78" s="388">
        <f t="shared" si="35"/>
        <v>0</v>
      </c>
      <c r="I78" s="388">
        <f t="shared" si="47"/>
        <v>0</v>
      </c>
      <c r="J78" s="388"/>
      <c r="K78" s="388"/>
      <c r="L78" s="388"/>
      <c r="M78" s="388"/>
      <c r="N78" s="388"/>
      <c r="O78" s="161"/>
      <c r="P78" s="161"/>
      <c r="Q78" s="161"/>
      <c r="R78" s="145">
        <f t="shared" si="48"/>
        <v>0</v>
      </c>
      <c r="S78" s="145">
        <f t="shared" si="49"/>
        <v>0</v>
      </c>
      <c r="T78" s="145">
        <f t="shared" si="50"/>
        <v>0</v>
      </c>
      <c r="U78" s="145">
        <f t="shared" si="51"/>
        <v>0</v>
      </c>
      <c r="V78" s="164">
        <f t="shared" si="52"/>
        <v>0</v>
      </c>
      <c r="W78" s="164">
        <f t="shared" si="53"/>
        <v>0</v>
      </c>
      <c r="X78" s="164">
        <f t="shared" si="54"/>
        <v>0</v>
      </c>
      <c r="Y78" s="164">
        <f t="shared" si="55"/>
        <v>0</v>
      </c>
      <c r="Z78" s="145"/>
      <c r="AA78" s="164"/>
      <c r="AB78" s="145"/>
      <c r="AC78" s="164"/>
      <c r="AD78" s="145"/>
      <c r="AE78" s="164"/>
      <c r="AF78" s="145"/>
      <c r="AG78" s="164"/>
      <c r="AH78" s="145"/>
      <c r="AI78" s="164"/>
      <c r="AJ78" s="145"/>
      <c r="AK78" s="164"/>
      <c r="AL78" s="145"/>
      <c r="AM78" s="164"/>
      <c r="AN78" s="145"/>
      <c r="AO78" s="164"/>
      <c r="AP78" s="145"/>
      <c r="AQ78" s="164"/>
      <c r="AR78" s="145"/>
      <c r="AS78" s="164"/>
      <c r="AT78" s="145"/>
      <c r="AU78" s="164"/>
      <c r="AV78" s="145"/>
      <c r="AW78" s="164"/>
      <c r="AX78" s="145"/>
      <c r="AY78" s="164"/>
      <c r="AZ78" s="145"/>
      <c r="BA78" s="164"/>
      <c r="BB78" s="145"/>
      <c r="BC78" s="164"/>
      <c r="BD78" s="145"/>
      <c r="BE78" s="164"/>
      <c r="BF78" s="145"/>
      <c r="BG78" s="164"/>
      <c r="BH78" s="145">
        <v>0</v>
      </c>
      <c r="BI78" s="164">
        <f t="shared" si="11"/>
        <v>0</v>
      </c>
      <c r="BJ78" s="145">
        <f t="shared" si="20"/>
        <v>0</v>
      </c>
      <c r="BK78" s="161">
        <f t="shared" si="21"/>
        <v>0</v>
      </c>
      <c r="BL78" s="159" t="s">
        <v>218</v>
      </c>
      <c r="BN78" s="163"/>
      <c r="BO78" s="163"/>
      <c r="BP78" s="163"/>
      <c r="BQ78" s="163"/>
      <c r="BR78" s="163">
        <f t="shared" si="56"/>
        <v>0</v>
      </c>
      <c r="BS78" s="163">
        <f t="shared" si="45"/>
        <v>0</v>
      </c>
      <c r="BT78" s="163"/>
      <c r="BU78" s="379">
        <f t="shared" si="46"/>
        <v>0</v>
      </c>
      <c r="BV78" s="164">
        <f t="shared" si="0"/>
        <v>0</v>
      </c>
    </row>
    <row r="79" spans="1:74" s="23" customFormat="1">
      <c r="A79" s="996"/>
      <c r="B79" s="228"/>
      <c r="C79" s="158" t="s">
        <v>405</v>
      </c>
      <c r="D79" s="168" t="s">
        <v>115</v>
      </c>
      <c r="E79" s="177" t="s">
        <v>115</v>
      </c>
      <c r="F79" s="155">
        <f>SUM(F53:F78)</f>
        <v>239</v>
      </c>
      <c r="G79" s="155">
        <f t="shared" ref="G79:BK79" si="57">SUM(G53:G78)</f>
        <v>25266000</v>
      </c>
      <c r="H79" s="155">
        <f t="shared" si="57"/>
        <v>12633000</v>
      </c>
      <c r="I79" s="155">
        <f t="shared" si="57"/>
        <v>12633000</v>
      </c>
      <c r="J79" s="155">
        <f t="shared" si="57"/>
        <v>0</v>
      </c>
      <c r="K79" s="155">
        <f t="shared" si="57"/>
        <v>0</v>
      </c>
      <c r="L79" s="155">
        <f t="shared" si="57"/>
        <v>0</v>
      </c>
      <c r="M79" s="155">
        <f t="shared" si="57"/>
        <v>0</v>
      </c>
      <c r="N79" s="155">
        <f t="shared" si="57"/>
        <v>0</v>
      </c>
      <c r="O79" s="155">
        <f t="shared" si="57"/>
        <v>0</v>
      </c>
      <c r="P79" s="155">
        <f t="shared" si="57"/>
        <v>0</v>
      </c>
      <c r="Q79" s="155">
        <f t="shared" si="57"/>
        <v>0</v>
      </c>
      <c r="R79" s="155">
        <f t="shared" si="57"/>
        <v>56.75</v>
      </c>
      <c r="S79" s="155">
        <f t="shared" si="57"/>
        <v>56.75</v>
      </c>
      <c r="T79" s="155">
        <f t="shared" si="57"/>
        <v>56.75</v>
      </c>
      <c r="U79" s="155">
        <f t="shared" si="57"/>
        <v>56.75</v>
      </c>
      <c r="V79" s="155">
        <f t="shared" si="57"/>
        <v>6166500</v>
      </c>
      <c r="W79" s="155">
        <f t="shared" si="57"/>
        <v>6166500</v>
      </c>
      <c r="X79" s="155">
        <f t="shared" si="57"/>
        <v>6166500</v>
      </c>
      <c r="Y79" s="155">
        <f t="shared" si="57"/>
        <v>6166500</v>
      </c>
      <c r="Z79" s="155">
        <f t="shared" si="57"/>
        <v>0</v>
      </c>
      <c r="AA79" s="155">
        <f t="shared" si="57"/>
        <v>0</v>
      </c>
      <c r="AB79" s="155">
        <f t="shared" si="57"/>
        <v>0</v>
      </c>
      <c r="AC79" s="155">
        <f t="shared" si="57"/>
        <v>0</v>
      </c>
      <c r="AD79" s="155">
        <f t="shared" si="57"/>
        <v>0</v>
      </c>
      <c r="AE79" s="155">
        <f t="shared" si="57"/>
        <v>0</v>
      </c>
      <c r="AF79" s="155">
        <f t="shared" si="57"/>
        <v>0</v>
      </c>
      <c r="AG79" s="155">
        <f t="shared" si="57"/>
        <v>0</v>
      </c>
      <c r="AH79" s="155">
        <f t="shared" si="57"/>
        <v>0</v>
      </c>
      <c r="AI79" s="155">
        <f t="shared" si="57"/>
        <v>0</v>
      </c>
      <c r="AJ79" s="155">
        <f t="shared" si="57"/>
        <v>0</v>
      </c>
      <c r="AK79" s="155">
        <f t="shared" si="57"/>
        <v>0</v>
      </c>
      <c r="AL79" s="155">
        <f t="shared" si="57"/>
        <v>0</v>
      </c>
      <c r="AM79" s="155">
        <f t="shared" si="57"/>
        <v>0</v>
      </c>
      <c r="AN79" s="155">
        <f t="shared" si="57"/>
        <v>0</v>
      </c>
      <c r="AO79" s="155">
        <f t="shared" si="57"/>
        <v>0</v>
      </c>
      <c r="AP79" s="155">
        <f t="shared" si="57"/>
        <v>0</v>
      </c>
      <c r="AQ79" s="155">
        <f t="shared" si="57"/>
        <v>0</v>
      </c>
      <c r="AR79" s="155">
        <f t="shared" si="57"/>
        <v>0</v>
      </c>
      <c r="AS79" s="155">
        <f t="shared" si="57"/>
        <v>0</v>
      </c>
      <c r="AT79" s="155">
        <f t="shared" si="57"/>
        <v>0</v>
      </c>
      <c r="AU79" s="155">
        <f t="shared" si="57"/>
        <v>0</v>
      </c>
      <c r="AV79" s="155">
        <f t="shared" si="57"/>
        <v>0</v>
      </c>
      <c r="AW79" s="155">
        <f t="shared" si="57"/>
        <v>0</v>
      </c>
      <c r="AX79" s="155">
        <f t="shared" si="57"/>
        <v>0</v>
      </c>
      <c r="AY79" s="155">
        <f t="shared" si="57"/>
        <v>0</v>
      </c>
      <c r="AZ79" s="155">
        <f t="shared" si="57"/>
        <v>0</v>
      </c>
      <c r="BA79" s="155">
        <f t="shared" si="57"/>
        <v>0</v>
      </c>
      <c r="BB79" s="155">
        <f t="shared" si="57"/>
        <v>0</v>
      </c>
      <c r="BC79" s="155">
        <f t="shared" si="57"/>
        <v>0</v>
      </c>
      <c r="BD79" s="155">
        <f t="shared" si="57"/>
        <v>0</v>
      </c>
      <c r="BE79" s="155">
        <f t="shared" si="57"/>
        <v>0</v>
      </c>
      <c r="BF79" s="155">
        <f t="shared" si="57"/>
        <v>0</v>
      </c>
      <c r="BG79" s="155">
        <f t="shared" si="57"/>
        <v>0</v>
      </c>
      <c r="BH79" s="155">
        <f t="shared" si="57"/>
        <v>239</v>
      </c>
      <c r="BI79" s="155">
        <f t="shared" si="57"/>
        <v>25266000</v>
      </c>
      <c r="BJ79" s="155">
        <f t="shared" si="57"/>
        <v>239</v>
      </c>
      <c r="BK79" s="155">
        <f t="shared" si="57"/>
        <v>25266000</v>
      </c>
      <c r="BL79" s="168" t="s">
        <v>115</v>
      </c>
      <c r="BN79" s="174"/>
      <c r="BO79" s="174"/>
      <c r="BP79" s="174"/>
      <c r="BQ79" s="174"/>
      <c r="BR79" s="174">
        <f t="shared" si="56"/>
        <v>0</v>
      </c>
      <c r="BS79" s="174">
        <f>G79</f>
        <v>25266000</v>
      </c>
      <c r="BT79" s="174"/>
      <c r="BU79" s="391">
        <f t="shared" ref="BU79:BU87" si="58">BS79+BT79</f>
        <v>25266000</v>
      </c>
      <c r="BV79" s="171">
        <f t="shared" ref="BV79:BV87" si="59">BR79+BU79</f>
        <v>25266000</v>
      </c>
    </row>
    <row r="80" spans="1:74">
      <c r="A80" s="996"/>
      <c r="B80" s="196"/>
      <c r="C80" s="158" t="s">
        <v>342</v>
      </c>
      <c r="D80" s="159"/>
      <c r="E80" s="159"/>
      <c r="F80" s="145"/>
      <c r="G80" s="388"/>
      <c r="H80" s="388"/>
      <c r="I80" s="388"/>
      <c r="J80" s="388"/>
      <c r="K80" s="388"/>
      <c r="L80" s="388"/>
      <c r="M80" s="388"/>
      <c r="N80" s="388"/>
      <c r="O80" s="161"/>
      <c r="P80" s="161"/>
      <c r="Q80" s="161"/>
      <c r="R80" s="145"/>
      <c r="S80" s="145"/>
      <c r="T80" s="145"/>
      <c r="U80" s="145"/>
      <c r="V80" s="164"/>
      <c r="W80" s="164"/>
      <c r="X80" s="164"/>
      <c r="Y80" s="164"/>
      <c r="Z80" s="145"/>
      <c r="AA80" s="164"/>
      <c r="AB80" s="145"/>
      <c r="AC80" s="164"/>
      <c r="AD80" s="145"/>
      <c r="AE80" s="164"/>
      <c r="AF80" s="145"/>
      <c r="AG80" s="164"/>
      <c r="AH80" s="145"/>
      <c r="AI80" s="164"/>
      <c r="AJ80" s="145"/>
      <c r="AK80" s="164"/>
      <c r="AL80" s="145"/>
      <c r="AM80" s="164"/>
      <c r="AN80" s="145"/>
      <c r="AO80" s="164"/>
      <c r="AP80" s="145"/>
      <c r="AQ80" s="164"/>
      <c r="AR80" s="145"/>
      <c r="AS80" s="164"/>
      <c r="AT80" s="145"/>
      <c r="AU80" s="164"/>
      <c r="AV80" s="145"/>
      <c r="AW80" s="164"/>
      <c r="AX80" s="145"/>
      <c r="AY80" s="164"/>
      <c r="AZ80" s="145"/>
      <c r="BA80" s="164"/>
      <c r="BB80" s="145"/>
      <c r="BC80" s="164"/>
      <c r="BD80" s="145"/>
      <c r="BE80" s="164"/>
      <c r="BF80" s="145"/>
      <c r="BG80" s="164"/>
      <c r="BH80" s="145"/>
      <c r="BI80" s="164"/>
      <c r="BJ80" s="145"/>
      <c r="BK80" s="161"/>
      <c r="BL80" s="159"/>
      <c r="BN80" s="163"/>
      <c r="BO80" s="163"/>
      <c r="BP80" s="163"/>
      <c r="BQ80" s="163"/>
      <c r="BR80" s="163">
        <f t="shared" si="56"/>
        <v>0</v>
      </c>
      <c r="BS80" s="163">
        <f>G80</f>
        <v>0</v>
      </c>
      <c r="BT80" s="163"/>
      <c r="BU80" s="379">
        <f t="shared" si="58"/>
        <v>0</v>
      </c>
      <c r="BV80" s="164">
        <f t="shared" si="59"/>
        <v>0</v>
      </c>
    </row>
    <row r="81" spans="1:74">
      <c r="A81" s="996"/>
      <c r="B81" s="196" t="s">
        <v>620</v>
      </c>
      <c r="C81" s="166" t="s">
        <v>406</v>
      </c>
      <c r="D81" s="159" t="s">
        <v>65</v>
      </c>
      <c r="E81" s="135">
        <v>100000</v>
      </c>
      <c r="F81" s="145">
        <f>BJ81</f>
        <v>12</v>
      </c>
      <c r="G81" s="388">
        <f>F81*E81</f>
        <v>1200000</v>
      </c>
      <c r="H81" s="388">
        <f t="shared" ref="H81:H87" si="60">G81*0.5</f>
        <v>600000</v>
      </c>
      <c r="I81" s="388">
        <f>G81*0.5</f>
        <v>600000</v>
      </c>
      <c r="J81" s="388"/>
      <c r="K81" s="388"/>
      <c r="L81" s="388"/>
      <c r="M81" s="388"/>
      <c r="N81" s="388"/>
      <c r="O81" s="161"/>
      <c r="P81" s="161"/>
      <c r="Q81" s="161"/>
      <c r="R81" s="145">
        <f>F81*0.25</f>
        <v>3</v>
      </c>
      <c r="S81" s="145">
        <f>F81*0.25</f>
        <v>3</v>
      </c>
      <c r="T81" s="145">
        <f>F81*0.25</f>
        <v>3</v>
      </c>
      <c r="U81" s="145">
        <f>F81*0.25</f>
        <v>3</v>
      </c>
      <c r="V81" s="164">
        <f>R81*E81</f>
        <v>300000</v>
      </c>
      <c r="W81" s="164">
        <f>S81*E81</f>
        <v>300000</v>
      </c>
      <c r="X81" s="164">
        <f>T81*E81</f>
        <v>300000</v>
      </c>
      <c r="Y81" s="164">
        <f>U81*E81</f>
        <v>300000</v>
      </c>
      <c r="Z81" s="145"/>
      <c r="AA81" s="164"/>
      <c r="AB81" s="145"/>
      <c r="AC81" s="164"/>
      <c r="AD81" s="145"/>
      <c r="AE81" s="164"/>
      <c r="AF81" s="145"/>
      <c r="AG81" s="164"/>
      <c r="AH81" s="145"/>
      <c r="AI81" s="164"/>
      <c r="AJ81" s="145"/>
      <c r="AK81" s="164"/>
      <c r="AL81" s="145"/>
      <c r="AM81" s="164"/>
      <c r="AN81" s="145"/>
      <c r="AO81" s="164"/>
      <c r="AP81" s="145"/>
      <c r="AQ81" s="164"/>
      <c r="AR81" s="145"/>
      <c r="AS81" s="164"/>
      <c r="AT81" s="145"/>
      <c r="AU81" s="164"/>
      <c r="AV81" s="145"/>
      <c r="AW81" s="164"/>
      <c r="AX81" s="145"/>
      <c r="AY81" s="164"/>
      <c r="AZ81" s="145"/>
      <c r="BA81" s="164"/>
      <c r="BB81" s="145"/>
      <c r="BC81" s="164"/>
      <c r="BD81" s="145"/>
      <c r="BE81" s="164"/>
      <c r="BF81" s="145"/>
      <c r="BG81" s="164"/>
      <c r="BH81" s="145">
        <v>12</v>
      </c>
      <c r="BI81" s="164">
        <f t="shared" ref="BI81:BI87" si="61">BH81*E81</f>
        <v>1200000</v>
      </c>
      <c r="BJ81" s="145">
        <f t="shared" si="20"/>
        <v>12</v>
      </c>
      <c r="BK81" s="161">
        <f t="shared" si="21"/>
        <v>1200000</v>
      </c>
      <c r="BL81" s="159" t="s">
        <v>218</v>
      </c>
      <c r="BN81" s="163"/>
      <c r="BO81" s="163"/>
      <c r="BP81" s="163"/>
      <c r="BQ81" s="163"/>
      <c r="BR81" s="163">
        <f t="shared" si="56"/>
        <v>0</v>
      </c>
      <c r="BS81" s="163"/>
      <c r="BT81" s="163">
        <f>BK81</f>
        <v>1200000</v>
      </c>
      <c r="BU81" s="379">
        <f t="shared" si="58"/>
        <v>1200000</v>
      </c>
      <c r="BV81" s="164">
        <f t="shared" si="59"/>
        <v>1200000</v>
      </c>
    </row>
    <row r="82" spans="1:74">
      <c r="A82" s="996"/>
      <c r="B82" s="196" t="s">
        <v>620</v>
      </c>
      <c r="C82" s="166" t="s">
        <v>137</v>
      </c>
      <c r="D82" s="159" t="s">
        <v>16</v>
      </c>
      <c r="E82" s="216">
        <v>1200000</v>
      </c>
      <c r="F82" s="145">
        <f t="shared" ref="F82:F87" si="62">BJ82</f>
        <v>1</v>
      </c>
      <c r="G82" s="388">
        <f t="shared" ref="G82:G87" si="63">F82*E82</f>
        <v>1200000</v>
      </c>
      <c r="H82" s="388">
        <f t="shared" si="60"/>
        <v>600000</v>
      </c>
      <c r="I82" s="388">
        <f t="shared" ref="I82:I87" si="64">G82*0.5</f>
        <v>600000</v>
      </c>
      <c r="J82" s="388"/>
      <c r="K82" s="388"/>
      <c r="L82" s="388"/>
      <c r="M82" s="388"/>
      <c r="N82" s="388"/>
      <c r="O82" s="161"/>
      <c r="P82" s="161"/>
      <c r="Q82" s="161"/>
      <c r="R82" s="145">
        <f t="shared" ref="R82:R87" si="65">F82*0.25</f>
        <v>0.25</v>
      </c>
      <c r="S82" s="145">
        <f t="shared" ref="S82:S87" si="66">F82*0.25</f>
        <v>0.25</v>
      </c>
      <c r="T82" s="145">
        <f t="shared" ref="T82:T87" si="67">F82*0.25</f>
        <v>0.25</v>
      </c>
      <c r="U82" s="145">
        <f t="shared" ref="U82:U87" si="68">F82*0.25</f>
        <v>0.25</v>
      </c>
      <c r="V82" s="164">
        <f t="shared" ref="V82:V87" si="69">R82*E82</f>
        <v>300000</v>
      </c>
      <c r="W82" s="164">
        <f t="shared" ref="W82:W87" si="70">S82*E82</f>
        <v>300000</v>
      </c>
      <c r="X82" s="164">
        <f t="shared" ref="X82:X87" si="71">T82*E82</f>
        <v>300000</v>
      </c>
      <c r="Y82" s="164">
        <f t="shared" ref="Y82:Y87" si="72">U82*E82</f>
        <v>300000</v>
      </c>
      <c r="Z82" s="145"/>
      <c r="AA82" s="164"/>
      <c r="AB82" s="145"/>
      <c r="AC82" s="164"/>
      <c r="AD82" s="145"/>
      <c r="AE82" s="164"/>
      <c r="AF82" s="145"/>
      <c r="AG82" s="164"/>
      <c r="AH82" s="145"/>
      <c r="AI82" s="164"/>
      <c r="AJ82" s="145"/>
      <c r="AK82" s="164"/>
      <c r="AL82" s="145"/>
      <c r="AM82" s="164"/>
      <c r="AN82" s="145"/>
      <c r="AO82" s="164"/>
      <c r="AP82" s="145"/>
      <c r="AQ82" s="164"/>
      <c r="AR82" s="145"/>
      <c r="AS82" s="164"/>
      <c r="AT82" s="145"/>
      <c r="AU82" s="164"/>
      <c r="AV82" s="145"/>
      <c r="AW82" s="164"/>
      <c r="AX82" s="145"/>
      <c r="AY82" s="164"/>
      <c r="AZ82" s="145"/>
      <c r="BA82" s="164"/>
      <c r="BB82" s="145"/>
      <c r="BC82" s="164"/>
      <c r="BD82" s="145"/>
      <c r="BE82" s="164"/>
      <c r="BF82" s="145"/>
      <c r="BG82" s="164"/>
      <c r="BH82" s="145">
        <v>1</v>
      </c>
      <c r="BI82" s="164">
        <f t="shared" si="61"/>
        <v>1200000</v>
      </c>
      <c r="BJ82" s="145">
        <f t="shared" si="20"/>
        <v>1</v>
      </c>
      <c r="BK82" s="161">
        <f t="shared" si="21"/>
        <v>1200000</v>
      </c>
      <c r="BL82" s="159" t="s">
        <v>218</v>
      </c>
      <c r="BN82" s="163"/>
      <c r="BO82" s="163"/>
      <c r="BP82" s="163"/>
      <c r="BQ82" s="163"/>
      <c r="BR82" s="163">
        <f t="shared" si="56"/>
        <v>0</v>
      </c>
      <c r="BS82" s="163"/>
      <c r="BT82" s="163">
        <f t="shared" ref="BT82:BT87" si="73">BK82</f>
        <v>1200000</v>
      </c>
      <c r="BU82" s="379">
        <f t="shared" si="58"/>
        <v>1200000</v>
      </c>
      <c r="BV82" s="164">
        <f t="shared" si="59"/>
        <v>1200000</v>
      </c>
    </row>
    <row r="83" spans="1:74">
      <c r="A83" s="996"/>
      <c r="B83" s="196" t="s">
        <v>620</v>
      </c>
      <c r="C83" s="166" t="s">
        <v>134</v>
      </c>
      <c r="D83" s="159" t="s">
        <v>65</v>
      </c>
      <c r="E83" s="135">
        <v>500000</v>
      </c>
      <c r="F83" s="145">
        <f t="shared" si="62"/>
        <v>12</v>
      </c>
      <c r="G83" s="388">
        <f t="shared" si="63"/>
        <v>6000000</v>
      </c>
      <c r="H83" s="388">
        <f t="shared" si="60"/>
        <v>3000000</v>
      </c>
      <c r="I83" s="388">
        <f t="shared" si="64"/>
        <v>3000000</v>
      </c>
      <c r="J83" s="388"/>
      <c r="K83" s="388"/>
      <c r="L83" s="388"/>
      <c r="M83" s="388"/>
      <c r="N83" s="388"/>
      <c r="O83" s="161"/>
      <c r="P83" s="161"/>
      <c r="Q83" s="161"/>
      <c r="R83" s="145">
        <f t="shared" si="65"/>
        <v>3</v>
      </c>
      <c r="S83" s="145">
        <f t="shared" si="66"/>
        <v>3</v>
      </c>
      <c r="T83" s="145">
        <f t="shared" si="67"/>
        <v>3</v>
      </c>
      <c r="U83" s="145">
        <f t="shared" si="68"/>
        <v>3</v>
      </c>
      <c r="V83" s="164">
        <f t="shared" si="69"/>
        <v>1500000</v>
      </c>
      <c r="W83" s="164">
        <f t="shared" si="70"/>
        <v>1500000</v>
      </c>
      <c r="X83" s="164">
        <f t="shared" si="71"/>
        <v>1500000</v>
      </c>
      <c r="Y83" s="164">
        <f t="shared" si="72"/>
        <v>1500000</v>
      </c>
      <c r="Z83" s="145"/>
      <c r="AA83" s="164"/>
      <c r="AB83" s="145"/>
      <c r="AC83" s="164"/>
      <c r="AD83" s="145"/>
      <c r="AE83" s="164"/>
      <c r="AF83" s="145"/>
      <c r="AG83" s="164"/>
      <c r="AH83" s="145"/>
      <c r="AI83" s="164"/>
      <c r="AJ83" s="145"/>
      <c r="AK83" s="164"/>
      <c r="AL83" s="145"/>
      <c r="AM83" s="164"/>
      <c r="AN83" s="145"/>
      <c r="AO83" s="164"/>
      <c r="AP83" s="145"/>
      <c r="AQ83" s="164"/>
      <c r="AR83" s="145"/>
      <c r="AS83" s="164"/>
      <c r="AT83" s="145"/>
      <c r="AU83" s="164"/>
      <c r="AV83" s="145"/>
      <c r="AW83" s="164"/>
      <c r="AX83" s="145"/>
      <c r="AY83" s="164"/>
      <c r="AZ83" s="145"/>
      <c r="BA83" s="164"/>
      <c r="BB83" s="145"/>
      <c r="BC83" s="164"/>
      <c r="BD83" s="145"/>
      <c r="BE83" s="164"/>
      <c r="BF83" s="145"/>
      <c r="BG83" s="164"/>
      <c r="BH83" s="145">
        <v>12</v>
      </c>
      <c r="BI83" s="164">
        <f t="shared" si="61"/>
        <v>6000000</v>
      </c>
      <c r="BJ83" s="145">
        <f t="shared" si="20"/>
        <v>12</v>
      </c>
      <c r="BK83" s="161">
        <f t="shared" si="21"/>
        <v>6000000</v>
      </c>
      <c r="BL83" s="159" t="s">
        <v>218</v>
      </c>
      <c r="BN83" s="163"/>
      <c r="BO83" s="163"/>
      <c r="BP83" s="163"/>
      <c r="BQ83" s="163"/>
      <c r="BR83" s="163">
        <f t="shared" si="56"/>
        <v>0</v>
      </c>
      <c r="BS83" s="163"/>
      <c r="BT83" s="163">
        <f t="shared" si="73"/>
        <v>6000000</v>
      </c>
      <c r="BU83" s="379">
        <f t="shared" si="58"/>
        <v>6000000</v>
      </c>
      <c r="BV83" s="164">
        <f t="shared" si="59"/>
        <v>6000000</v>
      </c>
    </row>
    <row r="84" spans="1:74" ht="63">
      <c r="A84" s="996"/>
      <c r="B84" s="196" t="s">
        <v>620</v>
      </c>
      <c r="C84" s="554" t="s">
        <v>981</v>
      </c>
      <c r="D84" s="494" t="s">
        <v>16</v>
      </c>
      <c r="E84" s="495">
        <f>1000000+7133000</f>
        <v>8133000</v>
      </c>
      <c r="F84" s="145">
        <f t="shared" si="62"/>
        <v>1</v>
      </c>
      <c r="G84" s="388">
        <f t="shared" si="63"/>
        <v>8133000</v>
      </c>
      <c r="H84" s="388">
        <f t="shared" si="60"/>
        <v>4066500</v>
      </c>
      <c r="I84" s="388">
        <f t="shared" si="64"/>
        <v>4066500</v>
      </c>
      <c r="J84" s="388"/>
      <c r="K84" s="388"/>
      <c r="L84" s="388"/>
      <c r="M84" s="388"/>
      <c r="N84" s="388"/>
      <c r="O84" s="161"/>
      <c r="P84" s="161"/>
      <c r="Q84" s="161"/>
      <c r="R84" s="145">
        <f t="shared" si="65"/>
        <v>0.25</v>
      </c>
      <c r="S84" s="145">
        <f t="shared" si="66"/>
        <v>0.25</v>
      </c>
      <c r="T84" s="145">
        <f t="shared" si="67"/>
        <v>0.25</v>
      </c>
      <c r="U84" s="145">
        <f t="shared" si="68"/>
        <v>0.25</v>
      </c>
      <c r="V84" s="164">
        <f t="shared" si="69"/>
        <v>2033250</v>
      </c>
      <c r="W84" s="164">
        <f t="shared" si="70"/>
        <v>2033250</v>
      </c>
      <c r="X84" s="164">
        <f t="shared" si="71"/>
        <v>2033250</v>
      </c>
      <c r="Y84" s="164">
        <f t="shared" si="72"/>
        <v>2033250</v>
      </c>
      <c r="Z84" s="145"/>
      <c r="AA84" s="164"/>
      <c r="AB84" s="145"/>
      <c r="AC84" s="164"/>
      <c r="AD84" s="145"/>
      <c r="AE84" s="164"/>
      <c r="AF84" s="145"/>
      <c r="AG84" s="164"/>
      <c r="AH84" s="145"/>
      <c r="AI84" s="164"/>
      <c r="AJ84" s="145"/>
      <c r="AK84" s="164"/>
      <c r="AL84" s="145"/>
      <c r="AM84" s="164"/>
      <c r="AN84" s="145"/>
      <c r="AO84" s="164"/>
      <c r="AP84" s="145"/>
      <c r="AQ84" s="164"/>
      <c r="AR84" s="145"/>
      <c r="AS84" s="164"/>
      <c r="AT84" s="145"/>
      <c r="AU84" s="164"/>
      <c r="AV84" s="145"/>
      <c r="AW84" s="164"/>
      <c r="AX84" s="145"/>
      <c r="AY84" s="164"/>
      <c r="AZ84" s="145"/>
      <c r="BA84" s="164"/>
      <c r="BB84" s="145"/>
      <c r="BC84" s="164"/>
      <c r="BD84" s="145"/>
      <c r="BE84" s="164"/>
      <c r="BF84" s="145"/>
      <c r="BG84" s="164"/>
      <c r="BH84" s="145">
        <v>1</v>
      </c>
      <c r="BI84" s="164">
        <f t="shared" si="61"/>
        <v>8133000</v>
      </c>
      <c r="BJ84" s="145">
        <f t="shared" si="20"/>
        <v>1</v>
      </c>
      <c r="BK84" s="161">
        <f t="shared" si="21"/>
        <v>8133000</v>
      </c>
      <c r="BL84" s="159" t="s">
        <v>218</v>
      </c>
      <c r="BN84" s="163"/>
      <c r="BO84" s="163"/>
      <c r="BP84" s="163"/>
      <c r="BQ84" s="163"/>
      <c r="BR84" s="163">
        <f t="shared" si="56"/>
        <v>0</v>
      </c>
      <c r="BS84" s="163"/>
      <c r="BT84" s="163">
        <f t="shared" si="73"/>
        <v>8133000</v>
      </c>
      <c r="BU84" s="379">
        <f t="shared" si="58"/>
        <v>8133000</v>
      </c>
      <c r="BV84" s="164">
        <f t="shared" si="59"/>
        <v>8133000</v>
      </c>
    </row>
    <row r="85" spans="1:74">
      <c r="A85" s="996"/>
      <c r="B85" s="196" t="s">
        <v>620</v>
      </c>
      <c r="C85" s="166" t="s">
        <v>956</v>
      </c>
      <c r="D85" s="159" t="s">
        <v>16</v>
      </c>
      <c r="E85" s="135">
        <v>500000</v>
      </c>
      <c r="F85" s="145">
        <f t="shared" si="62"/>
        <v>0</v>
      </c>
      <c r="G85" s="388">
        <f t="shared" si="63"/>
        <v>0</v>
      </c>
      <c r="H85" s="388">
        <f t="shared" si="60"/>
        <v>0</v>
      </c>
      <c r="I85" s="388">
        <f t="shared" si="64"/>
        <v>0</v>
      </c>
      <c r="J85" s="388"/>
      <c r="K85" s="388"/>
      <c r="L85" s="388"/>
      <c r="M85" s="388"/>
      <c r="N85" s="388"/>
      <c r="O85" s="161"/>
      <c r="P85" s="161"/>
      <c r="Q85" s="161"/>
      <c r="R85" s="145">
        <f t="shared" si="65"/>
        <v>0</v>
      </c>
      <c r="S85" s="145">
        <f t="shared" si="66"/>
        <v>0</v>
      </c>
      <c r="T85" s="145">
        <f t="shared" si="67"/>
        <v>0</v>
      </c>
      <c r="U85" s="145">
        <f t="shared" si="68"/>
        <v>0</v>
      </c>
      <c r="V85" s="164">
        <f t="shared" si="69"/>
        <v>0</v>
      </c>
      <c r="W85" s="164">
        <f t="shared" si="70"/>
        <v>0</v>
      </c>
      <c r="X85" s="164">
        <f t="shared" si="71"/>
        <v>0</v>
      </c>
      <c r="Y85" s="164">
        <f t="shared" si="72"/>
        <v>0</v>
      </c>
      <c r="Z85" s="145"/>
      <c r="AA85" s="164"/>
      <c r="AB85" s="145"/>
      <c r="AC85" s="164"/>
      <c r="AD85" s="145"/>
      <c r="AE85" s="164"/>
      <c r="AF85" s="145"/>
      <c r="AG85" s="164"/>
      <c r="AH85" s="145"/>
      <c r="AI85" s="164"/>
      <c r="AJ85" s="145"/>
      <c r="AK85" s="164"/>
      <c r="AL85" s="145"/>
      <c r="AM85" s="164"/>
      <c r="AN85" s="145"/>
      <c r="AO85" s="164"/>
      <c r="AP85" s="145"/>
      <c r="AQ85" s="164"/>
      <c r="AR85" s="145"/>
      <c r="AS85" s="164"/>
      <c r="AT85" s="145"/>
      <c r="AU85" s="164"/>
      <c r="AV85" s="145"/>
      <c r="AW85" s="164"/>
      <c r="AX85" s="145"/>
      <c r="AY85" s="164"/>
      <c r="AZ85" s="145"/>
      <c r="BA85" s="164"/>
      <c r="BB85" s="145"/>
      <c r="BC85" s="164"/>
      <c r="BD85" s="145"/>
      <c r="BE85" s="164"/>
      <c r="BF85" s="145"/>
      <c r="BG85" s="164"/>
      <c r="BH85" s="145">
        <v>0</v>
      </c>
      <c r="BI85" s="164">
        <f t="shared" si="61"/>
        <v>0</v>
      </c>
      <c r="BJ85" s="145">
        <f t="shared" si="20"/>
        <v>0</v>
      </c>
      <c r="BK85" s="161">
        <f t="shared" si="21"/>
        <v>0</v>
      </c>
      <c r="BL85" s="159" t="s">
        <v>218</v>
      </c>
      <c r="BN85" s="163"/>
      <c r="BO85" s="163"/>
      <c r="BP85" s="163"/>
      <c r="BQ85" s="163"/>
      <c r="BR85" s="163">
        <f t="shared" si="56"/>
        <v>0</v>
      </c>
      <c r="BS85" s="163"/>
      <c r="BT85" s="163">
        <f t="shared" si="73"/>
        <v>0</v>
      </c>
      <c r="BU85" s="379">
        <f t="shared" si="58"/>
        <v>0</v>
      </c>
      <c r="BV85" s="164">
        <f t="shared" si="59"/>
        <v>0</v>
      </c>
    </row>
    <row r="86" spans="1:74">
      <c r="A86" s="996"/>
      <c r="B86" s="196" t="s">
        <v>620</v>
      </c>
      <c r="C86" s="166" t="s">
        <v>132</v>
      </c>
      <c r="D86" s="159" t="s">
        <v>65</v>
      </c>
      <c r="E86" s="135">
        <v>10000</v>
      </c>
      <c r="F86" s="145">
        <f t="shared" si="62"/>
        <v>12</v>
      </c>
      <c r="G86" s="388">
        <f t="shared" si="63"/>
        <v>120000</v>
      </c>
      <c r="H86" s="388">
        <f t="shared" si="60"/>
        <v>60000</v>
      </c>
      <c r="I86" s="388">
        <f t="shared" si="64"/>
        <v>60000</v>
      </c>
      <c r="J86" s="388"/>
      <c r="K86" s="388"/>
      <c r="L86" s="388"/>
      <c r="M86" s="388"/>
      <c r="N86" s="388"/>
      <c r="O86" s="161"/>
      <c r="P86" s="161"/>
      <c r="Q86" s="161"/>
      <c r="R86" s="145">
        <f t="shared" si="65"/>
        <v>3</v>
      </c>
      <c r="S86" s="145">
        <f t="shared" si="66"/>
        <v>3</v>
      </c>
      <c r="T86" s="145">
        <f t="shared" si="67"/>
        <v>3</v>
      </c>
      <c r="U86" s="145">
        <f t="shared" si="68"/>
        <v>3</v>
      </c>
      <c r="V86" s="164">
        <f t="shared" si="69"/>
        <v>30000</v>
      </c>
      <c r="W86" s="164">
        <f t="shared" si="70"/>
        <v>30000</v>
      </c>
      <c r="X86" s="164">
        <f t="shared" si="71"/>
        <v>30000</v>
      </c>
      <c r="Y86" s="164">
        <f t="shared" si="72"/>
        <v>30000</v>
      </c>
      <c r="Z86" s="145"/>
      <c r="AA86" s="164"/>
      <c r="AB86" s="145"/>
      <c r="AC86" s="164"/>
      <c r="AD86" s="145"/>
      <c r="AE86" s="164"/>
      <c r="AF86" s="145"/>
      <c r="AG86" s="164"/>
      <c r="AH86" s="145"/>
      <c r="AI86" s="164"/>
      <c r="AJ86" s="145"/>
      <c r="AK86" s="164"/>
      <c r="AL86" s="145"/>
      <c r="AM86" s="164"/>
      <c r="AN86" s="145"/>
      <c r="AO86" s="164"/>
      <c r="AP86" s="145"/>
      <c r="AQ86" s="164"/>
      <c r="AR86" s="145"/>
      <c r="AS86" s="164"/>
      <c r="AT86" s="145"/>
      <c r="AU86" s="164"/>
      <c r="AV86" s="145"/>
      <c r="AW86" s="164"/>
      <c r="AX86" s="145"/>
      <c r="AY86" s="164"/>
      <c r="AZ86" s="145"/>
      <c r="BA86" s="164"/>
      <c r="BB86" s="145"/>
      <c r="BC86" s="164"/>
      <c r="BD86" s="145"/>
      <c r="BE86" s="164"/>
      <c r="BF86" s="145"/>
      <c r="BG86" s="164"/>
      <c r="BH86" s="145">
        <v>12</v>
      </c>
      <c r="BI86" s="164">
        <f t="shared" si="61"/>
        <v>120000</v>
      </c>
      <c r="BJ86" s="145">
        <f t="shared" si="20"/>
        <v>12</v>
      </c>
      <c r="BK86" s="161">
        <f t="shared" si="21"/>
        <v>120000</v>
      </c>
      <c r="BL86" s="159" t="s">
        <v>218</v>
      </c>
      <c r="BN86" s="163"/>
      <c r="BO86" s="163"/>
      <c r="BP86" s="163"/>
      <c r="BQ86" s="163"/>
      <c r="BR86" s="163">
        <f t="shared" si="56"/>
        <v>0</v>
      </c>
      <c r="BS86" s="163"/>
      <c r="BT86" s="163">
        <f t="shared" si="73"/>
        <v>120000</v>
      </c>
      <c r="BU86" s="379">
        <f t="shared" si="58"/>
        <v>120000</v>
      </c>
      <c r="BV86" s="164">
        <f t="shared" si="59"/>
        <v>120000</v>
      </c>
    </row>
    <row r="87" spans="1:74">
      <c r="A87" s="996"/>
      <c r="B87" s="196" t="s">
        <v>620</v>
      </c>
      <c r="C87" s="166" t="s">
        <v>133</v>
      </c>
      <c r="D87" s="159" t="s">
        <v>65</v>
      </c>
      <c r="E87" s="135" t="s">
        <v>410</v>
      </c>
      <c r="F87" s="145">
        <f t="shared" si="62"/>
        <v>0</v>
      </c>
      <c r="G87" s="388">
        <f t="shared" si="63"/>
        <v>0</v>
      </c>
      <c r="H87" s="388">
        <f t="shared" si="60"/>
        <v>0</v>
      </c>
      <c r="I87" s="388">
        <f t="shared" si="64"/>
        <v>0</v>
      </c>
      <c r="J87" s="388"/>
      <c r="K87" s="388"/>
      <c r="L87" s="388"/>
      <c r="M87" s="388"/>
      <c r="N87" s="388"/>
      <c r="O87" s="161"/>
      <c r="P87" s="161"/>
      <c r="Q87" s="161"/>
      <c r="R87" s="145">
        <f t="shared" si="65"/>
        <v>0</v>
      </c>
      <c r="S87" s="145">
        <f t="shared" si="66"/>
        <v>0</v>
      </c>
      <c r="T87" s="145">
        <f t="shared" si="67"/>
        <v>0</v>
      </c>
      <c r="U87" s="145">
        <f t="shared" si="68"/>
        <v>0</v>
      </c>
      <c r="V87" s="164">
        <f t="shared" si="69"/>
        <v>0</v>
      </c>
      <c r="W87" s="164">
        <f t="shared" si="70"/>
        <v>0</v>
      </c>
      <c r="X87" s="164">
        <f t="shared" si="71"/>
        <v>0</v>
      </c>
      <c r="Y87" s="164">
        <f t="shared" si="72"/>
        <v>0</v>
      </c>
      <c r="Z87" s="145"/>
      <c r="AA87" s="164"/>
      <c r="AB87" s="145"/>
      <c r="AC87" s="164"/>
      <c r="AD87" s="145"/>
      <c r="AE87" s="164"/>
      <c r="AF87" s="145"/>
      <c r="AG87" s="164"/>
      <c r="AH87" s="145"/>
      <c r="AI87" s="164"/>
      <c r="AJ87" s="145"/>
      <c r="AK87" s="164"/>
      <c r="AL87" s="145"/>
      <c r="AM87" s="164"/>
      <c r="AN87" s="145"/>
      <c r="AO87" s="164"/>
      <c r="AP87" s="145"/>
      <c r="AQ87" s="164"/>
      <c r="AR87" s="145"/>
      <c r="AS87" s="164"/>
      <c r="AT87" s="145"/>
      <c r="AU87" s="164"/>
      <c r="AV87" s="145"/>
      <c r="AW87" s="164"/>
      <c r="AX87" s="145"/>
      <c r="AY87" s="164"/>
      <c r="AZ87" s="145"/>
      <c r="BA87" s="164"/>
      <c r="BB87" s="145"/>
      <c r="BC87" s="164"/>
      <c r="BD87" s="145"/>
      <c r="BE87" s="164"/>
      <c r="BF87" s="145"/>
      <c r="BG87" s="164"/>
      <c r="BH87" s="145">
        <v>0</v>
      </c>
      <c r="BI87" s="164">
        <f t="shared" si="61"/>
        <v>0</v>
      </c>
      <c r="BJ87" s="145">
        <f t="shared" si="20"/>
        <v>0</v>
      </c>
      <c r="BK87" s="161">
        <f t="shared" si="21"/>
        <v>0</v>
      </c>
      <c r="BL87" s="159" t="s">
        <v>218</v>
      </c>
      <c r="BN87" s="163"/>
      <c r="BO87" s="163"/>
      <c r="BP87" s="163"/>
      <c r="BQ87" s="163"/>
      <c r="BR87" s="163">
        <f t="shared" si="56"/>
        <v>0</v>
      </c>
      <c r="BS87" s="163"/>
      <c r="BT87" s="163">
        <f t="shared" si="73"/>
        <v>0</v>
      </c>
      <c r="BU87" s="379">
        <f t="shared" si="58"/>
        <v>0</v>
      </c>
      <c r="BV87" s="164">
        <f t="shared" si="59"/>
        <v>0</v>
      </c>
    </row>
    <row r="88" spans="1:74" s="23" customFormat="1">
      <c r="A88" s="996"/>
      <c r="B88" s="228"/>
      <c r="C88" s="158" t="s">
        <v>529</v>
      </c>
      <c r="D88" s="168" t="s">
        <v>115</v>
      </c>
      <c r="E88" s="177"/>
      <c r="F88" s="155">
        <f>SUM(F81:F87)</f>
        <v>38</v>
      </c>
      <c r="G88" s="155">
        <f t="shared" ref="G88:BR88" si="74">SUM(G81:G87)</f>
        <v>16653000</v>
      </c>
      <c r="H88" s="155">
        <f t="shared" si="74"/>
        <v>8326500</v>
      </c>
      <c r="I88" s="155">
        <f t="shared" si="74"/>
        <v>8326500</v>
      </c>
      <c r="J88" s="155">
        <f t="shared" si="74"/>
        <v>0</v>
      </c>
      <c r="K88" s="155">
        <f t="shared" si="74"/>
        <v>0</v>
      </c>
      <c r="L88" s="155">
        <f t="shared" si="74"/>
        <v>0</v>
      </c>
      <c r="M88" s="155">
        <f t="shared" si="74"/>
        <v>0</v>
      </c>
      <c r="N88" s="155">
        <f t="shared" si="74"/>
        <v>0</v>
      </c>
      <c r="O88" s="155">
        <f t="shared" si="74"/>
        <v>0</v>
      </c>
      <c r="P88" s="155">
        <f t="shared" si="74"/>
        <v>0</v>
      </c>
      <c r="Q88" s="155">
        <f t="shared" si="74"/>
        <v>0</v>
      </c>
      <c r="R88" s="155">
        <f t="shared" si="74"/>
        <v>9.5</v>
      </c>
      <c r="S88" s="155">
        <f t="shared" si="74"/>
        <v>9.5</v>
      </c>
      <c r="T88" s="155">
        <f t="shared" si="74"/>
        <v>9.5</v>
      </c>
      <c r="U88" s="155">
        <f t="shared" si="74"/>
        <v>9.5</v>
      </c>
      <c r="V88" s="155">
        <f t="shared" si="74"/>
        <v>4163250</v>
      </c>
      <c r="W88" s="155">
        <f t="shared" si="74"/>
        <v>4163250</v>
      </c>
      <c r="X88" s="155">
        <f t="shared" si="74"/>
        <v>4163250</v>
      </c>
      <c r="Y88" s="155">
        <f t="shared" si="74"/>
        <v>4163250</v>
      </c>
      <c r="Z88" s="155">
        <f t="shared" si="74"/>
        <v>0</v>
      </c>
      <c r="AA88" s="155">
        <f t="shared" si="74"/>
        <v>0</v>
      </c>
      <c r="AB88" s="155">
        <f t="shared" si="74"/>
        <v>0</v>
      </c>
      <c r="AC88" s="155">
        <f t="shared" si="74"/>
        <v>0</v>
      </c>
      <c r="AD88" s="155">
        <f t="shared" si="74"/>
        <v>0</v>
      </c>
      <c r="AE88" s="155">
        <f t="shared" si="74"/>
        <v>0</v>
      </c>
      <c r="AF88" s="155">
        <f t="shared" si="74"/>
        <v>0</v>
      </c>
      <c r="AG88" s="155">
        <f t="shared" si="74"/>
        <v>0</v>
      </c>
      <c r="AH88" s="155">
        <f t="shared" si="74"/>
        <v>0</v>
      </c>
      <c r="AI88" s="155">
        <f t="shared" si="74"/>
        <v>0</v>
      </c>
      <c r="AJ88" s="155">
        <f t="shared" si="74"/>
        <v>0</v>
      </c>
      <c r="AK88" s="155">
        <f t="shared" si="74"/>
        <v>0</v>
      </c>
      <c r="AL88" s="155">
        <f t="shared" si="74"/>
        <v>0</v>
      </c>
      <c r="AM88" s="155">
        <f t="shared" si="74"/>
        <v>0</v>
      </c>
      <c r="AN88" s="155">
        <f t="shared" si="74"/>
        <v>0</v>
      </c>
      <c r="AO88" s="155">
        <f t="shared" si="74"/>
        <v>0</v>
      </c>
      <c r="AP88" s="155">
        <f t="shared" si="74"/>
        <v>0</v>
      </c>
      <c r="AQ88" s="155">
        <f t="shared" si="74"/>
        <v>0</v>
      </c>
      <c r="AR88" s="155">
        <f t="shared" si="74"/>
        <v>0</v>
      </c>
      <c r="AS88" s="155">
        <f t="shared" si="74"/>
        <v>0</v>
      </c>
      <c r="AT88" s="155">
        <f t="shared" si="74"/>
        <v>0</v>
      </c>
      <c r="AU88" s="155">
        <f t="shared" si="74"/>
        <v>0</v>
      </c>
      <c r="AV88" s="155">
        <f t="shared" si="74"/>
        <v>0</v>
      </c>
      <c r="AW88" s="155">
        <f t="shared" si="74"/>
        <v>0</v>
      </c>
      <c r="AX88" s="155">
        <f t="shared" si="74"/>
        <v>0</v>
      </c>
      <c r="AY88" s="155">
        <f t="shared" si="74"/>
        <v>0</v>
      </c>
      <c r="AZ88" s="155">
        <f t="shared" si="74"/>
        <v>0</v>
      </c>
      <c r="BA88" s="155">
        <f t="shared" si="74"/>
        <v>0</v>
      </c>
      <c r="BB88" s="155">
        <f t="shared" si="74"/>
        <v>0</v>
      </c>
      <c r="BC88" s="155">
        <f t="shared" si="74"/>
        <v>0</v>
      </c>
      <c r="BD88" s="155">
        <f t="shared" si="74"/>
        <v>0</v>
      </c>
      <c r="BE88" s="155">
        <f t="shared" si="74"/>
        <v>0</v>
      </c>
      <c r="BF88" s="155">
        <f t="shared" si="74"/>
        <v>0</v>
      </c>
      <c r="BG88" s="155">
        <f t="shared" si="74"/>
        <v>0</v>
      </c>
      <c r="BH88" s="155">
        <f t="shared" si="74"/>
        <v>38</v>
      </c>
      <c r="BI88" s="155">
        <f t="shared" si="74"/>
        <v>16653000</v>
      </c>
      <c r="BJ88" s="155">
        <f t="shared" si="74"/>
        <v>38</v>
      </c>
      <c r="BK88" s="155">
        <f t="shared" si="74"/>
        <v>16653000</v>
      </c>
      <c r="BL88" s="155">
        <f t="shared" si="74"/>
        <v>0</v>
      </c>
      <c r="BM88" s="155">
        <f t="shared" si="74"/>
        <v>0</v>
      </c>
      <c r="BN88" s="155">
        <f t="shared" si="74"/>
        <v>0</v>
      </c>
      <c r="BO88" s="155">
        <f t="shared" si="74"/>
        <v>0</v>
      </c>
      <c r="BP88" s="155">
        <f t="shared" si="74"/>
        <v>0</v>
      </c>
      <c r="BQ88" s="155">
        <f t="shared" si="74"/>
        <v>0</v>
      </c>
      <c r="BR88" s="155">
        <f t="shared" si="74"/>
        <v>0</v>
      </c>
      <c r="BS88" s="155">
        <f>SUM(BS81:BS87)</f>
        <v>0</v>
      </c>
      <c r="BT88" s="155">
        <f>SUM(BT81:BT87)</f>
        <v>16653000</v>
      </c>
      <c r="BU88" s="155">
        <f>SUM(BU81:BU87)</f>
        <v>16653000</v>
      </c>
      <c r="BV88" s="155">
        <f>SUM(BV81:BV87)</f>
        <v>16653000</v>
      </c>
    </row>
    <row r="89" spans="1:74">
      <c r="A89" s="395"/>
      <c r="B89" s="396"/>
      <c r="C89" s="158" t="s">
        <v>346</v>
      </c>
      <c r="D89" s="159"/>
      <c r="E89" s="135"/>
      <c r="F89" s="155">
        <f>F88+F79+F48+F33+F25</f>
        <v>1374</v>
      </c>
      <c r="G89" s="155">
        <f t="shared" ref="G89:BR89" si="75">G88+G79+G48+G33+G25</f>
        <v>74629000</v>
      </c>
      <c r="H89" s="155">
        <f t="shared" si="75"/>
        <v>31801500</v>
      </c>
      <c r="I89" s="155">
        <f t="shared" si="75"/>
        <v>42827500</v>
      </c>
      <c r="J89" s="155">
        <f t="shared" si="75"/>
        <v>0</v>
      </c>
      <c r="K89" s="155">
        <f t="shared" si="75"/>
        <v>0</v>
      </c>
      <c r="L89" s="155">
        <f t="shared" si="75"/>
        <v>0</v>
      </c>
      <c r="M89" s="155">
        <f t="shared" si="75"/>
        <v>0</v>
      </c>
      <c r="N89" s="155">
        <f t="shared" si="75"/>
        <v>0</v>
      </c>
      <c r="O89" s="155">
        <f t="shared" si="75"/>
        <v>0</v>
      </c>
      <c r="P89" s="155">
        <f t="shared" si="75"/>
        <v>0</v>
      </c>
      <c r="Q89" s="155">
        <f t="shared" si="75"/>
        <v>0</v>
      </c>
      <c r="R89" s="155">
        <f t="shared" si="75"/>
        <v>69.5</v>
      </c>
      <c r="S89" s="155">
        <f t="shared" si="75"/>
        <v>145.5</v>
      </c>
      <c r="T89" s="155">
        <f t="shared" si="75"/>
        <v>1076.5</v>
      </c>
      <c r="U89" s="155">
        <f t="shared" si="75"/>
        <v>69.5</v>
      </c>
      <c r="V89" s="155">
        <f t="shared" si="75"/>
        <v>14579750</v>
      </c>
      <c r="W89" s="155">
        <f t="shared" si="75"/>
        <v>24539750</v>
      </c>
      <c r="X89" s="155">
        <f t="shared" si="75"/>
        <v>20079750</v>
      </c>
      <c r="Y89" s="155">
        <f t="shared" si="75"/>
        <v>14579750</v>
      </c>
      <c r="Z89" s="155">
        <f t="shared" si="75"/>
        <v>0</v>
      </c>
      <c r="AA89" s="155">
        <f t="shared" si="75"/>
        <v>0</v>
      </c>
      <c r="AB89" s="155">
        <f t="shared" si="75"/>
        <v>0</v>
      </c>
      <c r="AC89" s="155">
        <f t="shared" si="75"/>
        <v>0</v>
      </c>
      <c r="AD89" s="155">
        <f t="shared" si="75"/>
        <v>0</v>
      </c>
      <c r="AE89" s="155">
        <f t="shared" si="75"/>
        <v>0</v>
      </c>
      <c r="AF89" s="155">
        <f t="shared" si="75"/>
        <v>0</v>
      </c>
      <c r="AG89" s="155">
        <f t="shared" si="75"/>
        <v>0</v>
      </c>
      <c r="AH89" s="155">
        <f t="shared" si="75"/>
        <v>0</v>
      </c>
      <c r="AI89" s="155">
        <f t="shared" si="75"/>
        <v>0</v>
      </c>
      <c r="AJ89" s="155">
        <f t="shared" si="75"/>
        <v>0</v>
      </c>
      <c r="AK89" s="155">
        <f t="shared" si="75"/>
        <v>0</v>
      </c>
      <c r="AL89" s="155">
        <f t="shared" si="75"/>
        <v>0</v>
      </c>
      <c r="AM89" s="155">
        <f t="shared" si="75"/>
        <v>0</v>
      </c>
      <c r="AN89" s="155">
        <f t="shared" si="75"/>
        <v>0</v>
      </c>
      <c r="AO89" s="155">
        <f t="shared" si="75"/>
        <v>0</v>
      </c>
      <c r="AP89" s="155">
        <f t="shared" si="75"/>
        <v>0</v>
      </c>
      <c r="AQ89" s="155">
        <f t="shared" si="75"/>
        <v>0</v>
      </c>
      <c r="AR89" s="155">
        <f t="shared" si="75"/>
        <v>0</v>
      </c>
      <c r="AS89" s="155">
        <f t="shared" si="75"/>
        <v>0</v>
      </c>
      <c r="AT89" s="155">
        <f t="shared" si="75"/>
        <v>0</v>
      </c>
      <c r="AU89" s="155">
        <f t="shared" si="75"/>
        <v>0</v>
      </c>
      <c r="AV89" s="155">
        <f t="shared" si="75"/>
        <v>0</v>
      </c>
      <c r="AW89" s="155">
        <f t="shared" si="75"/>
        <v>0</v>
      </c>
      <c r="AX89" s="155">
        <f t="shared" si="75"/>
        <v>0</v>
      </c>
      <c r="AY89" s="155">
        <f t="shared" si="75"/>
        <v>0</v>
      </c>
      <c r="AZ89" s="155">
        <f t="shared" si="75"/>
        <v>0</v>
      </c>
      <c r="BA89" s="155">
        <f t="shared" si="75"/>
        <v>0</v>
      </c>
      <c r="BB89" s="155">
        <f t="shared" si="75"/>
        <v>0</v>
      </c>
      <c r="BC89" s="155">
        <f t="shared" si="75"/>
        <v>0</v>
      </c>
      <c r="BD89" s="155">
        <f t="shared" si="75"/>
        <v>0</v>
      </c>
      <c r="BE89" s="155">
        <f t="shared" si="75"/>
        <v>0</v>
      </c>
      <c r="BF89" s="155">
        <f t="shared" si="75"/>
        <v>0</v>
      </c>
      <c r="BG89" s="155">
        <f t="shared" si="75"/>
        <v>0</v>
      </c>
      <c r="BH89" s="155">
        <f t="shared" si="75"/>
        <v>1374</v>
      </c>
      <c r="BI89" s="155">
        <f t="shared" si="75"/>
        <v>74629000</v>
      </c>
      <c r="BJ89" s="155">
        <f t="shared" si="75"/>
        <v>1374</v>
      </c>
      <c r="BK89" s="155">
        <f t="shared" si="75"/>
        <v>74629000</v>
      </c>
      <c r="BL89" s="155"/>
      <c r="BM89" s="155">
        <f t="shared" si="75"/>
        <v>0</v>
      </c>
      <c r="BN89" s="155">
        <f t="shared" si="75"/>
        <v>0</v>
      </c>
      <c r="BO89" s="155">
        <f t="shared" si="75"/>
        <v>500000</v>
      </c>
      <c r="BP89" s="155">
        <f t="shared" si="75"/>
        <v>31260000</v>
      </c>
      <c r="BQ89" s="155">
        <f t="shared" si="75"/>
        <v>0</v>
      </c>
      <c r="BR89" s="155">
        <f t="shared" si="75"/>
        <v>31760000</v>
      </c>
      <c r="BS89" s="155">
        <f>BS88+BS79+BS48+BS33+BS25</f>
        <v>25266000</v>
      </c>
      <c r="BT89" s="155">
        <f>BT88+BT79+BT48+BT33+BT25</f>
        <v>17303000</v>
      </c>
      <c r="BU89" s="155">
        <f>BU88+BU79+BU48+BU33+BU25</f>
        <v>42569000</v>
      </c>
      <c r="BV89" s="155">
        <f>BV88+BV79+BV48+BV33+BV25</f>
        <v>74329000</v>
      </c>
    </row>
    <row r="90" spans="1:74">
      <c r="C90" s="139" t="s">
        <v>237</v>
      </c>
    </row>
  </sheetData>
  <mergeCells count="39">
    <mergeCell ref="H7:Q7"/>
    <mergeCell ref="R7:U8"/>
    <mergeCell ref="AD7:AE8"/>
    <mergeCell ref="AN7:AO8"/>
    <mergeCell ref="AP7:AQ8"/>
    <mergeCell ref="Z7:AA8"/>
    <mergeCell ref="AB7:AC8"/>
    <mergeCell ref="A10:A88"/>
    <mergeCell ref="AJ7:AK8"/>
    <mergeCell ref="BF7:BG8"/>
    <mergeCell ref="F8:F9"/>
    <mergeCell ref="G8:G9"/>
    <mergeCell ref="AT7:AU8"/>
    <mergeCell ref="AV7:AW8"/>
    <mergeCell ref="AL7:AM8"/>
    <mergeCell ref="V7:Y8"/>
    <mergeCell ref="AF7:AG8"/>
    <mergeCell ref="AH7:AI8"/>
    <mergeCell ref="BB7:BC8"/>
    <mergeCell ref="BD7:BE8"/>
    <mergeCell ref="AX7:AY8"/>
    <mergeCell ref="AZ7:BA8"/>
    <mergeCell ref="A8:A9"/>
    <mergeCell ref="BL7:BL9"/>
    <mergeCell ref="BN8:BR8"/>
    <mergeCell ref="BS8:BU8"/>
    <mergeCell ref="BV8:BV9"/>
    <mergeCell ref="A2:B2"/>
    <mergeCell ref="A3:B3"/>
    <mergeCell ref="A4:B4"/>
    <mergeCell ref="A6:B6"/>
    <mergeCell ref="A7:D7"/>
    <mergeCell ref="E7:G7"/>
    <mergeCell ref="BH7:BI8"/>
    <mergeCell ref="BJ7:BK8"/>
    <mergeCell ref="C8:C9"/>
    <mergeCell ref="D8:D9"/>
    <mergeCell ref="E8:E9"/>
    <mergeCell ref="AR7:AS8"/>
  </mergeCells>
  <pageMargins left="0.4" right="0.7" top="0.32" bottom="0.17" header="0.3" footer="0.17"/>
  <pageSetup paperSize="9" scale="10" fitToHeight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7">
    <tabColor rgb="FF00B0F0"/>
    <pageSetUpPr fitToPage="1"/>
  </sheetPr>
  <dimension ref="A2:BV60"/>
  <sheetViews>
    <sheetView zoomScale="80" zoomScaleNormal="80" workbookViewId="0">
      <pane xSplit="7" ySplit="9" topLeftCell="AC58" activePane="bottomRight" state="frozen"/>
      <selection pane="topRight" activeCell="H1" sqref="H1"/>
      <selection pane="bottomLeft" activeCell="A10" sqref="A10"/>
      <selection pane="bottomRight" activeCell="G71" sqref="G71"/>
    </sheetView>
  </sheetViews>
  <sheetFormatPr defaultColWidth="9.140625" defaultRowHeight="15.75"/>
  <cols>
    <col min="1" max="1" width="11.42578125" style="139" bestFit="1" customWidth="1"/>
    <col min="2" max="2" width="12.140625" style="139" customWidth="1"/>
    <col min="3" max="3" width="39.85546875" style="139" customWidth="1"/>
    <col min="4" max="4" width="10.42578125" style="139" customWidth="1"/>
    <col min="5" max="5" width="17.28515625" style="140" customWidth="1"/>
    <col min="6" max="6" width="8" style="139" customWidth="1"/>
    <col min="7" max="7" width="17.28515625" style="209" customWidth="1"/>
    <col min="8" max="8" width="17" style="209" customWidth="1"/>
    <col min="9" max="9" width="17.42578125" style="209" customWidth="1"/>
    <col min="10" max="10" width="7.7109375" style="209" customWidth="1"/>
    <col min="11" max="11" width="6.28515625" style="209" customWidth="1"/>
    <col min="12" max="12" width="12.28515625" style="209" bestFit="1" customWidth="1"/>
    <col min="13" max="13" width="5.85546875" style="209" customWidth="1"/>
    <col min="14" max="14" width="8.85546875" style="209" customWidth="1"/>
    <col min="15" max="15" width="7.140625" style="139" customWidth="1"/>
    <col min="16" max="16" width="9.28515625" style="139" customWidth="1"/>
    <col min="17" max="17" width="13.140625" style="139" customWidth="1"/>
    <col min="18" max="21" width="7.85546875" style="139" customWidth="1"/>
    <col min="22" max="24" width="15.28515625" style="139" bestFit="1" customWidth="1"/>
    <col min="25" max="25" width="15" style="139" customWidth="1"/>
    <col min="26" max="26" width="9.140625" style="139" customWidth="1"/>
    <col min="27" max="27" width="17.28515625" style="139" customWidth="1"/>
    <col min="28" max="28" width="9.140625" style="139" customWidth="1"/>
    <col min="29" max="29" width="14.7109375" style="139" customWidth="1"/>
    <col min="30" max="30" width="9.140625" style="139" customWidth="1"/>
    <col min="31" max="31" width="16.42578125" style="139" customWidth="1"/>
    <col min="32" max="32" width="9.140625" style="139" customWidth="1"/>
    <col min="33" max="33" width="16.28515625" style="139" customWidth="1"/>
    <col min="34" max="34" width="9.140625" style="139" customWidth="1"/>
    <col min="35" max="35" width="16.28515625" style="139" customWidth="1"/>
    <col min="36" max="36" width="9.140625" style="139" customWidth="1"/>
    <col min="37" max="37" width="16.42578125" style="139" customWidth="1"/>
    <col min="38" max="38" width="9.140625" style="139" customWidth="1"/>
    <col min="39" max="39" width="16.28515625" style="139" customWidth="1"/>
    <col min="40" max="40" width="9.140625" style="139" customWidth="1"/>
    <col min="41" max="41" width="14.28515625" style="139" customWidth="1"/>
    <col min="42" max="42" width="5" style="139" customWidth="1"/>
    <col min="43" max="43" width="15.85546875" style="139" customWidth="1"/>
    <col min="44" max="44" width="5" style="139" customWidth="1"/>
    <col min="45" max="45" width="16.7109375" style="139" customWidth="1"/>
    <col min="46" max="46" width="5" style="139" customWidth="1"/>
    <col min="47" max="47" width="17.5703125" style="139" customWidth="1"/>
    <col min="48" max="48" width="6.5703125" style="139" customWidth="1"/>
    <col min="49" max="49" width="15.42578125" style="139" customWidth="1"/>
    <col min="50" max="50" width="5" style="139" customWidth="1"/>
    <col min="51" max="51" width="14" style="139" customWidth="1"/>
    <col min="52" max="52" width="5" style="139" customWidth="1"/>
    <col min="53" max="53" width="14.85546875" style="139" customWidth="1"/>
    <col min="54" max="54" width="5.85546875" style="139" customWidth="1"/>
    <col min="55" max="55" width="17.5703125" style="139" customWidth="1"/>
    <col min="56" max="56" width="5" style="139" customWidth="1"/>
    <col min="57" max="57" width="14.7109375" style="139" customWidth="1"/>
    <col min="58" max="58" width="6.85546875" style="139" customWidth="1"/>
    <col min="59" max="59" width="14.28515625" style="139" customWidth="1"/>
    <col min="60" max="60" width="5.5703125" style="139" bestFit="1" customWidth="1"/>
    <col min="61" max="61" width="16" style="139" customWidth="1"/>
    <col min="62" max="62" width="7.5703125" style="139" customWidth="1"/>
    <col min="63" max="63" width="19.42578125" style="139" customWidth="1"/>
    <col min="64" max="64" width="18.5703125" style="139" customWidth="1"/>
    <col min="65" max="65" width="9.140625" style="139" customWidth="1"/>
    <col min="66" max="66" width="15.7109375" style="139" bestFit="1" customWidth="1"/>
    <col min="67" max="67" width="10.7109375" style="139" customWidth="1"/>
    <col min="68" max="68" width="21.5703125" style="139" bestFit="1" customWidth="1"/>
    <col min="69" max="69" width="9.140625" style="139"/>
    <col min="70" max="70" width="23.140625" style="139" bestFit="1" customWidth="1"/>
    <col min="71" max="71" width="21" style="139" bestFit="1" customWidth="1"/>
    <col min="72" max="72" width="16.85546875" style="139" customWidth="1"/>
    <col min="73" max="73" width="19.140625" style="139" customWidth="1"/>
    <col min="74" max="74" width="19" style="139" customWidth="1"/>
    <col min="75" max="16384" width="9.140625" style="139"/>
  </cols>
  <sheetData>
    <row r="2" spans="1:74">
      <c r="A2" s="995" t="s">
        <v>163</v>
      </c>
      <c r="B2" s="995"/>
      <c r="C2" s="894" t="s">
        <v>157</v>
      </c>
      <c r="D2" s="894"/>
      <c r="E2" s="894"/>
      <c r="F2" s="894"/>
      <c r="G2" s="894"/>
      <c r="H2" s="894"/>
      <c r="I2" s="894"/>
      <c r="J2" s="894"/>
      <c r="K2" s="894"/>
      <c r="L2" s="894"/>
      <c r="M2" s="894"/>
      <c r="N2" s="894"/>
      <c r="O2" s="894"/>
      <c r="P2" s="894"/>
      <c r="Q2" s="894"/>
      <c r="R2" s="23"/>
      <c r="S2" s="23"/>
      <c r="T2" s="23"/>
      <c r="U2" s="23"/>
      <c r="V2" s="23"/>
      <c r="W2" s="23"/>
      <c r="X2" s="23"/>
      <c r="Y2" s="23"/>
    </row>
    <row r="3" spans="1:74">
      <c r="A3" s="995" t="s">
        <v>159</v>
      </c>
      <c r="B3" s="995"/>
      <c r="C3" s="894" t="s">
        <v>158</v>
      </c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23"/>
      <c r="S3" s="23"/>
      <c r="T3" s="23"/>
      <c r="U3" s="23"/>
      <c r="V3" s="23"/>
      <c r="W3" s="23"/>
      <c r="X3" s="23"/>
      <c r="Y3" s="23"/>
    </row>
    <row r="4" spans="1:74">
      <c r="A4" s="995" t="s">
        <v>160</v>
      </c>
      <c r="B4" s="995"/>
      <c r="C4" s="894" t="s">
        <v>950</v>
      </c>
      <c r="D4" s="894"/>
      <c r="E4" s="894"/>
      <c r="F4" s="894"/>
      <c r="G4" s="894"/>
      <c r="H4" s="894"/>
      <c r="I4" s="894"/>
      <c r="J4" s="894"/>
      <c r="K4" s="894"/>
      <c r="L4" s="894"/>
      <c r="M4" s="894"/>
      <c r="N4" s="894"/>
      <c r="O4" s="894"/>
      <c r="P4" s="894"/>
      <c r="Q4" s="894"/>
      <c r="R4" s="23"/>
      <c r="S4" s="23"/>
      <c r="T4" s="23"/>
      <c r="U4" s="23"/>
      <c r="V4" s="23"/>
      <c r="W4" s="23"/>
      <c r="X4" s="23"/>
      <c r="Y4" s="23"/>
    </row>
    <row r="5" spans="1:74">
      <c r="A5" s="995" t="s">
        <v>166</v>
      </c>
      <c r="B5" s="995"/>
      <c r="C5" s="894" t="s">
        <v>164</v>
      </c>
      <c r="D5" s="894"/>
      <c r="E5" s="894"/>
      <c r="F5" s="894"/>
      <c r="G5" s="894"/>
      <c r="H5" s="894"/>
      <c r="I5" s="894"/>
      <c r="J5" s="894"/>
      <c r="K5" s="894"/>
      <c r="L5" s="894"/>
      <c r="M5" s="894"/>
      <c r="N5" s="894"/>
      <c r="O5" s="894"/>
      <c r="P5" s="894"/>
      <c r="Q5" s="894"/>
      <c r="R5" s="23"/>
      <c r="S5" s="23"/>
      <c r="T5" s="23"/>
      <c r="U5" s="23"/>
      <c r="V5" s="23"/>
      <c r="W5" s="23"/>
      <c r="X5" s="23"/>
      <c r="Y5" s="23"/>
    </row>
    <row r="6" spans="1:74">
      <c r="A6" s="995" t="s">
        <v>951</v>
      </c>
      <c r="B6" s="995"/>
      <c r="C6" s="894" t="s">
        <v>952</v>
      </c>
      <c r="D6" s="894"/>
      <c r="E6" s="894"/>
      <c r="F6" s="894"/>
      <c r="G6" s="894"/>
      <c r="H6" s="894"/>
      <c r="I6" s="894"/>
      <c r="J6" s="894"/>
      <c r="K6" s="894"/>
      <c r="L6" s="894"/>
      <c r="M6" s="894"/>
      <c r="N6" s="894"/>
      <c r="O6" s="894"/>
      <c r="P6" s="894"/>
      <c r="Q6" s="894"/>
      <c r="R6" s="23"/>
      <c r="S6" s="23"/>
      <c r="T6" s="23"/>
      <c r="U6" s="23"/>
      <c r="V6" s="23"/>
      <c r="W6" s="23"/>
      <c r="X6" s="23"/>
      <c r="Y6" s="23"/>
    </row>
    <row r="7" spans="1:74" ht="17.25" customHeight="1">
      <c r="A7" s="906"/>
      <c r="B7" s="906"/>
      <c r="C7" s="906"/>
      <c r="D7" s="906"/>
      <c r="E7" s="906"/>
      <c r="F7" s="906"/>
      <c r="G7" s="906"/>
      <c r="H7" s="908" t="s">
        <v>156</v>
      </c>
      <c r="I7" s="909"/>
      <c r="J7" s="909"/>
      <c r="K7" s="909"/>
      <c r="L7" s="909"/>
      <c r="M7" s="909"/>
      <c r="N7" s="909"/>
      <c r="O7" s="909"/>
      <c r="P7" s="909"/>
      <c r="Q7" s="910"/>
      <c r="R7" s="1003" t="s">
        <v>62</v>
      </c>
      <c r="S7" s="1004"/>
      <c r="T7" s="1004"/>
      <c r="U7" s="1005"/>
      <c r="V7" s="997" t="s">
        <v>6</v>
      </c>
      <c r="W7" s="998"/>
      <c r="X7" s="998"/>
      <c r="Y7" s="999"/>
      <c r="Z7" s="1009" t="s">
        <v>184</v>
      </c>
      <c r="AA7" s="1009"/>
      <c r="AB7" s="1009" t="s">
        <v>185</v>
      </c>
      <c r="AC7" s="1009"/>
      <c r="AD7" s="1009" t="s">
        <v>186</v>
      </c>
      <c r="AE7" s="1009"/>
      <c r="AF7" s="1009" t="s">
        <v>187</v>
      </c>
      <c r="AG7" s="1009"/>
      <c r="AH7" s="1009" t="s">
        <v>188</v>
      </c>
      <c r="AI7" s="1009"/>
      <c r="AJ7" s="1009" t="s">
        <v>189</v>
      </c>
      <c r="AK7" s="1009"/>
      <c r="AL7" s="1009" t="s">
        <v>190</v>
      </c>
      <c r="AM7" s="1009"/>
      <c r="AN7" s="1009" t="s">
        <v>191</v>
      </c>
      <c r="AO7" s="1009"/>
      <c r="AP7" s="1009" t="s">
        <v>192</v>
      </c>
      <c r="AQ7" s="1009"/>
      <c r="AR7" s="1009" t="s">
        <v>193</v>
      </c>
      <c r="AS7" s="1009"/>
      <c r="AT7" s="1009" t="s">
        <v>194</v>
      </c>
      <c r="AU7" s="1009"/>
      <c r="AV7" s="1009" t="s">
        <v>195</v>
      </c>
      <c r="AW7" s="1009"/>
      <c r="AX7" s="1009" t="s">
        <v>196</v>
      </c>
      <c r="AY7" s="1009"/>
      <c r="AZ7" s="1009" t="s">
        <v>197</v>
      </c>
      <c r="BA7" s="1009"/>
      <c r="BB7" s="1009" t="s">
        <v>198</v>
      </c>
      <c r="BC7" s="1009"/>
      <c r="BD7" s="1009" t="s">
        <v>199</v>
      </c>
      <c r="BE7" s="1009"/>
      <c r="BF7" s="1009" t="s">
        <v>200</v>
      </c>
      <c r="BG7" s="1009"/>
      <c r="BH7" s="1009" t="s">
        <v>201</v>
      </c>
      <c r="BI7" s="1009"/>
      <c r="BJ7" s="1009" t="s">
        <v>17</v>
      </c>
      <c r="BK7" s="1011"/>
      <c r="BL7" s="886" t="s">
        <v>236</v>
      </c>
    </row>
    <row r="8" spans="1:74">
      <c r="A8" s="224" t="s">
        <v>13</v>
      </c>
      <c r="B8" s="224" t="s">
        <v>1</v>
      </c>
      <c r="C8" s="906" t="s">
        <v>12</v>
      </c>
      <c r="D8" s="224" t="s">
        <v>14</v>
      </c>
      <c r="E8" s="914" t="s">
        <v>22</v>
      </c>
      <c r="F8" s="914" t="s">
        <v>141</v>
      </c>
      <c r="G8" s="1012" t="s">
        <v>27</v>
      </c>
      <c r="H8" s="155" t="s">
        <v>204</v>
      </c>
      <c r="I8" s="155" t="s">
        <v>205</v>
      </c>
      <c r="J8" s="155" t="s">
        <v>206</v>
      </c>
      <c r="K8" s="155" t="s">
        <v>207</v>
      </c>
      <c r="L8" s="155" t="s">
        <v>208</v>
      </c>
      <c r="M8" s="155" t="s">
        <v>209</v>
      </c>
      <c r="N8" s="155" t="s">
        <v>210</v>
      </c>
      <c r="O8" s="155" t="s">
        <v>211</v>
      </c>
      <c r="P8" s="155" t="s">
        <v>212</v>
      </c>
      <c r="Q8" s="155" t="s">
        <v>213</v>
      </c>
      <c r="R8" s="1006"/>
      <c r="S8" s="1007"/>
      <c r="T8" s="1007"/>
      <c r="U8" s="1008"/>
      <c r="V8" s="1000"/>
      <c r="W8" s="1001"/>
      <c r="X8" s="1001"/>
      <c r="Y8" s="1002"/>
      <c r="Z8" s="1009"/>
      <c r="AA8" s="1009"/>
      <c r="AB8" s="1009" t="s">
        <v>43</v>
      </c>
      <c r="AC8" s="1009"/>
      <c r="AD8" s="1009" t="s">
        <v>44</v>
      </c>
      <c r="AE8" s="1009"/>
      <c r="AF8" s="1009" t="s">
        <v>45</v>
      </c>
      <c r="AG8" s="1009"/>
      <c r="AH8" s="1009" t="s">
        <v>46</v>
      </c>
      <c r="AI8" s="1009"/>
      <c r="AJ8" s="1009" t="s">
        <v>47</v>
      </c>
      <c r="AK8" s="1009"/>
      <c r="AL8" s="1009" t="s">
        <v>48</v>
      </c>
      <c r="AM8" s="1009"/>
      <c r="AN8" s="1009" t="s">
        <v>49</v>
      </c>
      <c r="AO8" s="1009"/>
      <c r="AP8" s="1009" t="s">
        <v>50</v>
      </c>
      <c r="AQ8" s="1009"/>
      <c r="AR8" s="1009" t="s">
        <v>51</v>
      </c>
      <c r="AS8" s="1009"/>
      <c r="AT8" s="1009" t="s">
        <v>52</v>
      </c>
      <c r="AU8" s="1009"/>
      <c r="AV8" s="1009" t="s">
        <v>53</v>
      </c>
      <c r="AW8" s="1009"/>
      <c r="AX8" s="1009" t="s">
        <v>54</v>
      </c>
      <c r="AY8" s="1009"/>
      <c r="AZ8" s="1009" t="s">
        <v>55</v>
      </c>
      <c r="BA8" s="1009"/>
      <c r="BB8" s="1009" t="s">
        <v>40</v>
      </c>
      <c r="BC8" s="1009"/>
      <c r="BD8" s="1009" t="s">
        <v>37</v>
      </c>
      <c r="BE8" s="1009"/>
      <c r="BF8" s="1009"/>
      <c r="BG8" s="1009"/>
      <c r="BH8" s="1009"/>
      <c r="BI8" s="1009"/>
      <c r="BJ8" s="1009"/>
      <c r="BK8" s="1011"/>
      <c r="BL8" s="886"/>
      <c r="BN8" s="892" t="s">
        <v>234</v>
      </c>
      <c r="BO8" s="892"/>
      <c r="BP8" s="892"/>
      <c r="BQ8" s="892"/>
      <c r="BR8" s="892"/>
      <c r="BS8" s="892" t="s">
        <v>235</v>
      </c>
      <c r="BT8" s="892"/>
      <c r="BU8" s="879"/>
      <c r="BV8" s="886" t="s">
        <v>17</v>
      </c>
    </row>
    <row r="9" spans="1:74" ht="27" customHeight="1">
      <c r="A9" s="224"/>
      <c r="B9" s="224" t="s">
        <v>2</v>
      </c>
      <c r="C9" s="906"/>
      <c r="D9" s="224"/>
      <c r="E9" s="914"/>
      <c r="F9" s="914"/>
      <c r="G9" s="1013"/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224" t="s">
        <v>7</v>
      </c>
      <c r="S9" s="224" t="s">
        <v>8</v>
      </c>
      <c r="T9" s="224" t="s">
        <v>9</v>
      </c>
      <c r="U9" s="224" t="s">
        <v>10</v>
      </c>
      <c r="V9" s="224" t="s">
        <v>7</v>
      </c>
      <c r="W9" s="224" t="s">
        <v>8</v>
      </c>
      <c r="X9" s="224" t="s">
        <v>9</v>
      </c>
      <c r="Y9" s="224" t="s">
        <v>10</v>
      </c>
      <c r="Z9" s="331" t="s">
        <v>14</v>
      </c>
      <c r="AA9" s="363" t="s">
        <v>15</v>
      </c>
      <c r="AB9" s="332" t="s">
        <v>14</v>
      </c>
      <c r="AC9" s="332" t="s">
        <v>15</v>
      </c>
      <c r="AD9" s="332" t="s">
        <v>14</v>
      </c>
      <c r="AE9" s="332" t="s">
        <v>15</v>
      </c>
      <c r="AF9" s="332" t="s">
        <v>14</v>
      </c>
      <c r="AG9" s="332" t="s">
        <v>15</v>
      </c>
      <c r="AH9" s="332" t="s">
        <v>14</v>
      </c>
      <c r="AI9" s="332" t="s">
        <v>15</v>
      </c>
      <c r="AJ9" s="332" t="s">
        <v>14</v>
      </c>
      <c r="AK9" s="332" t="s">
        <v>15</v>
      </c>
      <c r="AL9" s="332" t="s">
        <v>14</v>
      </c>
      <c r="AM9" s="332" t="s">
        <v>15</v>
      </c>
      <c r="AN9" s="332" t="s">
        <v>14</v>
      </c>
      <c r="AO9" s="332" t="s">
        <v>15</v>
      </c>
      <c r="AP9" s="332" t="s">
        <v>14</v>
      </c>
      <c r="AQ9" s="332" t="s">
        <v>15</v>
      </c>
      <c r="AR9" s="332" t="s">
        <v>14</v>
      </c>
      <c r="AS9" s="332" t="s">
        <v>15</v>
      </c>
      <c r="AT9" s="332" t="s">
        <v>14</v>
      </c>
      <c r="AU9" s="332" t="s">
        <v>15</v>
      </c>
      <c r="AV9" s="332" t="s">
        <v>14</v>
      </c>
      <c r="AW9" s="332" t="s">
        <v>15</v>
      </c>
      <c r="AX9" s="332" t="s">
        <v>14</v>
      </c>
      <c r="AY9" s="332" t="s">
        <v>15</v>
      </c>
      <c r="AZ9" s="332" t="s">
        <v>14</v>
      </c>
      <c r="BA9" s="332" t="s">
        <v>15</v>
      </c>
      <c r="BB9" s="332" t="s">
        <v>14</v>
      </c>
      <c r="BC9" s="332" t="s">
        <v>15</v>
      </c>
      <c r="BD9" s="332" t="s">
        <v>14</v>
      </c>
      <c r="BE9" s="332" t="s">
        <v>15</v>
      </c>
      <c r="BF9" s="332" t="s">
        <v>14</v>
      </c>
      <c r="BG9" s="332" t="s">
        <v>15</v>
      </c>
      <c r="BH9" s="332" t="s">
        <v>14</v>
      </c>
      <c r="BI9" s="332" t="s">
        <v>15</v>
      </c>
      <c r="BJ9" s="332" t="s">
        <v>14</v>
      </c>
      <c r="BK9" s="364" t="s">
        <v>15</v>
      </c>
      <c r="BL9" s="886"/>
      <c r="BN9" s="155" t="s">
        <v>225</v>
      </c>
      <c r="BO9" s="156" t="s">
        <v>226</v>
      </c>
      <c r="BP9" s="156" t="s">
        <v>227</v>
      </c>
      <c r="BQ9" s="157" t="s">
        <v>228</v>
      </c>
      <c r="BR9" s="156" t="s">
        <v>229</v>
      </c>
      <c r="BS9" s="156" t="s">
        <v>230</v>
      </c>
      <c r="BT9" s="156" t="s">
        <v>231</v>
      </c>
      <c r="BU9" s="385" t="s">
        <v>232</v>
      </c>
      <c r="BV9" s="886"/>
    </row>
    <row r="10" spans="1:74">
      <c r="A10" s="1010"/>
      <c r="B10" s="196"/>
      <c r="C10" s="224" t="s">
        <v>274</v>
      </c>
      <c r="D10" s="367"/>
      <c r="E10" s="199"/>
      <c r="F10" s="398"/>
      <c r="G10" s="399"/>
      <c r="H10" s="399"/>
      <c r="I10" s="399"/>
      <c r="J10" s="399"/>
      <c r="K10" s="399"/>
      <c r="L10" s="399"/>
      <c r="M10" s="399"/>
      <c r="N10" s="399"/>
      <c r="O10" s="386"/>
      <c r="P10" s="386"/>
      <c r="Q10" s="386"/>
      <c r="R10" s="387"/>
      <c r="S10" s="351"/>
      <c r="T10" s="387"/>
      <c r="U10" s="387"/>
      <c r="V10" s="387"/>
      <c r="W10" s="145"/>
      <c r="X10" s="224"/>
      <c r="Y10" s="224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378"/>
      <c r="BL10" s="145"/>
      <c r="BN10" s="163"/>
      <c r="BO10" s="163"/>
      <c r="BP10" s="163"/>
      <c r="BQ10" s="163"/>
      <c r="BR10" s="163"/>
      <c r="BS10" s="163"/>
      <c r="BT10" s="163"/>
      <c r="BU10" s="379"/>
      <c r="BV10" s="164">
        <f>BR10+BU10</f>
        <v>0</v>
      </c>
    </row>
    <row r="11" spans="1:74">
      <c r="A11" s="1010"/>
      <c r="B11" s="196"/>
      <c r="C11" s="224" t="s">
        <v>328</v>
      </c>
      <c r="D11" s="367"/>
      <c r="E11" s="199"/>
      <c r="F11" s="398"/>
      <c r="G11" s="399"/>
      <c r="H11" s="399"/>
      <c r="I11" s="399"/>
      <c r="J11" s="399"/>
      <c r="K11" s="399"/>
      <c r="L11" s="399"/>
      <c r="M11" s="399"/>
      <c r="N11" s="399"/>
      <c r="O11" s="386"/>
      <c r="P11" s="386"/>
      <c r="Q11" s="386"/>
      <c r="R11" s="387"/>
      <c r="S11" s="351"/>
      <c r="T11" s="387"/>
      <c r="U11" s="387"/>
      <c r="V11" s="387"/>
      <c r="W11" s="145"/>
      <c r="X11" s="224"/>
      <c r="Y11" s="22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378"/>
      <c r="BL11" s="145"/>
      <c r="BN11" s="163"/>
      <c r="BO11" s="163"/>
      <c r="BP11" s="163"/>
      <c r="BQ11" s="163"/>
      <c r="BR11" s="163"/>
      <c r="BS11" s="163"/>
      <c r="BT11" s="163"/>
      <c r="BU11" s="379"/>
      <c r="BV11" s="164"/>
    </row>
    <row r="12" spans="1:74">
      <c r="A12" s="1010"/>
      <c r="B12" s="196"/>
      <c r="C12" s="166" t="s">
        <v>138</v>
      </c>
      <c r="D12" s="136" t="s">
        <v>104</v>
      </c>
      <c r="E12" s="135" t="s">
        <v>348</v>
      </c>
      <c r="F12" s="400">
        <f>BJ12</f>
        <v>2</v>
      </c>
      <c r="G12" s="161">
        <f>BK12</f>
        <v>1210837</v>
      </c>
      <c r="H12" s="401">
        <f>G12*0.2</f>
        <v>242167.40000000002</v>
      </c>
      <c r="I12" s="401">
        <f>G12*0.8</f>
        <v>968669.60000000009</v>
      </c>
      <c r="J12" s="161"/>
      <c r="K12" s="161"/>
      <c r="L12" s="161"/>
      <c r="M12" s="161"/>
      <c r="N12" s="161"/>
      <c r="O12" s="145"/>
      <c r="P12" s="145"/>
      <c r="Q12" s="145"/>
      <c r="R12" s="145">
        <v>0</v>
      </c>
      <c r="S12" s="145"/>
      <c r="T12" s="145"/>
      <c r="U12" s="145">
        <v>1</v>
      </c>
      <c r="V12" s="402">
        <f>R12*E12</f>
        <v>0</v>
      </c>
      <c r="W12" s="402">
        <f>S12*E12</f>
        <v>0</v>
      </c>
      <c r="X12" s="402">
        <f>T12*E12</f>
        <v>0</v>
      </c>
      <c r="Y12" s="402">
        <f>G12</f>
        <v>1210837</v>
      </c>
      <c r="Z12" s="544">
        <v>1</v>
      </c>
      <c r="AA12" s="544">
        <v>955000</v>
      </c>
      <c r="AB12" s="145">
        <v>0</v>
      </c>
      <c r="AC12" s="145">
        <f>AB12*E12</f>
        <v>0</v>
      </c>
      <c r="AD12" s="145"/>
      <c r="AE12" s="145">
        <f>AD12*E12</f>
        <v>0</v>
      </c>
      <c r="AF12" s="145">
        <v>0</v>
      </c>
      <c r="AG12" s="145">
        <f>AF12*E12</f>
        <v>0</v>
      </c>
      <c r="AH12" s="145"/>
      <c r="AI12" s="145">
        <f>AH12*E12</f>
        <v>0</v>
      </c>
      <c r="AJ12" s="145">
        <v>0</v>
      </c>
      <c r="AK12" s="145"/>
      <c r="AL12" s="145">
        <v>0</v>
      </c>
      <c r="AM12" s="145">
        <f>AL12*E12</f>
        <v>0</v>
      </c>
      <c r="AN12" s="145"/>
      <c r="AO12" s="145"/>
      <c r="AP12" s="145"/>
      <c r="AQ12" s="145">
        <f>AP12*E12</f>
        <v>0</v>
      </c>
      <c r="AR12" s="145"/>
      <c r="AS12" s="145">
        <f>AR12*E12</f>
        <v>0</v>
      </c>
      <c r="AT12" s="145"/>
      <c r="AU12" s="145"/>
      <c r="AV12" s="544">
        <v>1</v>
      </c>
      <c r="AW12" s="544">
        <v>255837</v>
      </c>
      <c r="AX12" s="145"/>
      <c r="AY12" s="145"/>
      <c r="AZ12" s="145"/>
      <c r="BA12" s="145">
        <f>AZ12*E12</f>
        <v>0</v>
      </c>
      <c r="BB12" s="145"/>
      <c r="BC12" s="145">
        <f>BB12*E12</f>
        <v>0</v>
      </c>
      <c r="BD12" s="145"/>
      <c r="BE12" s="145">
        <f>BD12*E12</f>
        <v>0</v>
      </c>
      <c r="BF12" s="145"/>
      <c r="BG12" s="145">
        <f>BF12*E12</f>
        <v>0</v>
      </c>
      <c r="BH12" s="145"/>
      <c r="BI12" s="145">
        <f>BH12*E12</f>
        <v>0</v>
      </c>
      <c r="BJ12" s="145">
        <f t="shared" ref="BJ12:BK14" si="0">BH12+BF12+BD12+BB12+AZ12+AX12+AV12+AT12+AR12+AP12+AN12+AL12+AJ12+AH12+AF12+AD12+AB12+Z12</f>
        <v>2</v>
      </c>
      <c r="BK12" s="145">
        <f t="shared" si="0"/>
        <v>1210837</v>
      </c>
      <c r="BL12" s="403" t="s">
        <v>216</v>
      </c>
      <c r="BN12" s="163">
        <f>G12</f>
        <v>1210837</v>
      </c>
      <c r="BO12" s="163"/>
      <c r="BP12" s="163"/>
      <c r="BQ12" s="163"/>
      <c r="BR12" s="163">
        <f t="shared" ref="BR12:BR29" si="1">BN12+BO12+BP12+BQ12</f>
        <v>1210837</v>
      </c>
      <c r="BS12" s="163"/>
      <c r="BT12" s="163"/>
      <c r="BU12" s="379"/>
      <c r="BV12" s="164">
        <f t="shared" ref="BV12:BV54" si="2">BR12+BU12</f>
        <v>1210837</v>
      </c>
    </row>
    <row r="13" spans="1:74" s="222" customFormat="1">
      <c r="A13" s="1010"/>
      <c r="B13" s="342"/>
      <c r="C13" s="166" t="s">
        <v>139</v>
      </c>
      <c r="D13" s="136" t="s">
        <v>104</v>
      </c>
      <c r="E13" s="135" t="s">
        <v>349</v>
      </c>
      <c r="F13" s="400">
        <f>BJ13</f>
        <v>1</v>
      </c>
      <c r="G13" s="626">
        <f>BK13</f>
        <v>763124</v>
      </c>
      <c r="H13" s="401">
        <f>G13*0.2</f>
        <v>152624.80000000002</v>
      </c>
      <c r="I13" s="401">
        <f>G13*0.8</f>
        <v>610499.20000000007</v>
      </c>
      <c r="J13" s="401"/>
      <c r="K13" s="401"/>
      <c r="L13" s="401"/>
      <c r="M13" s="401"/>
      <c r="N13" s="401"/>
      <c r="O13" s="401"/>
      <c r="P13" s="401"/>
      <c r="Q13" s="401"/>
      <c r="R13" s="404"/>
      <c r="S13" s="404"/>
      <c r="T13" s="404"/>
      <c r="U13" s="404"/>
      <c r="V13" s="402">
        <f>R13*E13</f>
        <v>0</v>
      </c>
      <c r="W13" s="402">
        <f>S13*E13</f>
        <v>0</v>
      </c>
      <c r="X13" s="402">
        <f>T13*E13</f>
        <v>0</v>
      </c>
      <c r="Y13" s="402">
        <f>U13*E13</f>
        <v>0</v>
      </c>
      <c r="Z13" s="404"/>
      <c r="AA13" s="145">
        <f t="shared" ref="AA13:AA29" si="3">Z13*E13</f>
        <v>0</v>
      </c>
      <c r="AB13" s="404"/>
      <c r="AC13" s="145">
        <f>AB13*E13</f>
        <v>0</v>
      </c>
      <c r="AD13" s="404"/>
      <c r="AE13" s="145">
        <f>AD13*E13</f>
        <v>0</v>
      </c>
      <c r="AF13" s="404"/>
      <c r="AG13" s="145">
        <f>AF13*E13</f>
        <v>0</v>
      </c>
      <c r="AH13" s="404"/>
      <c r="AI13" s="145">
        <f>AH13*E13</f>
        <v>0</v>
      </c>
      <c r="AJ13" s="404">
        <v>0</v>
      </c>
      <c r="AK13" s="405"/>
      <c r="AL13" s="404"/>
      <c r="AM13" s="145">
        <f>AL13*E13</f>
        <v>0</v>
      </c>
      <c r="AN13" s="404"/>
      <c r="AO13" s="405"/>
      <c r="AP13" s="404"/>
      <c r="AQ13" s="145">
        <f>AP13*E13</f>
        <v>0</v>
      </c>
      <c r="AR13" s="404"/>
      <c r="AS13" s="145">
        <f>AR13*E13</f>
        <v>0</v>
      </c>
      <c r="AT13" s="628">
        <v>1</v>
      </c>
      <c r="AU13" s="629">
        <v>763124</v>
      </c>
      <c r="AV13" s="404"/>
      <c r="AW13" s="405"/>
      <c r="AX13" s="404"/>
      <c r="AY13" s="405"/>
      <c r="AZ13" s="404"/>
      <c r="BA13" s="145">
        <f>AZ13*E13</f>
        <v>0</v>
      </c>
      <c r="BB13" s="404"/>
      <c r="BC13" s="145">
        <f>BB13*E13</f>
        <v>0</v>
      </c>
      <c r="BD13" s="404"/>
      <c r="BE13" s="145">
        <f>BD13*E13</f>
        <v>0</v>
      </c>
      <c r="BF13" s="404"/>
      <c r="BG13" s="145">
        <f>BF13*E13</f>
        <v>0</v>
      </c>
      <c r="BH13" s="404"/>
      <c r="BI13" s="145">
        <f>BH13*E13</f>
        <v>0</v>
      </c>
      <c r="BJ13" s="145">
        <f t="shared" si="0"/>
        <v>1</v>
      </c>
      <c r="BK13" s="145">
        <f t="shared" si="0"/>
        <v>763124</v>
      </c>
      <c r="BL13" s="403" t="s">
        <v>216</v>
      </c>
      <c r="BN13" s="163">
        <f>G13</f>
        <v>763124</v>
      </c>
      <c r="BO13" s="220"/>
      <c r="BP13" s="220"/>
      <c r="BQ13" s="220"/>
      <c r="BR13" s="163">
        <f t="shared" si="1"/>
        <v>763124</v>
      </c>
      <c r="BS13" s="220"/>
      <c r="BT13" s="220">
        <f t="shared" ref="BT13:BT19" si="4">G13</f>
        <v>763124</v>
      </c>
      <c r="BU13" s="406">
        <f t="shared" ref="BU13:BU29" si="5">BS13+BT13</f>
        <v>763124</v>
      </c>
      <c r="BV13" s="405">
        <f t="shared" si="2"/>
        <v>1526248</v>
      </c>
    </row>
    <row r="14" spans="1:74">
      <c r="A14" s="1010"/>
      <c r="B14" s="196"/>
      <c r="C14" s="166" t="s">
        <v>140</v>
      </c>
      <c r="D14" s="136" t="s">
        <v>104</v>
      </c>
      <c r="E14" s="135" t="s">
        <v>350</v>
      </c>
      <c r="F14" s="400">
        <f>BJ14</f>
        <v>0</v>
      </c>
      <c r="G14" s="161">
        <f>F14*E14</f>
        <v>0</v>
      </c>
      <c r="H14" s="401">
        <f>G14*0.2</f>
        <v>0</v>
      </c>
      <c r="I14" s="401">
        <f>G14*0.8</f>
        <v>0</v>
      </c>
      <c r="J14" s="161"/>
      <c r="K14" s="161"/>
      <c r="L14" s="161"/>
      <c r="M14" s="161"/>
      <c r="N14" s="161"/>
      <c r="O14" s="161"/>
      <c r="P14" s="161"/>
      <c r="Q14" s="161"/>
      <c r="R14" s="145">
        <f>F14*0.25</f>
        <v>0</v>
      </c>
      <c r="S14" s="145">
        <f>F14*0.25</f>
        <v>0</v>
      </c>
      <c r="T14" s="145">
        <f>F14*0.25</f>
        <v>0</v>
      </c>
      <c r="U14" s="145">
        <f>F14*0.25</f>
        <v>0</v>
      </c>
      <c r="V14" s="388">
        <f>R14*E14</f>
        <v>0</v>
      </c>
      <c r="W14" s="388">
        <f>S14*E14</f>
        <v>0</v>
      </c>
      <c r="X14" s="388">
        <f>T14*E14</f>
        <v>0</v>
      </c>
      <c r="Y14" s="388">
        <f>U14*E14</f>
        <v>0</v>
      </c>
      <c r="Z14" s="145">
        <v>0</v>
      </c>
      <c r="AA14" s="145">
        <f t="shared" si="3"/>
        <v>0</v>
      </c>
      <c r="AB14" s="145"/>
      <c r="AC14" s="145">
        <f>AB14*E14</f>
        <v>0</v>
      </c>
      <c r="AD14" s="145">
        <v>0</v>
      </c>
      <c r="AE14" s="145">
        <f>AD14*E14</f>
        <v>0</v>
      </c>
      <c r="AF14" s="145"/>
      <c r="AG14" s="145">
        <f>AF14*E14</f>
        <v>0</v>
      </c>
      <c r="AH14" s="145">
        <v>0</v>
      </c>
      <c r="AI14" s="145">
        <f>AH14*E14</f>
        <v>0</v>
      </c>
      <c r="AJ14" s="145">
        <v>0</v>
      </c>
      <c r="AK14" s="164">
        <f>AJ14*E14</f>
        <v>0</v>
      </c>
      <c r="AL14" s="145">
        <v>0</v>
      </c>
      <c r="AM14" s="145">
        <f>AL14*E14</f>
        <v>0</v>
      </c>
      <c r="AN14" s="145"/>
      <c r="AO14" s="164"/>
      <c r="AP14" s="145">
        <v>0</v>
      </c>
      <c r="AQ14" s="145">
        <f>AP14*E14</f>
        <v>0</v>
      </c>
      <c r="AR14" s="145">
        <v>0</v>
      </c>
      <c r="AS14" s="145">
        <f>AR14*E14</f>
        <v>0</v>
      </c>
      <c r="AT14" s="145"/>
      <c r="AU14" s="164"/>
      <c r="AV14" s="145"/>
      <c r="AW14" s="164"/>
      <c r="AX14" s="145"/>
      <c r="AY14" s="164"/>
      <c r="AZ14" s="145">
        <v>0</v>
      </c>
      <c r="BA14" s="145">
        <f>AZ14*E14</f>
        <v>0</v>
      </c>
      <c r="BB14" s="145"/>
      <c r="BC14" s="145">
        <f>BB14*E14</f>
        <v>0</v>
      </c>
      <c r="BD14" s="145"/>
      <c r="BE14" s="145">
        <f>BD14*E14</f>
        <v>0</v>
      </c>
      <c r="BF14" s="145"/>
      <c r="BG14" s="145">
        <f>BF14*E14</f>
        <v>0</v>
      </c>
      <c r="BH14" s="145"/>
      <c r="BI14" s="145">
        <f>BH14*E14</f>
        <v>0</v>
      </c>
      <c r="BJ14" s="145">
        <f t="shared" si="0"/>
        <v>0</v>
      </c>
      <c r="BK14" s="145">
        <f t="shared" si="0"/>
        <v>0</v>
      </c>
      <c r="BL14" s="403" t="s">
        <v>216</v>
      </c>
      <c r="BN14" s="163">
        <f>G14</f>
        <v>0</v>
      </c>
      <c r="BO14" s="163"/>
      <c r="BP14" s="163"/>
      <c r="BQ14" s="163"/>
      <c r="BR14" s="163">
        <f t="shared" si="1"/>
        <v>0</v>
      </c>
      <c r="BS14" s="163"/>
      <c r="BT14" s="163">
        <f t="shared" si="4"/>
        <v>0</v>
      </c>
      <c r="BU14" s="379">
        <f t="shared" si="5"/>
        <v>0</v>
      </c>
      <c r="BV14" s="405">
        <f t="shared" si="2"/>
        <v>0</v>
      </c>
    </row>
    <row r="15" spans="1:74" ht="31.5">
      <c r="A15" s="1010"/>
      <c r="B15" s="196"/>
      <c r="C15" s="134" t="s">
        <v>1023</v>
      </c>
      <c r="D15" s="136" t="s">
        <v>998</v>
      </c>
      <c r="E15" s="135" t="s">
        <v>16</v>
      </c>
      <c r="F15" s="400">
        <v>1</v>
      </c>
      <c r="G15" s="729">
        <f>BK15</f>
        <v>939000</v>
      </c>
      <c r="H15" s="730"/>
      <c r="I15" s="730"/>
      <c r="J15" s="729"/>
      <c r="K15" s="729"/>
      <c r="L15" s="729">
        <f>G15*1</f>
        <v>939000</v>
      </c>
      <c r="M15" s="729"/>
      <c r="N15" s="729"/>
      <c r="O15" s="729"/>
      <c r="P15" s="729"/>
      <c r="Q15" s="729"/>
      <c r="R15" s="410"/>
      <c r="S15" s="410"/>
      <c r="T15" s="410"/>
      <c r="U15" s="410"/>
      <c r="V15" s="731"/>
      <c r="W15" s="731"/>
      <c r="X15" s="731"/>
      <c r="Y15" s="731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732"/>
      <c r="AL15" s="410">
        <v>1</v>
      </c>
      <c r="AM15" s="410">
        <f>660000+260000+19000</f>
        <v>939000</v>
      </c>
      <c r="AN15" s="410"/>
      <c r="AO15" s="732"/>
      <c r="AP15" s="410"/>
      <c r="AQ15" s="410"/>
      <c r="AR15" s="410"/>
      <c r="AS15" s="410"/>
      <c r="AT15" s="410"/>
      <c r="AU15" s="732"/>
      <c r="AV15" s="410"/>
      <c r="AW15" s="732"/>
      <c r="AX15" s="410"/>
      <c r="AY15" s="732"/>
      <c r="AZ15" s="410"/>
      <c r="BA15" s="410"/>
      <c r="BB15" s="410"/>
      <c r="BC15" s="410"/>
      <c r="BD15" s="410"/>
      <c r="BE15" s="410"/>
      <c r="BF15" s="410"/>
      <c r="BG15" s="410"/>
      <c r="BH15" s="410"/>
      <c r="BI15" s="410"/>
      <c r="BJ15" s="145">
        <f t="shared" ref="BJ15" si="6">BH15+BF15+BD15+BB15+AZ15+AX15+AV15+AT15+AR15+AP15+AN15+AL15+AJ15+AH15+AF15+AD15+AB15+Z15</f>
        <v>1</v>
      </c>
      <c r="BK15" s="145">
        <f t="shared" ref="BK15" si="7">BI15+BG15+BE15+BC15+BA15+AY15+AW15+AU15+AS15+AQ15+AO15+AM15+AK15+AI15+AG15+AE15+AC15+AA15</f>
        <v>939000</v>
      </c>
      <c r="BL15" s="733" t="s">
        <v>999</v>
      </c>
      <c r="BN15" s="163">
        <f>G15</f>
        <v>939000</v>
      </c>
      <c r="BO15" s="734"/>
      <c r="BP15" s="734"/>
      <c r="BQ15" s="734"/>
      <c r="BR15" s="163">
        <f t="shared" si="1"/>
        <v>939000</v>
      </c>
      <c r="BS15" s="734"/>
      <c r="BT15" s="734"/>
      <c r="BU15" s="735"/>
      <c r="BV15" s="405">
        <f t="shared" si="2"/>
        <v>939000</v>
      </c>
    </row>
    <row r="16" spans="1:74" s="23" customFormat="1">
      <c r="A16" s="1010"/>
      <c r="B16" s="228"/>
      <c r="C16" s="158" t="s">
        <v>329</v>
      </c>
      <c r="D16" s="176" t="s">
        <v>104</v>
      </c>
      <c r="E16" s="407"/>
      <c r="F16" s="408">
        <f>SUM(F12:F14)</f>
        <v>3</v>
      </c>
      <c r="G16" s="737">
        <f>SUM(G12:G15)</f>
        <v>2912961</v>
      </c>
      <c r="H16" s="737">
        <f t="shared" ref="H16:BI16" si="8">SUM(H12:H15)</f>
        <v>394792.20000000007</v>
      </c>
      <c r="I16" s="737">
        <f t="shared" si="8"/>
        <v>1579168.8000000003</v>
      </c>
      <c r="J16" s="737">
        <f t="shared" si="8"/>
        <v>0</v>
      </c>
      <c r="K16" s="737">
        <f t="shared" si="8"/>
        <v>0</v>
      </c>
      <c r="L16" s="737">
        <f t="shared" si="8"/>
        <v>939000</v>
      </c>
      <c r="M16" s="737">
        <f t="shared" si="8"/>
        <v>0</v>
      </c>
      <c r="N16" s="737">
        <f t="shared" si="8"/>
        <v>0</v>
      </c>
      <c r="O16" s="737">
        <f t="shared" si="8"/>
        <v>0</v>
      </c>
      <c r="P16" s="737">
        <f t="shared" si="8"/>
        <v>0</v>
      </c>
      <c r="Q16" s="737">
        <f t="shared" si="8"/>
        <v>0</v>
      </c>
      <c r="R16" s="737">
        <f t="shared" si="8"/>
        <v>0</v>
      </c>
      <c r="S16" s="737">
        <f t="shared" si="8"/>
        <v>0</v>
      </c>
      <c r="T16" s="737">
        <f t="shared" si="8"/>
        <v>0</v>
      </c>
      <c r="U16" s="737">
        <f t="shared" si="8"/>
        <v>1</v>
      </c>
      <c r="V16" s="737">
        <f t="shared" si="8"/>
        <v>0</v>
      </c>
      <c r="W16" s="737">
        <f t="shared" si="8"/>
        <v>0</v>
      </c>
      <c r="X16" s="737">
        <f t="shared" si="8"/>
        <v>0</v>
      </c>
      <c r="Y16" s="737">
        <f t="shared" si="8"/>
        <v>1210837</v>
      </c>
      <c r="Z16" s="737">
        <f t="shared" si="8"/>
        <v>1</v>
      </c>
      <c r="AA16" s="737">
        <f t="shared" si="8"/>
        <v>955000</v>
      </c>
      <c r="AB16" s="737">
        <f t="shared" si="8"/>
        <v>0</v>
      </c>
      <c r="AC16" s="737">
        <f t="shared" si="8"/>
        <v>0</v>
      </c>
      <c r="AD16" s="737">
        <f t="shared" si="8"/>
        <v>0</v>
      </c>
      <c r="AE16" s="737">
        <f t="shared" si="8"/>
        <v>0</v>
      </c>
      <c r="AF16" s="737">
        <f t="shared" si="8"/>
        <v>0</v>
      </c>
      <c r="AG16" s="737">
        <f t="shared" si="8"/>
        <v>0</v>
      </c>
      <c r="AH16" s="737">
        <f t="shared" si="8"/>
        <v>0</v>
      </c>
      <c r="AI16" s="737">
        <f t="shared" si="8"/>
        <v>0</v>
      </c>
      <c r="AJ16" s="737">
        <f t="shared" si="8"/>
        <v>0</v>
      </c>
      <c r="AK16" s="737">
        <f t="shared" si="8"/>
        <v>0</v>
      </c>
      <c r="AL16" s="737">
        <f t="shared" si="8"/>
        <v>1</v>
      </c>
      <c r="AM16" s="737">
        <f t="shared" si="8"/>
        <v>939000</v>
      </c>
      <c r="AN16" s="737">
        <f t="shared" si="8"/>
        <v>0</v>
      </c>
      <c r="AO16" s="737">
        <f t="shared" si="8"/>
        <v>0</v>
      </c>
      <c r="AP16" s="737">
        <f t="shared" si="8"/>
        <v>0</v>
      </c>
      <c r="AQ16" s="737">
        <f t="shared" si="8"/>
        <v>0</v>
      </c>
      <c r="AR16" s="737">
        <f t="shared" si="8"/>
        <v>0</v>
      </c>
      <c r="AS16" s="737">
        <f t="shared" si="8"/>
        <v>0</v>
      </c>
      <c r="AT16" s="737">
        <f t="shared" si="8"/>
        <v>1</v>
      </c>
      <c r="AU16" s="737">
        <f t="shared" si="8"/>
        <v>763124</v>
      </c>
      <c r="AV16" s="737">
        <f t="shared" si="8"/>
        <v>1</v>
      </c>
      <c r="AW16" s="737">
        <f t="shared" si="8"/>
        <v>255837</v>
      </c>
      <c r="AX16" s="737">
        <f t="shared" si="8"/>
        <v>0</v>
      </c>
      <c r="AY16" s="737">
        <f t="shared" si="8"/>
        <v>0</v>
      </c>
      <c r="AZ16" s="737">
        <f t="shared" si="8"/>
        <v>0</v>
      </c>
      <c r="BA16" s="737">
        <f t="shared" si="8"/>
        <v>0</v>
      </c>
      <c r="BB16" s="737">
        <f t="shared" si="8"/>
        <v>0</v>
      </c>
      <c r="BC16" s="737">
        <f t="shared" si="8"/>
        <v>0</v>
      </c>
      <c r="BD16" s="737">
        <f t="shared" si="8"/>
        <v>0</v>
      </c>
      <c r="BE16" s="737">
        <f t="shared" si="8"/>
        <v>0</v>
      </c>
      <c r="BF16" s="737">
        <f t="shared" si="8"/>
        <v>0</v>
      </c>
      <c r="BG16" s="737">
        <f t="shared" si="8"/>
        <v>0</v>
      </c>
      <c r="BH16" s="737">
        <f t="shared" si="8"/>
        <v>0</v>
      </c>
      <c r="BI16" s="737">
        <f t="shared" si="8"/>
        <v>0</v>
      </c>
      <c r="BJ16" s="408">
        <f>SUM(BJ12:BJ15)</f>
        <v>4</v>
      </c>
      <c r="BK16" s="408">
        <f>SUM(BK12:BK15)</f>
        <v>2912961</v>
      </c>
      <c r="BL16" s="408">
        <f>SUM(BL12:BL15)</f>
        <v>0</v>
      </c>
      <c r="BM16" s="408">
        <f t="shared" ref="BM16" si="9">SUM(BM12:BM14)</f>
        <v>0</v>
      </c>
      <c r="BN16" s="736">
        <f>SUM(BN12:BN15)</f>
        <v>2912961</v>
      </c>
      <c r="BO16" s="736">
        <f t="shared" ref="BO16:BV16" si="10">SUM(BO12:BO15)</f>
        <v>0</v>
      </c>
      <c r="BP16" s="736">
        <f t="shared" si="10"/>
        <v>0</v>
      </c>
      <c r="BQ16" s="736">
        <f t="shared" si="10"/>
        <v>0</v>
      </c>
      <c r="BR16" s="736">
        <f t="shared" si="10"/>
        <v>2912961</v>
      </c>
      <c r="BS16" s="736">
        <f t="shared" si="10"/>
        <v>0</v>
      </c>
      <c r="BT16" s="736">
        <f t="shared" si="10"/>
        <v>763124</v>
      </c>
      <c r="BU16" s="736">
        <f t="shared" si="10"/>
        <v>763124</v>
      </c>
      <c r="BV16" s="736">
        <f t="shared" si="10"/>
        <v>3676085</v>
      </c>
    </row>
    <row r="17" spans="1:74">
      <c r="A17" s="1010"/>
      <c r="B17" s="196"/>
      <c r="C17" s="158" t="s">
        <v>345</v>
      </c>
      <c r="D17" s="136" t="s">
        <v>104</v>
      </c>
      <c r="E17" s="312"/>
      <c r="F17" s="400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45">
        <f>F17*0.25</f>
        <v>0</v>
      </c>
      <c r="S17" s="145">
        <f>F17*0.25</f>
        <v>0</v>
      </c>
      <c r="T17" s="145">
        <f>F17*0.25</f>
        <v>0</v>
      </c>
      <c r="U17" s="145">
        <f>F17*0.25</f>
        <v>0</v>
      </c>
      <c r="V17" s="388">
        <f>R17*E17</f>
        <v>0</v>
      </c>
      <c r="W17" s="388">
        <f>S17*E17</f>
        <v>0</v>
      </c>
      <c r="X17" s="388">
        <f t="shared" ref="X17:X23" si="11">T17*E17</f>
        <v>0</v>
      </c>
      <c r="Y17" s="388">
        <f t="shared" ref="Y17:Y23" si="12">U17*E17</f>
        <v>0</v>
      </c>
      <c r="Z17" s="145"/>
      <c r="AA17" s="145">
        <f t="shared" si="3"/>
        <v>0</v>
      </c>
      <c r="AB17" s="145"/>
      <c r="AC17" s="164">
        <f>AB17*E17</f>
        <v>0</v>
      </c>
      <c r="AD17" s="145"/>
      <c r="AE17" s="164">
        <f>AD17*E17</f>
        <v>0</v>
      </c>
      <c r="AF17" s="145"/>
      <c r="AG17" s="164">
        <f>AF17*E17</f>
        <v>0</v>
      </c>
      <c r="AH17" s="145"/>
      <c r="AI17" s="164">
        <f>AH17*E17</f>
        <v>0</v>
      </c>
      <c r="AJ17" s="145"/>
      <c r="AK17" s="164"/>
      <c r="AL17" s="145"/>
      <c r="AM17" s="164">
        <f>AL17*E17</f>
        <v>0</v>
      </c>
      <c r="AN17" s="145"/>
      <c r="AO17" s="164"/>
      <c r="AP17" s="145"/>
      <c r="AQ17" s="164">
        <f>AP17*E17</f>
        <v>0</v>
      </c>
      <c r="AR17" s="145"/>
      <c r="AS17" s="164">
        <f>AR17*E17</f>
        <v>0</v>
      </c>
      <c r="AT17" s="145"/>
      <c r="AU17" s="164"/>
      <c r="AV17" s="145"/>
      <c r="AW17" s="164"/>
      <c r="AX17" s="145"/>
      <c r="AY17" s="164"/>
      <c r="AZ17" s="145"/>
      <c r="BA17" s="164">
        <f>AZ17*E17</f>
        <v>0</v>
      </c>
      <c r="BB17" s="145"/>
      <c r="BC17" s="164">
        <f>BB17*E17</f>
        <v>0</v>
      </c>
      <c r="BD17" s="145"/>
      <c r="BE17" s="164">
        <f>BD17*E17</f>
        <v>0</v>
      </c>
      <c r="BF17" s="145"/>
      <c r="BG17" s="164">
        <f>BF17*E17</f>
        <v>0</v>
      </c>
      <c r="BH17" s="145"/>
      <c r="BI17" s="164">
        <f>BH17*E17</f>
        <v>0</v>
      </c>
      <c r="BJ17" s="145">
        <f>Z17+AB17+AD17+AH17+AL17+AP17+AR17+AZ17+BB17+BD17+BF17+BH17</f>
        <v>0</v>
      </c>
      <c r="BK17" s="378">
        <f>AA17+AC17+AE17+AG17+AI17+AM17+AQ17+AS17+BA17+BC17+BE17+BG17+BI17</f>
        <v>0</v>
      </c>
      <c r="BL17" s="403"/>
      <c r="BN17" s="163"/>
      <c r="BO17" s="163"/>
      <c r="BP17" s="163"/>
      <c r="BQ17" s="163"/>
      <c r="BR17" s="163">
        <f t="shared" si="1"/>
        <v>0</v>
      </c>
      <c r="BS17" s="163"/>
      <c r="BT17" s="163">
        <f t="shared" si="4"/>
        <v>0</v>
      </c>
      <c r="BU17" s="379">
        <f t="shared" si="5"/>
        <v>0</v>
      </c>
      <c r="BV17" s="164">
        <f t="shared" si="2"/>
        <v>0</v>
      </c>
    </row>
    <row r="18" spans="1:74">
      <c r="A18" s="1010"/>
      <c r="B18" s="196"/>
      <c r="C18" s="166" t="s">
        <v>296</v>
      </c>
      <c r="D18" s="136" t="s">
        <v>104</v>
      </c>
      <c r="E18" s="549">
        <v>50000</v>
      </c>
      <c r="F18" s="400">
        <f>BJ18</f>
        <v>204</v>
      </c>
      <c r="G18" s="161">
        <f>BK18</f>
        <v>10000000</v>
      </c>
      <c r="H18" s="401">
        <f>G18*0.5</f>
        <v>5000000</v>
      </c>
      <c r="I18" s="401">
        <f>G18*0.5</f>
        <v>5000000</v>
      </c>
      <c r="J18" s="161"/>
      <c r="K18" s="161"/>
      <c r="L18" s="161"/>
      <c r="M18" s="161"/>
      <c r="N18" s="161"/>
      <c r="O18" s="161"/>
      <c r="P18" s="161"/>
      <c r="Q18" s="161"/>
      <c r="R18" s="145">
        <f>F18*0.25</f>
        <v>51</v>
      </c>
      <c r="S18" s="145">
        <f>F18*0.25</f>
        <v>51</v>
      </c>
      <c r="T18" s="145">
        <f>F18*0.25</f>
        <v>51</v>
      </c>
      <c r="U18" s="145">
        <f>F18*0.25</f>
        <v>51</v>
      </c>
      <c r="V18" s="388">
        <f>R18*E18</f>
        <v>2550000</v>
      </c>
      <c r="W18" s="388">
        <f>S18*E18-200000</f>
        <v>2350000</v>
      </c>
      <c r="X18" s="388">
        <f t="shared" si="11"/>
        <v>2550000</v>
      </c>
      <c r="Y18" s="388">
        <f t="shared" si="12"/>
        <v>2550000</v>
      </c>
      <c r="Z18" s="145">
        <v>12</v>
      </c>
      <c r="AA18" s="145">
        <f t="shared" si="3"/>
        <v>600000</v>
      </c>
      <c r="AB18" s="145">
        <v>12</v>
      </c>
      <c r="AC18" s="164">
        <f t="shared" ref="AC18:AC29" si="13">AB18*E18</f>
        <v>600000</v>
      </c>
      <c r="AD18" s="145">
        <v>12</v>
      </c>
      <c r="AE18" s="164">
        <f t="shared" ref="AE18:AE29" si="14">AD18*E18</f>
        <v>600000</v>
      </c>
      <c r="AF18" s="145">
        <v>12</v>
      </c>
      <c r="AG18" s="164">
        <f t="shared" ref="AG18:AG29" si="15">AF18*E18</f>
        <v>600000</v>
      </c>
      <c r="AH18" s="145">
        <v>12</v>
      </c>
      <c r="AI18" s="164">
        <f t="shared" ref="AI18:AI29" si="16">AH18*E18</f>
        <v>600000</v>
      </c>
      <c r="AJ18" s="145">
        <v>12</v>
      </c>
      <c r="AK18" s="164">
        <f>AJ18*E18</f>
        <v>600000</v>
      </c>
      <c r="AL18" s="145">
        <v>12</v>
      </c>
      <c r="AM18" s="164">
        <f t="shared" ref="AM18:AM29" si="17">AL18*E18</f>
        <v>600000</v>
      </c>
      <c r="AN18" s="145">
        <v>12</v>
      </c>
      <c r="AO18" s="164">
        <f>AN18*E18</f>
        <v>600000</v>
      </c>
      <c r="AP18" s="145">
        <v>12</v>
      </c>
      <c r="AQ18" s="164">
        <f t="shared" ref="AQ18:AQ29" si="18">AP18*E18</f>
        <v>600000</v>
      </c>
      <c r="AR18" s="145">
        <v>12</v>
      </c>
      <c r="AS18" s="164">
        <f t="shared" ref="AS18:AS29" si="19">AR18*E18</f>
        <v>600000</v>
      </c>
      <c r="AT18" s="145">
        <v>12</v>
      </c>
      <c r="AU18" s="164">
        <f>AT18*E18</f>
        <v>600000</v>
      </c>
      <c r="AV18" s="145">
        <v>12</v>
      </c>
      <c r="AW18" s="164">
        <f>AV18*E18</f>
        <v>600000</v>
      </c>
      <c r="AX18" s="145">
        <v>12</v>
      </c>
      <c r="AY18" s="164">
        <f>AX18*E18</f>
        <v>600000</v>
      </c>
      <c r="AZ18" s="145">
        <v>12</v>
      </c>
      <c r="BA18" s="164">
        <f>AZ18*E18-200000</f>
        <v>400000</v>
      </c>
      <c r="BB18" s="145">
        <v>12</v>
      </c>
      <c r="BC18" s="164">
        <f t="shared" ref="BC18:BC29" si="20">BB18*E18</f>
        <v>600000</v>
      </c>
      <c r="BD18" s="145">
        <v>12</v>
      </c>
      <c r="BE18" s="164">
        <f t="shared" ref="BE18:BE29" si="21">BD18*E18</f>
        <v>600000</v>
      </c>
      <c r="BF18" s="145">
        <v>12</v>
      </c>
      <c r="BG18" s="164">
        <f t="shared" ref="BG18:BG29" si="22">BF18*E18</f>
        <v>600000</v>
      </c>
      <c r="BH18" s="145">
        <v>0</v>
      </c>
      <c r="BI18" s="164">
        <f t="shared" ref="BI18:BI29" si="23">BH18*E18</f>
        <v>0</v>
      </c>
      <c r="BJ18" s="145">
        <f>BH18+BF18+BD18+BB18+AZ18+AX18+AV18+AT18+AR18+AP18+AN18+AL18+AJ18+AH18+AF18+AD18+AB18+Z18</f>
        <v>204</v>
      </c>
      <c r="BK18" s="145">
        <f>BI18+BG18+BE18+BC18+BA18+AY18+AW18+AU18+AS18+AQ18+AO18+AM18+AK18+AI18+AG18+AE18+AC18+AA18</f>
        <v>10000000</v>
      </c>
      <c r="BL18" s="403" t="s">
        <v>218</v>
      </c>
      <c r="BN18" s="163"/>
      <c r="BO18" s="163"/>
      <c r="BP18" s="163"/>
      <c r="BQ18" s="163"/>
      <c r="BR18" s="163">
        <f t="shared" si="1"/>
        <v>0</v>
      </c>
      <c r="BS18" s="163"/>
      <c r="BT18" s="163">
        <f t="shared" si="4"/>
        <v>10000000</v>
      </c>
      <c r="BU18" s="379">
        <f t="shared" si="5"/>
        <v>10000000</v>
      </c>
      <c r="BV18" s="164">
        <f t="shared" si="2"/>
        <v>10000000</v>
      </c>
    </row>
    <row r="19" spans="1:74" ht="31.5">
      <c r="A19" s="1010"/>
      <c r="B19" s="196"/>
      <c r="C19" s="134" t="s">
        <v>666</v>
      </c>
      <c r="D19" s="136" t="s">
        <v>104</v>
      </c>
      <c r="E19" s="135">
        <f>2500*4</f>
        <v>10000</v>
      </c>
      <c r="F19" s="400">
        <f t="shared" ref="F19:F29" si="24">BJ19</f>
        <v>204</v>
      </c>
      <c r="G19" s="161">
        <f t="shared" ref="G19:G29" si="25">F19*E19</f>
        <v>2040000</v>
      </c>
      <c r="H19" s="401">
        <f>G19*0.5</f>
        <v>1020000</v>
      </c>
      <c r="I19" s="401">
        <f>G19*0.5</f>
        <v>1020000</v>
      </c>
      <c r="J19" s="161"/>
      <c r="K19" s="161"/>
      <c r="L19" s="161"/>
      <c r="M19" s="161"/>
      <c r="N19" s="161"/>
      <c r="O19" s="161"/>
      <c r="P19" s="161"/>
      <c r="Q19" s="161"/>
      <c r="R19" s="145">
        <f>F19*0.25</f>
        <v>51</v>
      </c>
      <c r="S19" s="145">
        <f>F19*0.25</f>
        <v>51</v>
      </c>
      <c r="T19" s="145">
        <f>F19*0.25</f>
        <v>51</v>
      </c>
      <c r="U19" s="145">
        <f>F19*0.25</f>
        <v>51</v>
      </c>
      <c r="V19" s="388">
        <f>R19*E19</f>
        <v>510000</v>
      </c>
      <c r="W19" s="388">
        <f>S19*E19</f>
        <v>510000</v>
      </c>
      <c r="X19" s="388">
        <f t="shared" si="11"/>
        <v>510000</v>
      </c>
      <c r="Y19" s="388">
        <f t="shared" si="12"/>
        <v>510000</v>
      </c>
      <c r="Z19" s="145">
        <v>12</v>
      </c>
      <c r="AA19" s="145">
        <f t="shared" si="3"/>
        <v>120000</v>
      </c>
      <c r="AB19" s="145">
        <v>12</v>
      </c>
      <c r="AC19" s="164">
        <f t="shared" si="13"/>
        <v>120000</v>
      </c>
      <c r="AD19" s="145">
        <v>12</v>
      </c>
      <c r="AE19" s="164">
        <f t="shared" si="14"/>
        <v>120000</v>
      </c>
      <c r="AF19" s="145">
        <v>12</v>
      </c>
      <c r="AG19" s="164">
        <f t="shared" si="15"/>
        <v>120000</v>
      </c>
      <c r="AH19" s="145">
        <v>12</v>
      </c>
      <c r="AI19" s="164">
        <f t="shared" si="16"/>
        <v>120000</v>
      </c>
      <c r="AJ19" s="145">
        <v>12</v>
      </c>
      <c r="AK19" s="164">
        <f t="shared" ref="AK19:AK29" si="26">AJ19*E19</f>
        <v>120000</v>
      </c>
      <c r="AL19" s="145">
        <v>12</v>
      </c>
      <c r="AM19" s="164">
        <f t="shared" si="17"/>
        <v>120000</v>
      </c>
      <c r="AN19" s="145">
        <v>12</v>
      </c>
      <c r="AO19" s="164">
        <f t="shared" ref="AO19:AO29" si="27">AN19*E19</f>
        <v>120000</v>
      </c>
      <c r="AP19" s="145">
        <v>12</v>
      </c>
      <c r="AQ19" s="164">
        <f t="shared" si="18"/>
        <v>120000</v>
      </c>
      <c r="AR19" s="145">
        <v>12</v>
      </c>
      <c r="AS19" s="164">
        <f t="shared" si="19"/>
        <v>120000</v>
      </c>
      <c r="AT19" s="145">
        <v>12</v>
      </c>
      <c r="AU19" s="164">
        <f t="shared" ref="AU19:AU29" si="28">AT19*E19</f>
        <v>120000</v>
      </c>
      <c r="AV19" s="145">
        <v>12</v>
      </c>
      <c r="AW19" s="164">
        <f t="shared" ref="AW19:AW29" si="29">AV19*E19</f>
        <v>120000</v>
      </c>
      <c r="AX19" s="145">
        <v>12</v>
      </c>
      <c r="AY19" s="164">
        <f t="shared" ref="AY19:AY29" si="30">AX19*E19</f>
        <v>120000</v>
      </c>
      <c r="AZ19" s="145">
        <v>12</v>
      </c>
      <c r="BA19" s="164">
        <f t="shared" ref="BA19:BA29" si="31">AZ19*E19</f>
        <v>120000</v>
      </c>
      <c r="BB19" s="145">
        <v>12</v>
      </c>
      <c r="BC19" s="164">
        <f t="shared" si="20"/>
        <v>120000</v>
      </c>
      <c r="BD19" s="145">
        <v>12</v>
      </c>
      <c r="BE19" s="164">
        <f t="shared" si="21"/>
        <v>120000</v>
      </c>
      <c r="BF19" s="145">
        <v>12</v>
      </c>
      <c r="BG19" s="164">
        <f t="shared" si="22"/>
        <v>120000</v>
      </c>
      <c r="BH19" s="145">
        <v>0</v>
      </c>
      <c r="BI19" s="164">
        <f t="shared" si="23"/>
        <v>0</v>
      </c>
      <c r="BJ19" s="145">
        <f t="shared" ref="BJ19:BK29" si="32">BH19+BF19+BD19+BB19+AZ19+AX19+AV19+AT19+AR19+AP19+AN19+AL19+AJ19+AH19+AF19+AD19+AB19+Z19</f>
        <v>204</v>
      </c>
      <c r="BK19" s="145">
        <f t="shared" si="32"/>
        <v>2040000</v>
      </c>
      <c r="BL19" s="403" t="s">
        <v>218</v>
      </c>
      <c r="BN19" s="163"/>
      <c r="BO19" s="163"/>
      <c r="BP19" s="163"/>
      <c r="BQ19" s="163"/>
      <c r="BR19" s="163">
        <f t="shared" si="1"/>
        <v>0</v>
      </c>
      <c r="BS19" s="163"/>
      <c r="BT19" s="163">
        <f t="shared" si="4"/>
        <v>2040000</v>
      </c>
      <c r="BU19" s="379">
        <f t="shared" si="5"/>
        <v>2040000</v>
      </c>
      <c r="BV19" s="164">
        <f t="shared" si="2"/>
        <v>2040000</v>
      </c>
    </row>
    <row r="20" spans="1:74">
      <c r="A20" s="1010"/>
      <c r="B20" s="196"/>
      <c r="C20" s="134" t="s">
        <v>637</v>
      </c>
      <c r="D20" s="136" t="s">
        <v>104</v>
      </c>
      <c r="E20" s="135">
        <v>50000</v>
      </c>
      <c r="F20" s="400">
        <f t="shared" si="24"/>
        <v>2</v>
      </c>
      <c r="G20" s="161">
        <f t="shared" si="25"/>
        <v>100000</v>
      </c>
      <c r="H20" s="401">
        <f>G20*0.2</f>
        <v>20000</v>
      </c>
      <c r="I20" s="401">
        <f>G20*0.8</f>
        <v>80000</v>
      </c>
      <c r="J20" s="161"/>
      <c r="K20" s="161"/>
      <c r="L20" s="161"/>
      <c r="M20" s="161"/>
      <c r="N20" s="161"/>
      <c r="O20" s="161"/>
      <c r="P20" s="161"/>
      <c r="Q20" s="161"/>
      <c r="R20" s="145">
        <f>F20*1</f>
        <v>2</v>
      </c>
      <c r="S20" s="145"/>
      <c r="T20" s="145"/>
      <c r="U20" s="145"/>
      <c r="V20" s="388">
        <f>G20</f>
        <v>100000</v>
      </c>
      <c r="W20" s="388">
        <f>S20*E20</f>
        <v>0</v>
      </c>
      <c r="X20" s="388">
        <f t="shared" si="11"/>
        <v>0</v>
      </c>
      <c r="Y20" s="388">
        <f t="shared" si="12"/>
        <v>0</v>
      </c>
      <c r="Z20" s="145">
        <v>0</v>
      </c>
      <c r="AA20" s="145">
        <f t="shared" si="3"/>
        <v>0</v>
      </c>
      <c r="AB20" s="145">
        <v>0</v>
      </c>
      <c r="AC20" s="164">
        <f t="shared" si="13"/>
        <v>0</v>
      </c>
      <c r="AD20" s="145">
        <v>0</v>
      </c>
      <c r="AE20" s="164">
        <f t="shared" si="14"/>
        <v>0</v>
      </c>
      <c r="AF20" s="145">
        <v>0</v>
      </c>
      <c r="AG20" s="164">
        <f t="shared" si="15"/>
        <v>0</v>
      </c>
      <c r="AH20" s="145">
        <v>0</v>
      </c>
      <c r="AI20" s="164">
        <f t="shared" si="16"/>
        <v>0</v>
      </c>
      <c r="AJ20" s="145">
        <v>0</v>
      </c>
      <c r="AK20" s="164">
        <f t="shared" si="26"/>
        <v>0</v>
      </c>
      <c r="AL20" s="145">
        <v>0</v>
      </c>
      <c r="AM20" s="164">
        <f t="shared" si="17"/>
        <v>0</v>
      </c>
      <c r="AN20" s="145">
        <v>0</v>
      </c>
      <c r="AO20" s="164">
        <f t="shared" si="27"/>
        <v>0</v>
      </c>
      <c r="AP20" s="145">
        <v>0</v>
      </c>
      <c r="AQ20" s="164">
        <f t="shared" si="18"/>
        <v>0</v>
      </c>
      <c r="AR20" s="145">
        <v>0</v>
      </c>
      <c r="AS20" s="164">
        <f t="shared" si="19"/>
        <v>0</v>
      </c>
      <c r="AT20" s="145">
        <v>0</v>
      </c>
      <c r="AU20" s="627">
        <f t="shared" si="28"/>
        <v>0</v>
      </c>
      <c r="AV20" s="145">
        <v>1</v>
      </c>
      <c r="AW20" s="164">
        <f t="shared" si="29"/>
        <v>50000</v>
      </c>
      <c r="AX20" s="145">
        <v>1</v>
      </c>
      <c r="AY20" s="164">
        <f t="shared" si="30"/>
        <v>50000</v>
      </c>
      <c r="AZ20" s="145">
        <v>0</v>
      </c>
      <c r="BA20" s="164">
        <f t="shared" si="31"/>
        <v>0</v>
      </c>
      <c r="BB20" s="145">
        <v>0</v>
      </c>
      <c r="BC20" s="164">
        <f t="shared" si="20"/>
        <v>0</v>
      </c>
      <c r="BD20" s="145">
        <v>0</v>
      </c>
      <c r="BE20" s="164">
        <f t="shared" si="21"/>
        <v>0</v>
      </c>
      <c r="BF20" s="145">
        <v>0</v>
      </c>
      <c r="BG20" s="164">
        <f t="shared" si="22"/>
        <v>0</v>
      </c>
      <c r="BH20" s="145">
        <v>0</v>
      </c>
      <c r="BI20" s="164"/>
      <c r="BJ20" s="145">
        <f>BH20+BF20+BD20+BB20+AZ20+AX20+AV20+AT20+AR20+AP20+AN20+AL20+AJ20+AH20+AF20+AD20+AB20+Z20</f>
        <v>2</v>
      </c>
      <c r="BK20" s="145">
        <f>BI20+BG20+BE20+BC20+BA20+AY20+AW20+AU20+AS20+AQ20+AO20+AM20+AK20+AI20+AG20+AE20+AC20+AA20</f>
        <v>100000</v>
      </c>
      <c r="BL20" s="403" t="s">
        <v>216</v>
      </c>
      <c r="BN20" s="379"/>
      <c r="BO20" s="379"/>
      <c r="BP20" s="163">
        <f>BK20</f>
        <v>100000</v>
      </c>
      <c r="BQ20" s="379"/>
      <c r="BR20" s="163"/>
      <c r="BS20" s="379">
        <f>SUM(BS12:BS18)</f>
        <v>0</v>
      </c>
      <c r="BT20" s="379">
        <f>G20</f>
        <v>100000</v>
      </c>
      <c r="BU20" s="379">
        <f t="shared" si="5"/>
        <v>100000</v>
      </c>
      <c r="BV20" s="164">
        <f t="shared" si="2"/>
        <v>100000</v>
      </c>
    </row>
    <row r="21" spans="1:74" s="23" customFormat="1">
      <c r="A21" s="1010"/>
      <c r="B21" s="228"/>
      <c r="C21" s="166" t="s">
        <v>105</v>
      </c>
      <c r="D21" s="136" t="s">
        <v>104</v>
      </c>
      <c r="E21" s="711">
        <v>4000</v>
      </c>
      <c r="F21" s="400">
        <f t="shared" si="24"/>
        <v>68</v>
      </c>
      <c r="G21" s="161">
        <f t="shared" si="25"/>
        <v>272000</v>
      </c>
      <c r="H21" s="401">
        <f t="shared" ref="H21:H29" si="33">G21*0.2</f>
        <v>54400</v>
      </c>
      <c r="I21" s="401">
        <f t="shared" ref="I21:I29" si="34">G21*0.8</f>
        <v>217600</v>
      </c>
      <c r="J21" s="161"/>
      <c r="K21" s="161"/>
      <c r="L21" s="161"/>
      <c r="M21" s="161"/>
      <c r="N21" s="161"/>
      <c r="O21" s="161"/>
      <c r="P21" s="161"/>
      <c r="Q21" s="161"/>
      <c r="R21" s="253">
        <f>F21/4</f>
        <v>17</v>
      </c>
      <c r="S21" s="253">
        <f>F21*0.25</f>
        <v>17</v>
      </c>
      <c r="T21" s="253">
        <f>F21*0.25</f>
        <v>17</v>
      </c>
      <c r="U21" s="253">
        <f>F21*0.25</f>
        <v>17</v>
      </c>
      <c r="V21" s="388">
        <f>R21*E21</f>
        <v>68000</v>
      </c>
      <c r="W21" s="388">
        <f>S21*E21</f>
        <v>68000</v>
      </c>
      <c r="X21" s="388">
        <f t="shared" si="11"/>
        <v>68000</v>
      </c>
      <c r="Y21" s="388">
        <f t="shared" si="12"/>
        <v>68000</v>
      </c>
      <c r="Z21" s="475">
        <v>4</v>
      </c>
      <c r="AA21" s="145">
        <f t="shared" si="3"/>
        <v>16000</v>
      </c>
      <c r="AB21" s="475">
        <v>4</v>
      </c>
      <c r="AC21" s="164">
        <f t="shared" si="13"/>
        <v>16000</v>
      </c>
      <c r="AD21" s="475">
        <v>4</v>
      </c>
      <c r="AE21" s="164">
        <f t="shared" si="14"/>
        <v>16000</v>
      </c>
      <c r="AF21" s="475">
        <v>4</v>
      </c>
      <c r="AG21" s="164">
        <f t="shared" si="15"/>
        <v>16000</v>
      </c>
      <c r="AH21" s="475">
        <v>4</v>
      </c>
      <c r="AI21" s="164">
        <f t="shared" si="16"/>
        <v>16000</v>
      </c>
      <c r="AJ21" s="253">
        <v>4</v>
      </c>
      <c r="AK21" s="164">
        <f t="shared" si="26"/>
        <v>16000</v>
      </c>
      <c r="AL21" s="475">
        <v>4</v>
      </c>
      <c r="AM21" s="164">
        <f t="shared" si="17"/>
        <v>16000</v>
      </c>
      <c r="AN21" s="475">
        <v>4</v>
      </c>
      <c r="AO21" s="164">
        <f t="shared" si="27"/>
        <v>16000</v>
      </c>
      <c r="AP21" s="475">
        <v>4</v>
      </c>
      <c r="AQ21" s="164">
        <f t="shared" si="18"/>
        <v>16000</v>
      </c>
      <c r="AR21" s="475">
        <v>4</v>
      </c>
      <c r="AS21" s="164">
        <f t="shared" si="19"/>
        <v>16000</v>
      </c>
      <c r="AT21" s="475">
        <v>4</v>
      </c>
      <c r="AU21" s="164">
        <f t="shared" si="28"/>
        <v>16000</v>
      </c>
      <c r="AV21" s="475">
        <v>4</v>
      </c>
      <c r="AW21" s="164">
        <f t="shared" si="29"/>
        <v>16000</v>
      </c>
      <c r="AX21" s="475">
        <v>4</v>
      </c>
      <c r="AY21" s="164">
        <f t="shared" si="30"/>
        <v>16000</v>
      </c>
      <c r="AZ21" s="475">
        <v>4</v>
      </c>
      <c r="BA21" s="164">
        <f t="shared" si="31"/>
        <v>16000</v>
      </c>
      <c r="BB21" s="475">
        <v>4</v>
      </c>
      <c r="BC21" s="164">
        <f t="shared" si="20"/>
        <v>16000</v>
      </c>
      <c r="BD21" s="475">
        <v>4</v>
      </c>
      <c r="BE21" s="164">
        <f t="shared" si="21"/>
        <v>16000</v>
      </c>
      <c r="BF21" s="475">
        <v>4</v>
      </c>
      <c r="BG21" s="164">
        <f t="shared" si="22"/>
        <v>16000</v>
      </c>
      <c r="BH21" s="475">
        <v>0</v>
      </c>
      <c r="BI21" s="164">
        <f t="shared" si="23"/>
        <v>0</v>
      </c>
      <c r="BJ21" s="145">
        <f t="shared" si="32"/>
        <v>68</v>
      </c>
      <c r="BK21" s="145">
        <f t="shared" si="32"/>
        <v>272000</v>
      </c>
      <c r="BL21" s="403" t="s">
        <v>216</v>
      </c>
      <c r="BN21" s="379"/>
      <c r="BO21" s="379"/>
      <c r="BP21" s="163"/>
      <c r="BQ21" s="379">
        <f>SUM(BQ13:BQ19)</f>
        <v>0</v>
      </c>
      <c r="BR21" s="163">
        <f t="shared" si="1"/>
        <v>0</v>
      </c>
      <c r="BS21" s="379">
        <f>SUM(BS13:BS19)</f>
        <v>0</v>
      </c>
      <c r="BT21" s="379">
        <f>G21</f>
        <v>272000</v>
      </c>
      <c r="BU21" s="379">
        <f t="shared" si="5"/>
        <v>272000</v>
      </c>
      <c r="BV21" s="164">
        <f t="shared" si="2"/>
        <v>272000</v>
      </c>
    </row>
    <row r="22" spans="1:74">
      <c r="A22" s="1010"/>
      <c r="B22" s="196"/>
      <c r="C22" s="166" t="s">
        <v>955</v>
      </c>
      <c r="D22" s="136" t="s">
        <v>16</v>
      </c>
      <c r="E22" s="135">
        <v>20000</v>
      </c>
      <c r="F22" s="400">
        <f t="shared" si="24"/>
        <v>17</v>
      </c>
      <c r="G22" s="161">
        <f t="shared" si="25"/>
        <v>340000</v>
      </c>
      <c r="H22" s="401">
        <f t="shared" si="33"/>
        <v>68000</v>
      </c>
      <c r="I22" s="401">
        <f t="shared" si="34"/>
        <v>272000</v>
      </c>
      <c r="J22" s="161"/>
      <c r="K22" s="161"/>
      <c r="L22" s="161"/>
      <c r="M22" s="161"/>
      <c r="N22" s="161"/>
      <c r="O22" s="145"/>
      <c r="P22" s="145"/>
      <c r="Q22" s="145"/>
      <c r="R22" s="145"/>
      <c r="S22" s="145">
        <v>16</v>
      </c>
      <c r="T22" s="145">
        <v>1</v>
      </c>
      <c r="U22" s="145"/>
      <c r="V22" s="388">
        <f>R22*E22</f>
        <v>0</v>
      </c>
      <c r="W22" s="388">
        <f>S22*E22</f>
        <v>320000</v>
      </c>
      <c r="X22" s="388">
        <f t="shared" si="11"/>
        <v>20000</v>
      </c>
      <c r="Y22" s="388">
        <f t="shared" si="12"/>
        <v>0</v>
      </c>
      <c r="Z22" s="145">
        <v>1</v>
      </c>
      <c r="AA22" s="145">
        <f t="shared" si="3"/>
        <v>20000</v>
      </c>
      <c r="AB22" s="145">
        <v>1</v>
      </c>
      <c r="AC22" s="164">
        <f t="shared" si="13"/>
        <v>20000</v>
      </c>
      <c r="AD22" s="145">
        <v>1</v>
      </c>
      <c r="AE22" s="164">
        <f t="shared" si="14"/>
        <v>20000</v>
      </c>
      <c r="AF22" s="145">
        <v>1</v>
      </c>
      <c r="AG22" s="164">
        <f t="shared" si="15"/>
        <v>20000</v>
      </c>
      <c r="AH22" s="145">
        <v>1</v>
      </c>
      <c r="AI22" s="164">
        <f t="shared" si="16"/>
        <v>20000</v>
      </c>
      <c r="AJ22" s="145">
        <v>1</v>
      </c>
      <c r="AK22" s="164">
        <f t="shared" si="26"/>
        <v>20000</v>
      </c>
      <c r="AL22" s="145">
        <v>1</v>
      </c>
      <c r="AM22" s="164">
        <f t="shared" si="17"/>
        <v>20000</v>
      </c>
      <c r="AN22" s="145">
        <v>1</v>
      </c>
      <c r="AO22" s="164">
        <f t="shared" si="27"/>
        <v>20000</v>
      </c>
      <c r="AP22" s="145">
        <v>1</v>
      </c>
      <c r="AQ22" s="164">
        <f t="shared" si="18"/>
        <v>20000</v>
      </c>
      <c r="AR22" s="145">
        <v>1</v>
      </c>
      <c r="AS22" s="164">
        <f t="shared" si="19"/>
        <v>20000</v>
      </c>
      <c r="AT22" s="145">
        <v>1</v>
      </c>
      <c r="AU22" s="164">
        <f t="shared" si="28"/>
        <v>20000</v>
      </c>
      <c r="AV22" s="145">
        <v>1</v>
      </c>
      <c r="AW22" s="164">
        <f t="shared" si="29"/>
        <v>20000</v>
      </c>
      <c r="AX22" s="145">
        <v>1</v>
      </c>
      <c r="AY22" s="164">
        <f t="shared" si="30"/>
        <v>20000</v>
      </c>
      <c r="AZ22" s="145">
        <v>1</v>
      </c>
      <c r="BA22" s="164">
        <f t="shared" si="31"/>
        <v>20000</v>
      </c>
      <c r="BB22" s="145">
        <v>1</v>
      </c>
      <c r="BC22" s="164">
        <f t="shared" si="20"/>
        <v>20000</v>
      </c>
      <c r="BD22" s="145">
        <v>1</v>
      </c>
      <c r="BE22" s="164">
        <f t="shared" si="21"/>
        <v>20000</v>
      </c>
      <c r="BF22" s="145">
        <v>1</v>
      </c>
      <c r="BG22" s="164">
        <f t="shared" si="22"/>
        <v>20000</v>
      </c>
      <c r="BH22" s="145">
        <v>0</v>
      </c>
      <c r="BI22" s="164">
        <f t="shared" si="23"/>
        <v>0</v>
      </c>
      <c r="BJ22" s="145">
        <f t="shared" si="32"/>
        <v>17</v>
      </c>
      <c r="BK22" s="145">
        <f t="shared" si="32"/>
        <v>340000</v>
      </c>
      <c r="BL22" s="403" t="s">
        <v>216</v>
      </c>
      <c r="BN22" s="163"/>
      <c r="BO22" s="163"/>
      <c r="BP22" s="163">
        <f t="shared" ref="BP22:BP29" si="35">G22</f>
        <v>340000</v>
      </c>
      <c r="BQ22" s="163"/>
      <c r="BR22" s="163">
        <f t="shared" si="1"/>
        <v>340000</v>
      </c>
      <c r="BS22" s="163"/>
      <c r="BT22" s="163"/>
      <c r="BU22" s="379">
        <f t="shared" si="5"/>
        <v>0</v>
      </c>
      <c r="BV22" s="164">
        <f t="shared" si="2"/>
        <v>340000</v>
      </c>
    </row>
    <row r="23" spans="1:74">
      <c r="A23" s="1010"/>
      <c r="B23" s="196"/>
      <c r="C23" s="134" t="s">
        <v>667</v>
      </c>
      <c r="D23" s="136" t="s">
        <v>104</v>
      </c>
      <c r="E23" s="135">
        <v>50000</v>
      </c>
      <c r="F23" s="400">
        <f t="shared" si="24"/>
        <v>0</v>
      </c>
      <c r="G23" s="161">
        <f t="shared" si="25"/>
        <v>0</v>
      </c>
      <c r="H23" s="401">
        <f t="shared" si="33"/>
        <v>0</v>
      </c>
      <c r="I23" s="401">
        <f t="shared" si="34"/>
        <v>0</v>
      </c>
      <c r="J23" s="161"/>
      <c r="K23" s="161"/>
      <c r="L23" s="161"/>
      <c r="M23" s="161"/>
      <c r="N23" s="161"/>
      <c r="O23" s="161"/>
      <c r="P23" s="161"/>
      <c r="Q23" s="161"/>
      <c r="R23" s="145"/>
      <c r="S23" s="145">
        <f>F23</f>
        <v>0</v>
      </c>
      <c r="T23" s="145"/>
      <c r="U23" s="145"/>
      <c r="V23" s="388">
        <f>R23*E23</f>
        <v>0</v>
      </c>
      <c r="W23" s="388">
        <f>S23*E23</f>
        <v>0</v>
      </c>
      <c r="X23" s="388">
        <f t="shared" si="11"/>
        <v>0</v>
      </c>
      <c r="Y23" s="388">
        <f t="shared" si="12"/>
        <v>0</v>
      </c>
      <c r="Z23" s="145">
        <v>0</v>
      </c>
      <c r="AA23" s="145">
        <f t="shared" si="3"/>
        <v>0</v>
      </c>
      <c r="AB23" s="145"/>
      <c r="AC23" s="164">
        <f t="shared" si="13"/>
        <v>0</v>
      </c>
      <c r="AD23" s="145"/>
      <c r="AE23" s="164">
        <f t="shared" si="14"/>
        <v>0</v>
      </c>
      <c r="AF23" s="145">
        <v>0</v>
      </c>
      <c r="AG23" s="164">
        <f t="shared" si="15"/>
        <v>0</v>
      </c>
      <c r="AH23" s="145"/>
      <c r="AI23" s="164">
        <f t="shared" si="16"/>
        <v>0</v>
      </c>
      <c r="AJ23" s="145">
        <v>0</v>
      </c>
      <c r="AK23" s="164">
        <f t="shared" si="26"/>
        <v>0</v>
      </c>
      <c r="AL23" s="145"/>
      <c r="AM23" s="164">
        <f t="shared" si="17"/>
        <v>0</v>
      </c>
      <c r="AN23" s="145"/>
      <c r="AO23" s="164">
        <f t="shared" si="27"/>
        <v>0</v>
      </c>
      <c r="AP23" s="145"/>
      <c r="AQ23" s="164">
        <f t="shared" si="18"/>
        <v>0</v>
      </c>
      <c r="AR23" s="145"/>
      <c r="AS23" s="164">
        <f t="shared" si="19"/>
        <v>0</v>
      </c>
      <c r="AT23" s="145"/>
      <c r="AU23" s="164">
        <f t="shared" si="28"/>
        <v>0</v>
      </c>
      <c r="AV23" s="145">
        <v>0</v>
      </c>
      <c r="AW23" s="164">
        <f t="shared" si="29"/>
        <v>0</v>
      </c>
      <c r="AX23" s="145"/>
      <c r="AY23" s="164">
        <f t="shared" si="30"/>
        <v>0</v>
      </c>
      <c r="AZ23" s="145"/>
      <c r="BA23" s="164">
        <f t="shared" si="31"/>
        <v>0</v>
      </c>
      <c r="BB23" s="145"/>
      <c r="BC23" s="164">
        <f t="shared" si="20"/>
        <v>0</v>
      </c>
      <c r="BD23" s="145"/>
      <c r="BE23" s="164">
        <f t="shared" si="21"/>
        <v>0</v>
      </c>
      <c r="BF23" s="145"/>
      <c r="BG23" s="164">
        <f t="shared" si="22"/>
        <v>0</v>
      </c>
      <c r="BH23" s="145"/>
      <c r="BI23" s="164">
        <f t="shared" si="23"/>
        <v>0</v>
      </c>
      <c r="BJ23" s="145">
        <f t="shared" si="32"/>
        <v>0</v>
      </c>
      <c r="BK23" s="145">
        <f t="shared" si="32"/>
        <v>0</v>
      </c>
      <c r="BL23" s="403" t="s">
        <v>216</v>
      </c>
      <c r="BN23" s="163"/>
      <c r="BO23" s="163"/>
      <c r="BP23" s="163">
        <f t="shared" si="35"/>
        <v>0</v>
      </c>
      <c r="BQ23" s="163"/>
      <c r="BR23" s="163">
        <f t="shared" si="1"/>
        <v>0</v>
      </c>
      <c r="BS23" s="163"/>
      <c r="BT23" s="163"/>
      <c r="BU23" s="379">
        <f t="shared" si="5"/>
        <v>0</v>
      </c>
      <c r="BV23" s="164">
        <f t="shared" si="2"/>
        <v>0</v>
      </c>
    </row>
    <row r="24" spans="1:74" s="500" customFormat="1">
      <c r="A24" s="1010"/>
      <c r="B24" s="515"/>
      <c r="C24" s="491" t="s">
        <v>599</v>
      </c>
      <c r="D24" s="606" t="s">
        <v>104</v>
      </c>
      <c r="E24" s="495">
        <v>50000</v>
      </c>
      <c r="F24" s="607">
        <f t="shared" si="24"/>
        <v>34</v>
      </c>
      <c r="G24" s="499">
        <f t="shared" si="25"/>
        <v>1700000</v>
      </c>
      <c r="H24" s="608">
        <f t="shared" si="33"/>
        <v>340000</v>
      </c>
      <c r="I24" s="608">
        <f t="shared" si="34"/>
        <v>1360000</v>
      </c>
      <c r="J24" s="499"/>
      <c r="K24" s="499"/>
      <c r="L24" s="499"/>
      <c r="M24" s="499"/>
      <c r="N24" s="499"/>
      <c r="O24" s="499"/>
      <c r="P24" s="499"/>
      <c r="Q24" s="499"/>
      <c r="R24" s="544"/>
      <c r="S24" s="544">
        <f t="shared" ref="S24:S29" si="36">F24</f>
        <v>34</v>
      </c>
      <c r="T24" s="544"/>
      <c r="U24" s="544"/>
      <c r="V24" s="609">
        <f t="shared" ref="V24:V47" si="37">R24*E24</f>
        <v>0</v>
      </c>
      <c r="W24" s="609">
        <f t="shared" ref="W24:W47" si="38">S24*E24</f>
        <v>1700000</v>
      </c>
      <c r="X24" s="609">
        <f t="shared" ref="X24:X47" si="39">T24*E24</f>
        <v>0</v>
      </c>
      <c r="Y24" s="609">
        <f t="shared" ref="Y24:Y47" si="40">U24*E24</f>
        <v>0</v>
      </c>
      <c r="Z24" s="544">
        <v>2</v>
      </c>
      <c r="AA24" s="544">
        <f t="shared" si="3"/>
        <v>100000</v>
      </c>
      <c r="AB24" s="544">
        <v>2</v>
      </c>
      <c r="AC24" s="502">
        <f t="shared" si="13"/>
        <v>100000</v>
      </c>
      <c r="AD24" s="544">
        <v>2</v>
      </c>
      <c r="AE24" s="502">
        <f t="shared" si="14"/>
        <v>100000</v>
      </c>
      <c r="AF24" s="544">
        <v>2</v>
      </c>
      <c r="AG24" s="502">
        <f t="shared" si="15"/>
        <v>100000</v>
      </c>
      <c r="AH24" s="544">
        <v>2</v>
      </c>
      <c r="AI24" s="502">
        <f t="shared" si="16"/>
        <v>100000</v>
      </c>
      <c r="AJ24" s="544">
        <v>2</v>
      </c>
      <c r="AK24" s="502">
        <f t="shared" si="26"/>
        <v>100000</v>
      </c>
      <c r="AL24" s="544">
        <v>2</v>
      </c>
      <c r="AM24" s="502">
        <f t="shared" si="17"/>
        <v>100000</v>
      </c>
      <c r="AN24" s="544">
        <v>2</v>
      </c>
      <c r="AO24" s="502">
        <f t="shared" si="27"/>
        <v>100000</v>
      </c>
      <c r="AP24" s="544">
        <v>2</v>
      </c>
      <c r="AQ24" s="502">
        <f t="shared" si="18"/>
        <v>100000</v>
      </c>
      <c r="AR24" s="544">
        <v>2</v>
      </c>
      <c r="AS24" s="502">
        <f t="shared" si="19"/>
        <v>100000</v>
      </c>
      <c r="AT24" s="544">
        <v>2</v>
      </c>
      <c r="AU24" s="502">
        <f t="shared" si="28"/>
        <v>100000</v>
      </c>
      <c r="AV24" s="544">
        <v>2</v>
      </c>
      <c r="AW24" s="502">
        <f t="shared" si="29"/>
        <v>100000</v>
      </c>
      <c r="AX24" s="544">
        <v>2</v>
      </c>
      <c r="AY24" s="502">
        <f t="shared" si="30"/>
        <v>100000</v>
      </c>
      <c r="AZ24" s="544">
        <v>2</v>
      </c>
      <c r="BA24" s="502">
        <f t="shared" si="31"/>
        <v>100000</v>
      </c>
      <c r="BB24" s="544">
        <v>2</v>
      </c>
      <c r="BC24" s="502">
        <f t="shared" si="20"/>
        <v>100000</v>
      </c>
      <c r="BD24" s="544">
        <v>2</v>
      </c>
      <c r="BE24" s="502">
        <f t="shared" si="21"/>
        <v>100000</v>
      </c>
      <c r="BF24" s="544">
        <v>2</v>
      </c>
      <c r="BG24" s="502">
        <f t="shared" si="22"/>
        <v>100000</v>
      </c>
      <c r="BH24" s="544">
        <v>0</v>
      </c>
      <c r="BI24" s="502">
        <f t="shared" si="23"/>
        <v>0</v>
      </c>
      <c r="BJ24" s="544">
        <f t="shared" si="32"/>
        <v>34</v>
      </c>
      <c r="BK24" s="544">
        <f t="shared" si="32"/>
        <v>1700000</v>
      </c>
      <c r="BL24" s="610" t="s">
        <v>216</v>
      </c>
      <c r="BN24" s="501"/>
      <c r="BO24" s="501"/>
      <c r="BP24" s="501">
        <f t="shared" si="35"/>
        <v>1700000</v>
      </c>
      <c r="BQ24" s="501"/>
      <c r="BR24" s="501">
        <f t="shared" si="1"/>
        <v>1700000</v>
      </c>
      <c r="BS24" s="501"/>
      <c r="BT24" s="501"/>
      <c r="BU24" s="611">
        <f t="shared" si="5"/>
        <v>0</v>
      </c>
      <c r="BV24" s="502">
        <f t="shared" si="2"/>
        <v>1700000</v>
      </c>
    </row>
    <row r="25" spans="1:74" s="178" customFormat="1">
      <c r="A25" s="1010"/>
      <c r="B25" s="196"/>
      <c r="C25" s="166" t="s">
        <v>109</v>
      </c>
      <c r="D25" s="136" t="s">
        <v>104</v>
      </c>
      <c r="E25" s="135">
        <v>50000</v>
      </c>
      <c r="F25" s="400">
        <f t="shared" si="24"/>
        <v>4</v>
      </c>
      <c r="G25" s="161">
        <f t="shared" si="25"/>
        <v>200000</v>
      </c>
      <c r="H25" s="401">
        <f t="shared" si="33"/>
        <v>40000</v>
      </c>
      <c r="I25" s="401">
        <f t="shared" si="34"/>
        <v>160000</v>
      </c>
      <c r="J25" s="262"/>
      <c r="K25" s="262"/>
      <c r="L25" s="262"/>
      <c r="M25" s="262"/>
      <c r="N25" s="262"/>
      <c r="O25" s="262"/>
      <c r="P25" s="262"/>
      <c r="Q25" s="262"/>
      <c r="R25" s="257"/>
      <c r="S25" s="257">
        <f t="shared" si="36"/>
        <v>4</v>
      </c>
      <c r="T25" s="257"/>
      <c r="U25" s="257"/>
      <c r="V25" s="388">
        <f t="shared" si="37"/>
        <v>0</v>
      </c>
      <c r="W25" s="388">
        <f t="shared" si="38"/>
        <v>200000</v>
      </c>
      <c r="X25" s="388">
        <f t="shared" si="39"/>
        <v>0</v>
      </c>
      <c r="Y25" s="388">
        <f t="shared" si="40"/>
        <v>0</v>
      </c>
      <c r="Z25" s="257">
        <v>0</v>
      </c>
      <c r="AA25" s="145">
        <f t="shared" si="3"/>
        <v>0</v>
      </c>
      <c r="AB25" s="257"/>
      <c r="AC25" s="164">
        <f t="shared" si="13"/>
        <v>0</v>
      </c>
      <c r="AD25" s="257"/>
      <c r="AE25" s="164">
        <f t="shared" si="14"/>
        <v>0</v>
      </c>
      <c r="AF25" s="257">
        <v>4</v>
      </c>
      <c r="AG25" s="164">
        <f t="shared" si="15"/>
        <v>200000</v>
      </c>
      <c r="AH25" s="257"/>
      <c r="AI25" s="164">
        <f t="shared" si="16"/>
        <v>0</v>
      </c>
      <c r="AJ25" s="145">
        <v>0</v>
      </c>
      <c r="AK25" s="164">
        <f t="shared" si="26"/>
        <v>0</v>
      </c>
      <c r="AL25" s="257"/>
      <c r="AM25" s="164">
        <f t="shared" si="17"/>
        <v>0</v>
      </c>
      <c r="AN25" s="257"/>
      <c r="AO25" s="164">
        <f t="shared" si="27"/>
        <v>0</v>
      </c>
      <c r="AP25" s="257"/>
      <c r="AQ25" s="164">
        <f t="shared" si="18"/>
        <v>0</v>
      </c>
      <c r="AR25" s="257"/>
      <c r="AS25" s="164">
        <f t="shared" si="19"/>
        <v>0</v>
      </c>
      <c r="AT25" s="257"/>
      <c r="AU25" s="164">
        <f t="shared" si="28"/>
        <v>0</v>
      </c>
      <c r="AV25" s="257"/>
      <c r="AW25" s="164">
        <f t="shared" si="29"/>
        <v>0</v>
      </c>
      <c r="AX25" s="257"/>
      <c r="AY25" s="164">
        <f t="shared" si="30"/>
        <v>0</v>
      </c>
      <c r="AZ25" s="257"/>
      <c r="BA25" s="164">
        <f t="shared" si="31"/>
        <v>0</v>
      </c>
      <c r="BB25" s="257"/>
      <c r="BC25" s="164">
        <f t="shared" si="20"/>
        <v>0</v>
      </c>
      <c r="BD25" s="257">
        <v>0</v>
      </c>
      <c r="BE25" s="164">
        <f t="shared" si="21"/>
        <v>0</v>
      </c>
      <c r="BF25" s="257"/>
      <c r="BG25" s="164">
        <f t="shared" si="22"/>
        <v>0</v>
      </c>
      <c r="BH25" s="257"/>
      <c r="BI25" s="164">
        <f t="shared" si="23"/>
        <v>0</v>
      </c>
      <c r="BJ25" s="145">
        <f t="shared" si="32"/>
        <v>4</v>
      </c>
      <c r="BK25" s="145">
        <f t="shared" si="32"/>
        <v>200000</v>
      </c>
      <c r="BL25" s="403" t="s">
        <v>216</v>
      </c>
      <c r="BN25" s="254"/>
      <c r="BO25" s="254"/>
      <c r="BP25" s="163">
        <f t="shared" si="35"/>
        <v>200000</v>
      </c>
      <c r="BQ25" s="254"/>
      <c r="BR25" s="163">
        <f t="shared" si="1"/>
        <v>200000</v>
      </c>
      <c r="BS25" s="254"/>
      <c r="BT25" s="254"/>
      <c r="BU25" s="379">
        <f t="shared" si="5"/>
        <v>0</v>
      </c>
      <c r="BV25" s="164">
        <f t="shared" si="2"/>
        <v>200000</v>
      </c>
    </row>
    <row r="26" spans="1:74">
      <c r="A26" s="1010"/>
      <c r="B26" s="342"/>
      <c r="C26" s="166" t="s">
        <v>135</v>
      </c>
      <c r="D26" s="136" t="s">
        <v>104</v>
      </c>
      <c r="E26" s="135">
        <v>2500</v>
      </c>
      <c r="F26" s="400">
        <f t="shared" si="24"/>
        <v>0</v>
      </c>
      <c r="G26" s="161">
        <f t="shared" si="25"/>
        <v>0</v>
      </c>
      <c r="H26" s="401">
        <f t="shared" si="33"/>
        <v>0</v>
      </c>
      <c r="I26" s="401">
        <f t="shared" si="34"/>
        <v>0</v>
      </c>
      <c r="J26" s="161"/>
      <c r="K26" s="161"/>
      <c r="L26" s="161"/>
      <c r="M26" s="161"/>
      <c r="N26" s="161"/>
      <c r="O26" s="161"/>
      <c r="P26" s="161"/>
      <c r="Q26" s="161"/>
      <c r="R26" s="145"/>
      <c r="S26" s="145">
        <f t="shared" si="36"/>
        <v>0</v>
      </c>
      <c r="T26" s="145"/>
      <c r="U26" s="145"/>
      <c r="V26" s="388">
        <f t="shared" si="37"/>
        <v>0</v>
      </c>
      <c r="W26" s="388">
        <f t="shared" si="38"/>
        <v>0</v>
      </c>
      <c r="X26" s="388">
        <f t="shared" si="39"/>
        <v>0</v>
      </c>
      <c r="Y26" s="388">
        <f t="shared" si="40"/>
        <v>0</v>
      </c>
      <c r="Z26" s="145">
        <v>0</v>
      </c>
      <c r="AA26" s="145">
        <f t="shared" si="3"/>
        <v>0</v>
      </c>
      <c r="AB26" s="145">
        <v>0</v>
      </c>
      <c r="AC26" s="164">
        <f t="shared" si="13"/>
        <v>0</v>
      </c>
      <c r="AD26" s="145"/>
      <c r="AE26" s="164">
        <f t="shared" si="14"/>
        <v>0</v>
      </c>
      <c r="AF26" s="145">
        <v>0</v>
      </c>
      <c r="AG26" s="164">
        <f t="shared" si="15"/>
        <v>0</v>
      </c>
      <c r="AH26" s="145"/>
      <c r="AI26" s="164">
        <f t="shared" si="16"/>
        <v>0</v>
      </c>
      <c r="AJ26" s="145">
        <v>0</v>
      </c>
      <c r="AK26" s="164">
        <f t="shared" si="26"/>
        <v>0</v>
      </c>
      <c r="AL26" s="145"/>
      <c r="AM26" s="164">
        <f t="shared" si="17"/>
        <v>0</v>
      </c>
      <c r="AN26" s="145"/>
      <c r="AO26" s="164">
        <f t="shared" si="27"/>
        <v>0</v>
      </c>
      <c r="AP26" s="145"/>
      <c r="AQ26" s="164">
        <f t="shared" si="18"/>
        <v>0</v>
      </c>
      <c r="AR26" s="145"/>
      <c r="AS26" s="164">
        <f t="shared" si="19"/>
        <v>0</v>
      </c>
      <c r="AT26" s="145"/>
      <c r="AU26" s="164">
        <f t="shared" si="28"/>
        <v>0</v>
      </c>
      <c r="AV26" s="145"/>
      <c r="AW26" s="164">
        <f t="shared" si="29"/>
        <v>0</v>
      </c>
      <c r="AX26" s="145"/>
      <c r="AY26" s="164">
        <f t="shared" si="30"/>
        <v>0</v>
      </c>
      <c r="AZ26" s="145"/>
      <c r="BA26" s="164">
        <f t="shared" si="31"/>
        <v>0</v>
      </c>
      <c r="BB26" s="145"/>
      <c r="BC26" s="164">
        <f t="shared" si="20"/>
        <v>0</v>
      </c>
      <c r="BD26" s="145"/>
      <c r="BE26" s="164">
        <f t="shared" si="21"/>
        <v>0</v>
      </c>
      <c r="BF26" s="145"/>
      <c r="BG26" s="164">
        <f t="shared" si="22"/>
        <v>0</v>
      </c>
      <c r="BH26" s="145"/>
      <c r="BI26" s="164">
        <f t="shared" si="23"/>
        <v>0</v>
      </c>
      <c r="BJ26" s="145">
        <f t="shared" si="32"/>
        <v>0</v>
      </c>
      <c r="BK26" s="145">
        <f t="shared" si="32"/>
        <v>0</v>
      </c>
      <c r="BL26" s="403" t="s">
        <v>216</v>
      </c>
      <c r="BN26" s="163"/>
      <c r="BO26" s="163"/>
      <c r="BP26" s="163">
        <f t="shared" si="35"/>
        <v>0</v>
      </c>
      <c r="BQ26" s="163"/>
      <c r="BR26" s="163">
        <f t="shared" si="1"/>
        <v>0</v>
      </c>
      <c r="BS26" s="163"/>
      <c r="BT26" s="163"/>
      <c r="BU26" s="379">
        <f t="shared" si="5"/>
        <v>0</v>
      </c>
      <c r="BV26" s="164">
        <f t="shared" si="2"/>
        <v>0</v>
      </c>
    </row>
    <row r="27" spans="1:74">
      <c r="A27" s="1010"/>
      <c r="B27" s="196"/>
      <c r="C27" s="166" t="s">
        <v>107</v>
      </c>
      <c r="D27" s="136" t="s">
        <v>104</v>
      </c>
      <c r="E27" s="135">
        <v>300000</v>
      </c>
      <c r="F27" s="400">
        <f t="shared" si="24"/>
        <v>0</v>
      </c>
      <c r="G27" s="161">
        <f t="shared" si="25"/>
        <v>0</v>
      </c>
      <c r="H27" s="401">
        <f t="shared" si="33"/>
        <v>0</v>
      </c>
      <c r="I27" s="401">
        <f t="shared" si="34"/>
        <v>0</v>
      </c>
      <c r="J27" s="161"/>
      <c r="K27" s="161"/>
      <c r="L27" s="161"/>
      <c r="M27" s="161"/>
      <c r="N27" s="161"/>
      <c r="O27" s="161"/>
      <c r="P27" s="161"/>
      <c r="Q27" s="161"/>
      <c r="R27" s="145"/>
      <c r="S27" s="145">
        <f t="shared" si="36"/>
        <v>0</v>
      </c>
      <c r="T27" s="145"/>
      <c r="U27" s="145"/>
      <c r="V27" s="388">
        <f t="shared" si="37"/>
        <v>0</v>
      </c>
      <c r="W27" s="388">
        <f t="shared" si="38"/>
        <v>0</v>
      </c>
      <c r="X27" s="388">
        <f t="shared" si="39"/>
        <v>0</v>
      </c>
      <c r="Y27" s="388">
        <f t="shared" si="40"/>
        <v>0</v>
      </c>
      <c r="Z27" s="145">
        <v>0</v>
      </c>
      <c r="AA27" s="145">
        <f t="shared" si="3"/>
        <v>0</v>
      </c>
      <c r="AB27" s="145"/>
      <c r="AC27" s="164">
        <f t="shared" si="13"/>
        <v>0</v>
      </c>
      <c r="AD27" s="145"/>
      <c r="AE27" s="164">
        <f t="shared" si="14"/>
        <v>0</v>
      </c>
      <c r="AF27" s="145">
        <v>0</v>
      </c>
      <c r="AG27" s="164">
        <f t="shared" si="15"/>
        <v>0</v>
      </c>
      <c r="AH27" s="145"/>
      <c r="AI27" s="164">
        <f t="shared" si="16"/>
        <v>0</v>
      </c>
      <c r="AJ27" s="145">
        <v>0</v>
      </c>
      <c r="AK27" s="164">
        <f t="shared" si="26"/>
        <v>0</v>
      </c>
      <c r="AL27" s="145"/>
      <c r="AM27" s="164">
        <f t="shared" si="17"/>
        <v>0</v>
      </c>
      <c r="AN27" s="145"/>
      <c r="AO27" s="164">
        <f t="shared" si="27"/>
        <v>0</v>
      </c>
      <c r="AP27" s="145"/>
      <c r="AQ27" s="164">
        <f t="shared" si="18"/>
        <v>0</v>
      </c>
      <c r="AR27" s="145"/>
      <c r="AS27" s="164">
        <f t="shared" si="19"/>
        <v>0</v>
      </c>
      <c r="AT27" s="145"/>
      <c r="AU27" s="164">
        <f t="shared" si="28"/>
        <v>0</v>
      </c>
      <c r="AV27" s="145"/>
      <c r="AW27" s="164">
        <f t="shared" si="29"/>
        <v>0</v>
      </c>
      <c r="AX27" s="145"/>
      <c r="AY27" s="164">
        <f t="shared" si="30"/>
        <v>0</v>
      </c>
      <c r="AZ27" s="145"/>
      <c r="BA27" s="164">
        <f t="shared" si="31"/>
        <v>0</v>
      </c>
      <c r="BB27" s="145"/>
      <c r="BC27" s="164">
        <f t="shared" si="20"/>
        <v>0</v>
      </c>
      <c r="BD27" s="145"/>
      <c r="BE27" s="164">
        <f t="shared" si="21"/>
        <v>0</v>
      </c>
      <c r="BF27" s="145"/>
      <c r="BG27" s="164">
        <f t="shared" si="22"/>
        <v>0</v>
      </c>
      <c r="BH27" s="145"/>
      <c r="BI27" s="164">
        <f t="shared" si="23"/>
        <v>0</v>
      </c>
      <c r="BJ27" s="145">
        <f t="shared" si="32"/>
        <v>0</v>
      </c>
      <c r="BK27" s="145">
        <f t="shared" si="32"/>
        <v>0</v>
      </c>
      <c r="BL27" s="403" t="s">
        <v>216</v>
      </c>
      <c r="BN27" s="163"/>
      <c r="BO27" s="163"/>
      <c r="BP27" s="163">
        <f t="shared" si="35"/>
        <v>0</v>
      </c>
      <c r="BQ27" s="163"/>
      <c r="BR27" s="163">
        <f t="shared" si="1"/>
        <v>0</v>
      </c>
      <c r="BS27" s="163"/>
      <c r="BT27" s="163"/>
      <c r="BU27" s="379">
        <f t="shared" si="5"/>
        <v>0</v>
      </c>
      <c r="BV27" s="164">
        <f t="shared" si="2"/>
        <v>0</v>
      </c>
    </row>
    <row r="28" spans="1:74">
      <c r="A28" s="1010"/>
      <c r="B28" s="196"/>
      <c r="C28" s="166" t="s">
        <v>108</v>
      </c>
      <c r="D28" s="136" t="s">
        <v>104</v>
      </c>
      <c r="E28" s="135">
        <v>250000</v>
      </c>
      <c r="F28" s="400">
        <f t="shared" si="24"/>
        <v>0</v>
      </c>
      <c r="G28" s="161">
        <f t="shared" si="25"/>
        <v>0</v>
      </c>
      <c r="H28" s="401">
        <f t="shared" si="33"/>
        <v>0</v>
      </c>
      <c r="I28" s="401">
        <f t="shared" si="34"/>
        <v>0</v>
      </c>
      <c r="J28" s="161"/>
      <c r="K28" s="161"/>
      <c r="L28" s="161"/>
      <c r="M28" s="161"/>
      <c r="N28" s="161"/>
      <c r="O28" s="161"/>
      <c r="P28" s="161"/>
      <c r="Q28" s="161"/>
      <c r="R28" s="145"/>
      <c r="S28" s="145">
        <f t="shared" si="36"/>
        <v>0</v>
      </c>
      <c r="T28" s="145"/>
      <c r="U28" s="145"/>
      <c r="V28" s="388">
        <f t="shared" si="37"/>
        <v>0</v>
      </c>
      <c r="W28" s="388">
        <f t="shared" si="38"/>
        <v>0</v>
      </c>
      <c r="X28" s="388">
        <f t="shared" si="39"/>
        <v>0</v>
      </c>
      <c r="Y28" s="388">
        <f t="shared" si="40"/>
        <v>0</v>
      </c>
      <c r="Z28" s="145">
        <v>0</v>
      </c>
      <c r="AA28" s="145">
        <f t="shared" si="3"/>
        <v>0</v>
      </c>
      <c r="AB28" s="145">
        <v>0</v>
      </c>
      <c r="AC28" s="164">
        <f t="shared" si="13"/>
        <v>0</v>
      </c>
      <c r="AD28" s="145"/>
      <c r="AE28" s="164">
        <f t="shared" si="14"/>
        <v>0</v>
      </c>
      <c r="AF28" s="145">
        <v>0</v>
      </c>
      <c r="AG28" s="164">
        <f t="shared" si="15"/>
        <v>0</v>
      </c>
      <c r="AH28" s="145"/>
      <c r="AI28" s="164">
        <f t="shared" si="16"/>
        <v>0</v>
      </c>
      <c r="AJ28" s="145">
        <v>0</v>
      </c>
      <c r="AK28" s="164">
        <f t="shared" si="26"/>
        <v>0</v>
      </c>
      <c r="AL28" s="145"/>
      <c r="AM28" s="164">
        <f t="shared" si="17"/>
        <v>0</v>
      </c>
      <c r="AN28" s="145"/>
      <c r="AO28" s="164">
        <f t="shared" si="27"/>
        <v>0</v>
      </c>
      <c r="AP28" s="145"/>
      <c r="AQ28" s="164">
        <f t="shared" si="18"/>
        <v>0</v>
      </c>
      <c r="AR28" s="145"/>
      <c r="AS28" s="164">
        <f t="shared" si="19"/>
        <v>0</v>
      </c>
      <c r="AT28" s="145"/>
      <c r="AU28" s="164">
        <f t="shared" si="28"/>
        <v>0</v>
      </c>
      <c r="AV28" s="145"/>
      <c r="AW28" s="164">
        <f t="shared" si="29"/>
        <v>0</v>
      </c>
      <c r="AX28" s="145"/>
      <c r="AY28" s="164">
        <f t="shared" si="30"/>
        <v>0</v>
      </c>
      <c r="AZ28" s="145"/>
      <c r="BA28" s="164">
        <f t="shared" si="31"/>
        <v>0</v>
      </c>
      <c r="BB28" s="145"/>
      <c r="BC28" s="164">
        <f t="shared" si="20"/>
        <v>0</v>
      </c>
      <c r="BD28" s="145"/>
      <c r="BE28" s="164">
        <f t="shared" si="21"/>
        <v>0</v>
      </c>
      <c r="BF28" s="145"/>
      <c r="BG28" s="164">
        <f t="shared" si="22"/>
        <v>0</v>
      </c>
      <c r="BH28" s="145"/>
      <c r="BI28" s="164">
        <f t="shared" si="23"/>
        <v>0</v>
      </c>
      <c r="BJ28" s="145">
        <f t="shared" si="32"/>
        <v>0</v>
      </c>
      <c r="BK28" s="145">
        <f t="shared" si="32"/>
        <v>0</v>
      </c>
      <c r="BL28" s="403" t="s">
        <v>216</v>
      </c>
      <c r="BN28" s="163"/>
      <c r="BO28" s="163"/>
      <c r="BP28" s="163">
        <f t="shared" si="35"/>
        <v>0</v>
      </c>
      <c r="BQ28" s="163"/>
      <c r="BR28" s="163">
        <f t="shared" si="1"/>
        <v>0</v>
      </c>
      <c r="BS28" s="163"/>
      <c r="BT28" s="163"/>
      <c r="BU28" s="379">
        <f t="shared" si="5"/>
        <v>0</v>
      </c>
      <c r="BV28" s="164">
        <f t="shared" si="2"/>
        <v>0</v>
      </c>
    </row>
    <row r="29" spans="1:74" ht="31.5">
      <c r="A29" s="1010"/>
      <c r="B29" s="196"/>
      <c r="C29" s="134" t="s">
        <v>600</v>
      </c>
      <c r="D29" s="136" t="s">
        <v>16</v>
      </c>
      <c r="E29" s="135" t="s">
        <v>357</v>
      </c>
      <c r="F29" s="400">
        <f t="shared" si="24"/>
        <v>4</v>
      </c>
      <c r="G29" s="161">
        <f t="shared" si="25"/>
        <v>640000</v>
      </c>
      <c r="H29" s="401">
        <f t="shared" si="33"/>
        <v>128000</v>
      </c>
      <c r="I29" s="401">
        <f t="shared" si="34"/>
        <v>512000</v>
      </c>
      <c r="J29" s="161"/>
      <c r="K29" s="161"/>
      <c r="L29" s="161"/>
      <c r="M29" s="161"/>
      <c r="N29" s="161"/>
      <c r="O29" s="161"/>
      <c r="P29" s="161"/>
      <c r="Q29" s="161"/>
      <c r="R29" s="145"/>
      <c r="S29" s="145">
        <f t="shared" si="36"/>
        <v>4</v>
      </c>
      <c r="T29" s="145"/>
      <c r="U29" s="145"/>
      <c r="V29" s="388">
        <f t="shared" si="37"/>
        <v>0</v>
      </c>
      <c r="W29" s="388">
        <f t="shared" si="38"/>
        <v>640000</v>
      </c>
      <c r="X29" s="388">
        <f t="shared" si="39"/>
        <v>0</v>
      </c>
      <c r="Y29" s="388">
        <f t="shared" si="40"/>
        <v>0</v>
      </c>
      <c r="Z29" s="145">
        <v>1</v>
      </c>
      <c r="AA29" s="145">
        <f t="shared" si="3"/>
        <v>160000</v>
      </c>
      <c r="AB29" s="145">
        <v>1</v>
      </c>
      <c r="AC29" s="164">
        <f t="shared" si="13"/>
        <v>160000</v>
      </c>
      <c r="AD29" s="145">
        <v>0</v>
      </c>
      <c r="AE29" s="164">
        <f t="shared" si="14"/>
        <v>0</v>
      </c>
      <c r="AF29" s="145">
        <v>0</v>
      </c>
      <c r="AG29" s="164">
        <f t="shared" si="15"/>
        <v>0</v>
      </c>
      <c r="AH29" s="145">
        <v>1</v>
      </c>
      <c r="AI29" s="164">
        <f t="shared" si="16"/>
        <v>160000</v>
      </c>
      <c r="AJ29" s="145">
        <v>1</v>
      </c>
      <c r="AK29" s="164">
        <f t="shared" si="26"/>
        <v>160000</v>
      </c>
      <c r="AL29" s="145">
        <v>0</v>
      </c>
      <c r="AM29" s="164">
        <f t="shared" si="17"/>
        <v>0</v>
      </c>
      <c r="AN29" s="145">
        <v>0</v>
      </c>
      <c r="AO29" s="164">
        <f t="shared" si="27"/>
        <v>0</v>
      </c>
      <c r="AP29" s="145">
        <v>0</v>
      </c>
      <c r="AQ29" s="164">
        <f t="shared" si="18"/>
        <v>0</v>
      </c>
      <c r="AR29" s="145">
        <v>0</v>
      </c>
      <c r="AS29" s="164">
        <f t="shared" si="19"/>
        <v>0</v>
      </c>
      <c r="AT29" s="145">
        <v>0</v>
      </c>
      <c r="AU29" s="164">
        <f t="shared" si="28"/>
        <v>0</v>
      </c>
      <c r="AV29" s="145">
        <v>0</v>
      </c>
      <c r="AW29" s="164">
        <f t="shared" si="29"/>
        <v>0</v>
      </c>
      <c r="AX29" s="145">
        <v>0</v>
      </c>
      <c r="AY29" s="164">
        <f t="shared" si="30"/>
        <v>0</v>
      </c>
      <c r="AZ29" s="145">
        <v>0</v>
      </c>
      <c r="BA29" s="164">
        <f t="shared" si="31"/>
        <v>0</v>
      </c>
      <c r="BB29" s="145">
        <v>0</v>
      </c>
      <c r="BC29" s="164">
        <f t="shared" si="20"/>
        <v>0</v>
      </c>
      <c r="BD29" s="145">
        <v>0</v>
      </c>
      <c r="BE29" s="164">
        <f t="shared" si="21"/>
        <v>0</v>
      </c>
      <c r="BF29" s="145">
        <v>0</v>
      </c>
      <c r="BG29" s="164">
        <f t="shared" si="22"/>
        <v>0</v>
      </c>
      <c r="BH29" s="145"/>
      <c r="BI29" s="164">
        <f t="shared" si="23"/>
        <v>0</v>
      </c>
      <c r="BJ29" s="145">
        <f t="shared" si="32"/>
        <v>4</v>
      </c>
      <c r="BK29" s="145">
        <f t="shared" si="32"/>
        <v>640000</v>
      </c>
      <c r="BL29" s="403" t="s">
        <v>216</v>
      </c>
      <c r="BN29" s="163"/>
      <c r="BO29" s="163"/>
      <c r="BP29" s="163">
        <f t="shared" si="35"/>
        <v>640000</v>
      </c>
      <c r="BQ29" s="163"/>
      <c r="BR29" s="163">
        <f t="shared" si="1"/>
        <v>640000</v>
      </c>
      <c r="BS29" s="163"/>
      <c r="BT29" s="163"/>
      <c r="BU29" s="379">
        <f t="shared" si="5"/>
        <v>0</v>
      </c>
      <c r="BV29" s="164">
        <f t="shared" si="2"/>
        <v>640000</v>
      </c>
    </row>
    <row r="30" spans="1:74" s="23" customFormat="1" ht="24.2" customHeight="1">
      <c r="A30" s="1010"/>
      <c r="B30" s="228"/>
      <c r="C30" s="158" t="s">
        <v>363</v>
      </c>
      <c r="D30" s="176"/>
      <c r="E30" s="177"/>
      <c r="F30" s="409">
        <f>SUM(F18:F29)</f>
        <v>537</v>
      </c>
      <c r="G30" s="409">
        <f t="shared" ref="G30:BR30" si="41">SUM(G18:G29)</f>
        <v>15292000</v>
      </c>
      <c r="H30" s="409">
        <f t="shared" si="41"/>
        <v>6670400</v>
      </c>
      <c r="I30" s="409">
        <f t="shared" si="41"/>
        <v>8621600</v>
      </c>
      <c r="J30" s="409">
        <f t="shared" si="41"/>
        <v>0</v>
      </c>
      <c r="K30" s="409">
        <f t="shared" si="41"/>
        <v>0</v>
      </c>
      <c r="L30" s="409">
        <f t="shared" si="41"/>
        <v>0</v>
      </c>
      <c r="M30" s="409">
        <f t="shared" si="41"/>
        <v>0</v>
      </c>
      <c r="N30" s="409">
        <f t="shared" si="41"/>
        <v>0</v>
      </c>
      <c r="O30" s="409">
        <f t="shared" si="41"/>
        <v>0</v>
      </c>
      <c r="P30" s="409">
        <f t="shared" si="41"/>
        <v>0</v>
      </c>
      <c r="Q30" s="409">
        <f t="shared" si="41"/>
        <v>0</v>
      </c>
      <c r="R30" s="409">
        <f t="shared" si="41"/>
        <v>121</v>
      </c>
      <c r="S30" s="409">
        <f t="shared" si="41"/>
        <v>177</v>
      </c>
      <c r="T30" s="409">
        <f t="shared" si="41"/>
        <v>120</v>
      </c>
      <c r="U30" s="409">
        <f t="shared" si="41"/>
        <v>119</v>
      </c>
      <c r="V30" s="409">
        <f t="shared" si="41"/>
        <v>3228000</v>
      </c>
      <c r="W30" s="409">
        <f t="shared" si="41"/>
        <v>5788000</v>
      </c>
      <c r="X30" s="409">
        <f t="shared" si="41"/>
        <v>3148000</v>
      </c>
      <c r="Y30" s="409">
        <f t="shared" si="41"/>
        <v>3128000</v>
      </c>
      <c r="Z30" s="409">
        <f t="shared" si="41"/>
        <v>32</v>
      </c>
      <c r="AA30" s="409">
        <f t="shared" si="41"/>
        <v>1016000</v>
      </c>
      <c r="AB30" s="409">
        <f t="shared" si="41"/>
        <v>32</v>
      </c>
      <c r="AC30" s="409">
        <f t="shared" si="41"/>
        <v>1016000</v>
      </c>
      <c r="AD30" s="409">
        <f t="shared" si="41"/>
        <v>31</v>
      </c>
      <c r="AE30" s="409">
        <f t="shared" si="41"/>
        <v>856000</v>
      </c>
      <c r="AF30" s="409">
        <f t="shared" si="41"/>
        <v>35</v>
      </c>
      <c r="AG30" s="409">
        <f t="shared" si="41"/>
        <v>1056000</v>
      </c>
      <c r="AH30" s="409">
        <f t="shared" si="41"/>
        <v>32</v>
      </c>
      <c r="AI30" s="409">
        <f t="shared" si="41"/>
        <v>1016000</v>
      </c>
      <c r="AJ30" s="409">
        <f t="shared" si="41"/>
        <v>32</v>
      </c>
      <c r="AK30" s="409">
        <f t="shared" si="41"/>
        <v>1016000</v>
      </c>
      <c r="AL30" s="409">
        <f t="shared" si="41"/>
        <v>31</v>
      </c>
      <c r="AM30" s="409">
        <f t="shared" si="41"/>
        <v>856000</v>
      </c>
      <c r="AN30" s="409">
        <f t="shared" si="41"/>
        <v>31</v>
      </c>
      <c r="AO30" s="409">
        <f t="shared" si="41"/>
        <v>856000</v>
      </c>
      <c r="AP30" s="409">
        <f t="shared" si="41"/>
        <v>31</v>
      </c>
      <c r="AQ30" s="409">
        <f t="shared" si="41"/>
        <v>856000</v>
      </c>
      <c r="AR30" s="409">
        <f t="shared" si="41"/>
        <v>31</v>
      </c>
      <c r="AS30" s="409">
        <f t="shared" si="41"/>
        <v>856000</v>
      </c>
      <c r="AT30" s="409">
        <f t="shared" si="41"/>
        <v>31</v>
      </c>
      <c r="AU30" s="409">
        <f t="shared" si="41"/>
        <v>856000</v>
      </c>
      <c r="AV30" s="409">
        <f t="shared" si="41"/>
        <v>32</v>
      </c>
      <c r="AW30" s="409">
        <f t="shared" si="41"/>
        <v>906000</v>
      </c>
      <c r="AX30" s="409">
        <f t="shared" si="41"/>
        <v>32</v>
      </c>
      <c r="AY30" s="409">
        <f t="shared" si="41"/>
        <v>906000</v>
      </c>
      <c r="AZ30" s="409">
        <f t="shared" si="41"/>
        <v>31</v>
      </c>
      <c r="BA30" s="409">
        <f t="shared" si="41"/>
        <v>656000</v>
      </c>
      <c r="BB30" s="409">
        <f t="shared" si="41"/>
        <v>31</v>
      </c>
      <c r="BC30" s="409">
        <f t="shared" si="41"/>
        <v>856000</v>
      </c>
      <c r="BD30" s="409">
        <f t="shared" si="41"/>
        <v>31</v>
      </c>
      <c r="BE30" s="409">
        <f t="shared" si="41"/>
        <v>856000</v>
      </c>
      <c r="BF30" s="409">
        <f t="shared" si="41"/>
        <v>31</v>
      </c>
      <c r="BG30" s="409">
        <f t="shared" si="41"/>
        <v>856000</v>
      </c>
      <c r="BH30" s="409">
        <f t="shared" si="41"/>
        <v>0</v>
      </c>
      <c r="BI30" s="409">
        <f t="shared" si="41"/>
        <v>0</v>
      </c>
      <c r="BJ30" s="409">
        <f t="shared" si="41"/>
        <v>537</v>
      </c>
      <c r="BK30" s="409">
        <f t="shared" si="41"/>
        <v>15292000</v>
      </c>
      <c r="BL30" s="409">
        <f t="shared" si="41"/>
        <v>0</v>
      </c>
      <c r="BM30" s="409">
        <f t="shared" si="41"/>
        <v>0</v>
      </c>
      <c r="BN30" s="409">
        <f t="shared" si="41"/>
        <v>0</v>
      </c>
      <c r="BO30" s="409">
        <f t="shared" si="41"/>
        <v>0</v>
      </c>
      <c r="BP30" s="409">
        <f t="shared" si="41"/>
        <v>2980000</v>
      </c>
      <c r="BQ30" s="409">
        <f t="shared" si="41"/>
        <v>0</v>
      </c>
      <c r="BR30" s="409">
        <f t="shared" si="41"/>
        <v>2880000</v>
      </c>
      <c r="BS30" s="409">
        <f>SUM(BS18:BS29)</f>
        <v>0</v>
      </c>
      <c r="BT30" s="409">
        <f>SUM(BT18:BT29)</f>
        <v>12412000</v>
      </c>
      <c r="BU30" s="409">
        <f>SUM(BU18:BU29)</f>
        <v>12412000</v>
      </c>
      <c r="BV30" s="409">
        <f>SUM(BV18:BV29)</f>
        <v>15292000</v>
      </c>
    </row>
    <row r="31" spans="1:74">
      <c r="A31" s="1010"/>
      <c r="B31" s="196"/>
      <c r="C31" s="196" t="s">
        <v>331</v>
      </c>
      <c r="D31" s="196" t="s">
        <v>347</v>
      </c>
      <c r="E31" s="312"/>
      <c r="F31" s="410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45"/>
      <c r="S31" s="145"/>
      <c r="T31" s="145"/>
      <c r="U31" s="145"/>
      <c r="V31" s="388"/>
      <c r="W31" s="388"/>
      <c r="X31" s="388"/>
      <c r="Y31" s="388"/>
      <c r="Z31" s="145"/>
      <c r="AA31" s="145"/>
      <c r="AB31" s="145"/>
      <c r="AC31" s="164"/>
      <c r="AD31" s="145"/>
      <c r="AE31" s="164"/>
      <c r="AF31" s="145"/>
      <c r="AG31" s="164"/>
      <c r="AH31" s="145"/>
      <c r="AI31" s="164"/>
      <c r="AJ31" s="145"/>
      <c r="AK31" s="164"/>
      <c r="AL31" s="145"/>
      <c r="AM31" s="164"/>
      <c r="AN31" s="145"/>
      <c r="AO31" s="164"/>
      <c r="AP31" s="145"/>
      <c r="AQ31" s="164"/>
      <c r="AR31" s="145"/>
      <c r="AS31" s="164"/>
      <c r="AT31" s="145"/>
      <c r="AU31" s="164"/>
      <c r="AV31" s="145"/>
      <c r="AW31" s="164"/>
      <c r="AX31" s="145"/>
      <c r="AY31" s="164"/>
      <c r="AZ31" s="145"/>
      <c r="BA31" s="164"/>
      <c r="BB31" s="145"/>
      <c r="BC31" s="164"/>
      <c r="BD31" s="145"/>
      <c r="BE31" s="164"/>
      <c r="BF31" s="145"/>
      <c r="BG31" s="164"/>
      <c r="BH31" s="145"/>
      <c r="BI31" s="164"/>
      <c r="BJ31" s="145"/>
      <c r="BK31" s="378"/>
      <c r="BL31" s="403"/>
      <c r="BN31" s="163"/>
      <c r="BO31" s="163"/>
      <c r="BP31" s="174">
        <f>G31</f>
        <v>0</v>
      </c>
      <c r="BQ31" s="163"/>
      <c r="BR31" s="163">
        <f t="shared" ref="BR31:BR47" si="42">BN31+BO31+BP31+BQ31</f>
        <v>0</v>
      </c>
      <c r="BS31" s="163"/>
      <c r="BT31" s="163"/>
      <c r="BU31" s="379">
        <f t="shared" ref="BU31:BU54" si="43">BS31+BT31</f>
        <v>0</v>
      </c>
      <c r="BV31" s="164">
        <f t="shared" si="2"/>
        <v>0</v>
      </c>
    </row>
    <row r="32" spans="1:74">
      <c r="A32" s="1010"/>
      <c r="B32" s="196"/>
      <c r="C32" s="196" t="s">
        <v>332</v>
      </c>
      <c r="D32" s="196" t="s">
        <v>347</v>
      </c>
      <c r="E32" s="312"/>
      <c r="F32" s="410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45"/>
      <c r="S32" s="145"/>
      <c r="T32" s="145"/>
      <c r="U32" s="145"/>
      <c r="V32" s="388"/>
      <c r="W32" s="388"/>
      <c r="X32" s="388"/>
      <c r="Y32" s="388"/>
      <c r="Z32" s="145"/>
      <c r="AA32" s="145"/>
      <c r="AB32" s="145"/>
      <c r="AC32" s="164"/>
      <c r="AD32" s="145"/>
      <c r="AE32" s="164"/>
      <c r="AF32" s="145"/>
      <c r="AG32" s="164"/>
      <c r="AH32" s="145"/>
      <c r="AI32" s="164"/>
      <c r="AJ32" s="145"/>
      <c r="AK32" s="164"/>
      <c r="AL32" s="145"/>
      <c r="AM32" s="164"/>
      <c r="AN32" s="145"/>
      <c r="AO32" s="164"/>
      <c r="AP32" s="145"/>
      <c r="AQ32" s="164"/>
      <c r="AR32" s="145"/>
      <c r="AS32" s="164"/>
      <c r="AT32" s="145"/>
      <c r="AU32" s="164"/>
      <c r="AV32" s="145"/>
      <c r="AW32" s="164"/>
      <c r="AX32" s="145"/>
      <c r="AY32" s="164"/>
      <c r="AZ32" s="145"/>
      <c r="BA32" s="164"/>
      <c r="BB32" s="145"/>
      <c r="BC32" s="164"/>
      <c r="BD32" s="145"/>
      <c r="BE32" s="164"/>
      <c r="BF32" s="145"/>
      <c r="BG32" s="164"/>
      <c r="BH32" s="145"/>
      <c r="BI32" s="164"/>
      <c r="BJ32" s="145"/>
      <c r="BK32" s="378"/>
      <c r="BL32" s="403"/>
      <c r="BN32" s="163"/>
      <c r="BO32" s="163"/>
      <c r="BP32" s="174">
        <f>G32</f>
        <v>0</v>
      </c>
      <c r="BQ32" s="163"/>
      <c r="BR32" s="163">
        <f t="shared" si="42"/>
        <v>0</v>
      </c>
      <c r="BS32" s="163"/>
      <c r="BT32" s="163"/>
      <c r="BU32" s="379">
        <f t="shared" si="43"/>
        <v>0</v>
      </c>
      <c r="BV32" s="164">
        <f t="shared" si="2"/>
        <v>0</v>
      </c>
    </row>
    <row r="33" spans="1:74">
      <c r="A33" s="1010"/>
      <c r="B33" s="196"/>
      <c r="C33" s="196" t="s">
        <v>333</v>
      </c>
      <c r="D33" s="196" t="s">
        <v>347</v>
      </c>
      <c r="E33" s="312"/>
      <c r="F33" s="410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45"/>
      <c r="S33" s="145"/>
      <c r="T33" s="145"/>
      <c r="U33" s="145"/>
      <c r="V33" s="388"/>
      <c r="W33" s="388"/>
      <c r="X33" s="388"/>
      <c r="Y33" s="388"/>
      <c r="Z33" s="145"/>
      <c r="AA33" s="145"/>
      <c r="AB33" s="145"/>
      <c r="AC33" s="164"/>
      <c r="AD33" s="145"/>
      <c r="AE33" s="164"/>
      <c r="AF33" s="145"/>
      <c r="AG33" s="164"/>
      <c r="AH33" s="145"/>
      <c r="AI33" s="164"/>
      <c r="AJ33" s="145"/>
      <c r="AK33" s="164"/>
      <c r="AL33" s="145"/>
      <c r="AM33" s="164"/>
      <c r="AN33" s="145"/>
      <c r="AO33" s="164"/>
      <c r="AP33" s="145"/>
      <c r="AQ33" s="164"/>
      <c r="AR33" s="145"/>
      <c r="AS33" s="164"/>
      <c r="AT33" s="145"/>
      <c r="AU33" s="164"/>
      <c r="AV33" s="145"/>
      <c r="AW33" s="164"/>
      <c r="AX33" s="145"/>
      <c r="AY33" s="164"/>
      <c r="AZ33" s="145"/>
      <c r="BA33" s="164"/>
      <c r="BB33" s="145"/>
      <c r="BC33" s="164"/>
      <c r="BD33" s="145"/>
      <c r="BE33" s="164"/>
      <c r="BF33" s="145"/>
      <c r="BG33" s="164"/>
      <c r="BH33" s="145"/>
      <c r="BI33" s="164"/>
      <c r="BJ33" s="145"/>
      <c r="BK33" s="378"/>
      <c r="BL33" s="403"/>
      <c r="BN33" s="163"/>
      <c r="BO33" s="163"/>
      <c r="BP33" s="174">
        <f>G33</f>
        <v>0</v>
      </c>
      <c r="BQ33" s="163"/>
      <c r="BR33" s="163">
        <f t="shared" si="42"/>
        <v>0</v>
      </c>
      <c r="BS33" s="163"/>
      <c r="BT33" s="163"/>
      <c r="BU33" s="379">
        <f t="shared" si="43"/>
        <v>0</v>
      </c>
      <c r="BV33" s="164">
        <f t="shared" si="2"/>
        <v>0</v>
      </c>
    </row>
    <row r="34" spans="1:74">
      <c r="A34" s="1010"/>
      <c r="B34" s="196"/>
      <c r="C34" s="166" t="s">
        <v>334</v>
      </c>
      <c r="D34" s="196" t="s">
        <v>347</v>
      </c>
      <c r="E34" s="135">
        <v>50000</v>
      </c>
      <c r="F34" s="410">
        <f>BJ34</f>
        <v>204</v>
      </c>
      <c r="G34" s="161">
        <f>F34*E34</f>
        <v>10200000</v>
      </c>
      <c r="H34" s="161">
        <f>G34*0.5</f>
        <v>5100000</v>
      </c>
      <c r="I34" s="161">
        <f>G34*0.5</f>
        <v>5100000</v>
      </c>
      <c r="J34" s="161"/>
      <c r="K34" s="161"/>
      <c r="L34" s="161"/>
      <c r="M34" s="161"/>
      <c r="N34" s="161"/>
      <c r="O34" s="161"/>
      <c r="P34" s="161"/>
      <c r="Q34" s="161"/>
      <c r="R34" s="145">
        <f>F34*0.25</f>
        <v>51</v>
      </c>
      <c r="S34" s="145">
        <f>F34*0.25</f>
        <v>51</v>
      </c>
      <c r="T34" s="145">
        <f>F34*0.25</f>
        <v>51</v>
      </c>
      <c r="U34" s="145">
        <f>F34*0.25</f>
        <v>51</v>
      </c>
      <c r="V34" s="388">
        <f t="shared" si="37"/>
        <v>2550000</v>
      </c>
      <c r="W34" s="388">
        <f t="shared" si="38"/>
        <v>2550000</v>
      </c>
      <c r="X34" s="388">
        <f t="shared" si="39"/>
        <v>2550000</v>
      </c>
      <c r="Y34" s="388">
        <f t="shared" si="40"/>
        <v>2550000</v>
      </c>
      <c r="Z34" s="145">
        <v>12</v>
      </c>
      <c r="AA34" s="145">
        <f t="shared" ref="AA34:AA47" si="44">Z34*E34</f>
        <v>600000</v>
      </c>
      <c r="AB34" s="145">
        <v>12</v>
      </c>
      <c r="AC34" s="164">
        <f t="shared" ref="AC34:AC47" si="45">AB34*E34</f>
        <v>600000</v>
      </c>
      <c r="AD34" s="145">
        <v>12</v>
      </c>
      <c r="AE34" s="164">
        <f t="shared" ref="AE34:AE47" si="46">AD34*E34</f>
        <v>600000</v>
      </c>
      <c r="AF34" s="145">
        <v>12</v>
      </c>
      <c r="AG34" s="164">
        <f t="shared" ref="AG34:AG47" si="47">AF34*E34</f>
        <v>600000</v>
      </c>
      <c r="AH34" s="145">
        <v>12</v>
      </c>
      <c r="AI34" s="164">
        <f t="shared" ref="AI34:AI47" si="48">AH34*E34</f>
        <v>600000</v>
      </c>
      <c r="AJ34" s="145">
        <v>12</v>
      </c>
      <c r="AK34" s="164">
        <f>AJ34*E34</f>
        <v>600000</v>
      </c>
      <c r="AL34" s="145">
        <v>12</v>
      </c>
      <c r="AM34" s="164">
        <f t="shared" ref="AM34:AM47" si="49">AL34*E34</f>
        <v>600000</v>
      </c>
      <c r="AN34" s="145">
        <v>12</v>
      </c>
      <c r="AO34" s="164">
        <f>AN34*E34</f>
        <v>600000</v>
      </c>
      <c r="AP34" s="145">
        <v>12</v>
      </c>
      <c r="AQ34" s="164">
        <f t="shared" ref="AQ34:AQ47" si="50">AP34*E34</f>
        <v>600000</v>
      </c>
      <c r="AR34" s="145">
        <v>12</v>
      </c>
      <c r="AS34" s="164">
        <f t="shared" ref="AS34:AS47" si="51">AR34*E34</f>
        <v>600000</v>
      </c>
      <c r="AT34" s="145">
        <v>12</v>
      </c>
      <c r="AU34" s="164">
        <f>AT34*E34</f>
        <v>600000</v>
      </c>
      <c r="AV34" s="145">
        <v>12</v>
      </c>
      <c r="AW34" s="164">
        <f>AV34*E34</f>
        <v>600000</v>
      </c>
      <c r="AX34" s="145">
        <v>12</v>
      </c>
      <c r="AY34" s="164">
        <f>AX34*E34</f>
        <v>600000</v>
      </c>
      <c r="AZ34" s="145">
        <v>12</v>
      </c>
      <c r="BA34" s="164">
        <f>AZ34*E34</f>
        <v>600000</v>
      </c>
      <c r="BB34" s="145">
        <v>12</v>
      </c>
      <c r="BC34" s="164">
        <f t="shared" ref="BC34:BC47" si="52">BB34*E34</f>
        <v>600000</v>
      </c>
      <c r="BD34" s="145">
        <v>12</v>
      </c>
      <c r="BE34" s="164">
        <f t="shared" ref="BE34:BE47" si="53">BD34*E34</f>
        <v>600000</v>
      </c>
      <c r="BF34" s="145">
        <v>12</v>
      </c>
      <c r="BG34" s="164">
        <f t="shared" ref="BG34:BG47" si="54">BF34*E34</f>
        <v>600000</v>
      </c>
      <c r="BH34" s="145"/>
      <c r="BI34" s="164">
        <f t="shared" ref="BI34:BI47" si="55">BH34*E34</f>
        <v>0</v>
      </c>
      <c r="BJ34" s="145">
        <f t="shared" ref="BJ34:BK47" si="56">BH34+BF34+BD34+BB34+AZ34+AX34+AV34+AT34+AR34+AP34+AN34+AL34+AJ34+AH34+AF34+AD34+AB34+Z34</f>
        <v>204</v>
      </c>
      <c r="BK34" s="145">
        <f t="shared" si="56"/>
        <v>10200000</v>
      </c>
      <c r="BL34" s="403" t="s">
        <v>218</v>
      </c>
      <c r="BN34" s="163"/>
      <c r="BO34" s="163"/>
      <c r="BP34" s="174"/>
      <c r="BQ34" s="163"/>
      <c r="BR34" s="163">
        <f t="shared" si="42"/>
        <v>0</v>
      </c>
      <c r="BS34" s="163">
        <f>G34</f>
        <v>10200000</v>
      </c>
      <c r="BT34" s="163"/>
      <c r="BU34" s="379">
        <f t="shared" si="43"/>
        <v>10200000</v>
      </c>
      <c r="BV34" s="164">
        <f t="shared" si="2"/>
        <v>10200000</v>
      </c>
    </row>
    <row r="35" spans="1:74">
      <c r="A35" s="1010"/>
      <c r="B35" s="196"/>
      <c r="C35" s="166" t="s">
        <v>136</v>
      </c>
      <c r="D35" s="196" t="s">
        <v>347</v>
      </c>
      <c r="E35" s="135">
        <v>50000</v>
      </c>
      <c r="F35" s="410">
        <f t="shared" ref="F35:F47" si="57">BJ35</f>
        <v>204</v>
      </c>
      <c r="G35" s="161">
        <f t="shared" ref="G35:G47" si="58">F35*E35</f>
        <v>10200000</v>
      </c>
      <c r="H35" s="161">
        <f t="shared" ref="H35:H46" si="59">G35*0.5</f>
        <v>5100000</v>
      </c>
      <c r="I35" s="161">
        <f t="shared" ref="I35:I46" si="60">G35*0.5</f>
        <v>5100000</v>
      </c>
      <c r="J35" s="161"/>
      <c r="K35" s="161"/>
      <c r="L35" s="161"/>
      <c r="M35" s="161"/>
      <c r="N35" s="161"/>
      <c r="O35" s="161"/>
      <c r="P35" s="161"/>
      <c r="Q35" s="161"/>
      <c r="R35" s="145">
        <f t="shared" ref="R35:R47" si="61">F35*0.25</f>
        <v>51</v>
      </c>
      <c r="S35" s="145">
        <f t="shared" ref="S35:S47" si="62">F35*0.25</f>
        <v>51</v>
      </c>
      <c r="T35" s="145">
        <f t="shared" ref="T35:T47" si="63">F35*0.25</f>
        <v>51</v>
      </c>
      <c r="U35" s="145">
        <f t="shared" ref="U35:U47" si="64">F35*0.25</f>
        <v>51</v>
      </c>
      <c r="V35" s="388">
        <f t="shared" si="37"/>
        <v>2550000</v>
      </c>
      <c r="W35" s="388">
        <f t="shared" si="38"/>
        <v>2550000</v>
      </c>
      <c r="X35" s="388">
        <f t="shared" si="39"/>
        <v>2550000</v>
      </c>
      <c r="Y35" s="388">
        <f t="shared" si="40"/>
        <v>2550000</v>
      </c>
      <c r="Z35" s="145">
        <v>12</v>
      </c>
      <c r="AA35" s="145">
        <f t="shared" si="44"/>
        <v>600000</v>
      </c>
      <c r="AB35" s="145">
        <v>12</v>
      </c>
      <c r="AC35" s="164">
        <f t="shared" si="45"/>
        <v>600000</v>
      </c>
      <c r="AD35" s="145">
        <v>12</v>
      </c>
      <c r="AE35" s="164">
        <f t="shared" si="46"/>
        <v>600000</v>
      </c>
      <c r="AF35" s="145">
        <v>12</v>
      </c>
      <c r="AG35" s="164">
        <f t="shared" si="47"/>
        <v>600000</v>
      </c>
      <c r="AH35" s="145">
        <v>12</v>
      </c>
      <c r="AI35" s="164">
        <f t="shared" si="48"/>
        <v>600000</v>
      </c>
      <c r="AJ35" s="145">
        <v>12</v>
      </c>
      <c r="AK35" s="164">
        <f t="shared" ref="AK35:AK47" si="65">AJ35*E35</f>
        <v>600000</v>
      </c>
      <c r="AL35" s="145">
        <v>12</v>
      </c>
      <c r="AM35" s="164">
        <f t="shared" si="49"/>
        <v>600000</v>
      </c>
      <c r="AN35" s="145">
        <v>12</v>
      </c>
      <c r="AO35" s="164">
        <f t="shared" ref="AO35:AO47" si="66">AN35*E35</f>
        <v>600000</v>
      </c>
      <c r="AP35" s="145">
        <v>12</v>
      </c>
      <c r="AQ35" s="164">
        <f t="shared" si="50"/>
        <v>600000</v>
      </c>
      <c r="AR35" s="145">
        <v>12</v>
      </c>
      <c r="AS35" s="164">
        <f t="shared" si="51"/>
        <v>600000</v>
      </c>
      <c r="AT35" s="145">
        <v>12</v>
      </c>
      <c r="AU35" s="164">
        <f t="shared" ref="AU35:AU47" si="67">AT35*E35</f>
        <v>600000</v>
      </c>
      <c r="AV35" s="145">
        <v>12</v>
      </c>
      <c r="AW35" s="164">
        <f t="shared" ref="AW35:AW47" si="68">AV35*E35</f>
        <v>600000</v>
      </c>
      <c r="AX35" s="145">
        <v>12</v>
      </c>
      <c r="AY35" s="164">
        <f t="shared" ref="AY35:AY47" si="69">AX35*E35</f>
        <v>600000</v>
      </c>
      <c r="AZ35" s="145">
        <v>12</v>
      </c>
      <c r="BA35" s="164">
        <f t="shared" ref="BA35:BA47" si="70">AZ35*E35</f>
        <v>600000</v>
      </c>
      <c r="BB35" s="145">
        <v>12</v>
      </c>
      <c r="BC35" s="164">
        <f t="shared" si="52"/>
        <v>600000</v>
      </c>
      <c r="BD35" s="145">
        <v>12</v>
      </c>
      <c r="BE35" s="164">
        <f t="shared" si="53"/>
        <v>600000</v>
      </c>
      <c r="BF35" s="145">
        <v>12</v>
      </c>
      <c r="BG35" s="164">
        <f t="shared" si="54"/>
        <v>600000</v>
      </c>
      <c r="BH35" s="145"/>
      <c r="BI35" s="164">
        <f t="shared" si="55"/>
        <v>0</v>
      </c>
      <c r="BJ35" s="145">
        <f t="shared" si="56"/>
        <v>204</v>
      </c>
      <c r="BK35" s="145">
        <f t="shared" si="56"/>
        <v>10200000</v>
      </c>
      <c r="BL35" s="403" t="s">
        <v>218</v>
      </c>
      <c r="BN35" s="163"/>
      <c r="BO35" s="163"/>
      <c r="BP35" s="174"/>
      <c r="BQ35" s="163"/>
      <c r="BR35" s="163">
        <f t="shared" si="42"/>
        <v>0</v>
      </c>
      <c r="BS35" s="163">
        <f t="shared" ref="BS35:BS47" si="71">G35</f>
        <v>10200000</v>
      </c>
      <c r="BT35" s="163"/>
      <c r="BU35" s="379">
        <f t="shared" si="43"/>
        <v>10200000</v>
      </c>
      <c r="BV35" s="164">
        <f t="shared" si="2"/>
        <v>10200000</v>
      </c>
    </row>
    <row r="36" spans="1:74">
      <c r="A36" s="1010"/>
      <c r="B36" s="196"/>
      <c r="C36" s="166" t="s">
        <v>335</v>
      </c>
      <c r="D36" s="196" t="s">
        <v>347</v>
      </c>
      <c r="E36" s="135">
        <v>0</v>
      </c>
      <c r="F36" s="410">
        <f t="shared" si="57"/>
        <v>178</v>
      </c>
      <c r="G36" s="161">
        <f t="shared" si="58"/>
        <v>0</v>
      </c>
      <c r="H36" s="161">
        <f t="shared" si="59"/>
        <v>0</v>
      </c>
      <c r="I36" s="161">
        <f t="shared" si="60"/>
        <v>0</v>
      </c>
      <c r="J36" s="161"/>
      <c r="K36" s="161"/>
      <c r="L36" s="161"/>
      <c r="M36" s="161"/>
      <c r="N36" s="161"/>
      <c r="O36" s="161"/>
      <c r="P36" s="161"/>
      <c r="Q36" s="161"/>
      <c r="R36" s="145">
        <f t="shared" si="61"/>
        <v>44.5</v>
      </c>
      <c r="S36" s="145">
        <f t="shared" si="62"/>
        <v>44.5</v>
      </c>
      <c r="T36" s="145">
        <f t="shared" si="63"/>
        <v>44.5</v>
      </c>
      <c r="U36" s="145">
        <f t="shared" si="64"/>
        <v>44.5</v>
      </c>
      <c r="V36" s="388">
        <f t="shared" si="37"/>
        <v>0</v>
      </c>
      <c r="W36" s="388">
        <f t="shared" si="38"/>
        <v>0</v>
      </c>
      <c r="X36" s="388">
        <f t="shared" si="39"/>
        <v>0</v>
      </c>
      <c r="Y36" s="388">
        <f t="shared" si="40"/>
        <v>0</v>
      </c>
      <c r="Z36" s="145">
        <v>10</v>
      </c>
      <c r="AA36" s="145">
        <f t="shared" si="44"/>
        <v>0</v>
      </c>
      <c r="AB36" s="145">
        <v>10</v>
      </c>
      <c r="AC36" s="164">
        <f t="shared" si="45"/>
        <v>0</v>
      </c>
      <c r="AD36" s="145">
        <v>11</v>
      </c>
      <c r="AE36" s="164">
        <f t="shared" si="46"/>
        <v>0</v>
      </c>
      <c r="AF36" s="145">
        <v>10</v>
      </c>
      <c r="AG36" s="164">
        <f t="shared" si="47"/>
        <v>0</v>
      </c>
      <c r="AH36" s="145">
        <v>11</v>
      </c>
      <c r="AI36" s="164">
        <f t="shared" si="48"/>
        <v>0</v>
      </c>
      <c r="AJ36" s="145">
        <v>11</v>
      </c>
      <c r="AK36" s="164">
        <f t="shared" si="65"/>
        <v>0</v>
      </c>
      <c r="AL36" s="145">
        <v>11</v>
      </c>
      <c r="AM36" s="164">
        <f t="shared" si="49"/>
        <v>0</v>
      </c>
      <c r="AN36" s="145">
        <v>11</v>
      </c>
      <c r="AO36" s="164">
        <f t="shared" si="66"/>
        <v>0</v>
      </c>
      <c r="AP36" s="145">
        <v>10</v>
      </c>
      <c r="AQ36" s="164">
        <f t="shared" si="50"/>
        <v>0</v>
      </c>
      <c r="AR36" s="145">
        <v>10</v>
      </c>
      <c r="AS36" s="164">
        <f t="shared" si="51"/>
        <v>0</v>
      </c>
      <c r="AT36" s="145">
        <v>11</v>
      </c>
      <c r="AU36" s="164">
        <f t="shared" si="67"/>
        <v>0</v>
      </c>
      <c r="AV36" s="145">
        <v>10</v>
      </c>
      <c r="AW36" s="164">
        <f t="shared" si="68"/>
        <v>0</v>
      </c>
      <c r="AX36" s="145">
        <v>10</v>
      </c>
      <c r="AY36" s="164">
        <f t="shared" si="69"/>
        <v>0</v>
      </c>
      <c r="AZ36" s="145">
        <v>11</v>
      </c>
      <c r="BA36" s="164">
        <f t="shared" si="70"/>
        <v>0</v>
      </c>
      <c r="BB36" s="145">
        <v>11</v>
      </c>
      <c r="BC36" s="164">
        <f t="shared" si="52"/>
        <v>0</v>
      </c>
      <c r="BD36" s="145">
        <v>10</v>
      </c>
      <c r="BE36" s="164">
        <f t="shared" si="53"/>
        <v>0</v>
      </c>
      <c r="BF36" s="145">
        <v>10</v>
      </c>
      <c r="BG36" s="164">
        <f t="shared" si="54"/>
        <v>0</v>
      </c>
      <c r="BH36" s="145"/>
      <c r="BI36" s="164">
        <f t="shared" si="55"/>
        <v>0</v>
      </c>
      <c r="BJ36" s="145">
        <f t="shared" si="56"/>
        <v>178</v>
      </c>
      <c r="BK36" s="145">
        <f t="shared" si="56"/>
        <v>0</v>
      </c>
      <c r="BL36" s="403" t="s">
        <v>218</v>
      </c>
      <c r="BN36" s="163"/>
      <c r="BO36" s="163"/>
      <c r="BP36" s="174"/>
      <c r="BQ36" s="163"/>
      <c r="BR36" s="163">
        <f t="shared" si="42"/>
        <v>0</v>
      </c>
      <c r="BS36" s="163">
        <f t="shared" si="71"/>
        <v>0</v>
      </c>
      <c r="BT36" s="163"/>
      <c r="BU36" s="379">
        <f t="shared" si="43"/>
        <v>0</v>
      </c>
      <c r="BV36" s="164">
        <f t="shared" si="2"/>
        <v>0</v>
      </c>
    </row>
    <row r="37" spans="1:74">
      <c r="A37" s="1010"/>
      <c r="B37" s="196"/>
      <c r="C37" s="166" t="s">
        <v>336</v>
      </c>
      <c r="D37" s="196" t="s">
        <v>347</v>
      </c>
      <c r="E37" s="135">
        <v>50000</v>
      </c>
      <c r="F37" s="410">
        <f t="shared" si="57"/>
        <v>0</v>
      </c>
      <c r="G37" s="161">
        <f t="shared" si="58"/>
        <v>0</v>
      </c>
      <c r="H37" s="161">
        <f t="shared" si="59"/>
        <v>0</v>
      </c>
      <c r="I37" s="161">
        <f t="shared" si="60"/>
        <v>0</v>
      </c>
      <c r="J37" s="161"/>
      <c r="K37" s="161"/>
      <c r="L37" s="161"/>
      <c r="M37" s="161"/>
      <c r="N37" s="161"/>
      <c r="O37" s="161"/>
      <c r="P37" s="161"/>
      <c r="Q37" s="161"/>
      <c r="R37" s="145">
        <f t="shared" si="61"/>
        <v>0</v>
      </c>
      <c r="S37" s="145">
        <f t="shared" si="62"/>
        <v>0</v>
      </c>
      <c r="T37" s="145">
        <f t="shared" si="63"/>
        <v>0</v>
      </c>
      <c r="U37" s="145">
        <f t="shared" si="64"/>
        <v>0</v>
      </c>
      <c r="V37" s="388">
        <f t="shared" si="37"/>
        <v>0</v>
      </c>
      <c r="W37" s="388">
        <f t="shared" si="38"/>
        <v>0</v>
      </c>
      <c r="X37" s="388">
        <f t="shared" si="39"/>
        <v>0</v>
      </c>
      <c r="Y37" s="388">
        <f t="shared" si="40"/>
        <v>0</v>
      </c>
      <c r="Z37" s="145">
        <v>0</v>
      </c>
      <c r="AA37" s="145">
        <f t="shared" si="44"/>
        <v>0</v>
      </c>
      <c r="AB37" s="145">
        <v>0</v>
      </c>
      <c r="AC37" s="164">
        <f t="shared" si="45"/>
        <v>0</v>
      </c>
      <c r="AD37" s="145">
        <v>0</v>
      </c>
      <c r="AE37" s="164">
        <f t="shared" si="46"/>
        <v>0</v>
      </c>
      <c r="AF37" s="145">
        <v>0</v>
      </c>
      <c r="AG37" s="164">
        <f t="shared" si="47"/>
        <v>0</v>
      </c>
      <c r="AH37" s="145">
        <v>0</v>
      </c>
      <c r="AI37" s="164">
        <f t="shared" si="48"/>
        <v>0</v>
      </c>
      <c r="AJ37" s="145">
        <v>0</v>
      </c>
      <c r="AK37" s="164">
        <f t="shared" si="65"/>
        <v>0</v>
      </c>
      <c r="AL37" s="145">
        <v>0</v>
      </c>
      <c r="AM37" s="164">
        <f t="shared" si="49"/>
        <v>0</v>
      </c>
      <c r="AN37" s="145">
        <v>0</v>
      </c>
      <c r="AO37" s="164">
        <f t="shared" si="66"/>
        <v>0</v>
      </c>
      <c r="AP37" s="145">
        <v>0</v>
      </c>
      <c r="AQ37" s="164">
        <f t="shared" si="50"/>
        <v>0</v>
      </c>
      <c r="AR37" s="145">
        <v>0</v>
      </c>
      <c r="AS37" s="164">
        <f t="shared" si="51"/>
        <v>0</v>
      </c>
      <c r="AT37" s="145">
        <v>0</v>
      </c>
      <c r="AU37" s="164">
        <f t="shared" si="67"/>
        <v>0</v>
      </c>
      <c r="AV37" s="145">
        <v>0</v>
      </c>
      <c r="AW37" s="164">
        <f t="shared" si="68"/>
        <v>0</v>
      </c>
      <c r="AX37" s="145">
        <v>0</v>
      </c>
      <c r="AY37" s="164">
        <f t="shared" si="69"/>
        <v>0</v>
      </c>
      <c r="AZ37" s="145">
        <v>0</v>
      </c>
      <c r="BA37" s="164">
        <f t="shared" si="70"/>
        <v>0</v>
      </c>
      <c r="BB37" s="145">
        <v>0</v>
      </c>
      <c r="BC37" s="164">
        <f t="shared" si="52"/>
        <v>0</v>
      </c>
      <c r="BD37" s="145">
        <v>0</v>
      </c>
      <c r="BE37" s="164">
        <f t="shared" si="53"/>
        <v>0</v>
      </c>
      <c r="BF37" s="145">
        <v>0</v>
      </c>
      <c r="BG37" s="164">
        <f t="shared" si="54"/>
        <v>0</v>
      </c>
      <c r="BH37" s="145"/>
      <c r="BI37" s="164">
        <f t="shared" si="55"/>
        <v>0</v>
      </c>
      <c r="BJ37" s="145">
        <f t="shared" si="56"/>
        <v>0</v>
      </c>
      <c r="BK37" s="145">
        <f t="shared" si="56"/>
        <v>0</v>
      </c>
      <c r="BL37" s="403" t="s">
        <v>218</v>
      </c>
      <c r="BN37" s="163"/>
      <c r="BO37" s="163"/>
      <c r="BP37" s="174"/>
      <c r="BQ37" s="163"/>
      <c r="BR37" s="163">
        <f t="shared" si="42"/>
        <v>0</v>
      </c>
      <c r="BS37" s="163">
        <f t="shared" si="71"/>
        <v>0</v>
      </c>
      <c r="BT37" s="163"/>
      <c r="BU37" s="379">
        <f t="shared" si="43"/>
        <v>0</v>
      </c>
      <c r="BV37" s="164">
        <f t="shared" si="2"/>
        <v>0</v>
      </c>
    </row>
    <row r="38" spans="1:74">
      <c r="A38" s="1010"/>
      <c r="B38" s="196"/>
      <c r="C38" s="166" t="s">
        <v>536</v>
      </c>
      <c r="D38" s="196" t="s">
        <v>347</v>
      </c>
      <c r="E38" s="135">
        <v>15000</v>
      </c>
      <c r="F38" s="410">
        <f t="shared" si="57"/>
        <v>0</v>
      </c>
      <c r="G38" s="161">
        <f t="shared" si="58"/>
        <v>0</v>
      </c>
      <c r="H38" s="161">
        <f t="shared" si="59"/>
        <v>0</v>
      </c>
      <c r="I38" s="161">
        <f t="shared" si="60"/>
        <v>0</v>
      </c>
      <c r="J38" s="161"/>
      <c r="K38" s="161"/>
      <c r="L38" s="161"/>
      <c r="M38" s="161"/>
      <c r="N38" s="161"/>
      <c r="O38" s="161"/>
      <c r="P38" s="161"/>
      <c r="Q38" s="161"/>
      <c r="R38" s="145">
        <f t="shared" si="61"/>
        <v>0</v>
      </c>
      <c r="S38" s="145">
        <f t="shared" si="62"/>
        <v>0</v>
      </c>
      <c r="T38" s="145">
        <f t="shared" si="63"/>
        <v>0</v>
      </c>
      <c r="U38" s="145">
        <f t="shared" si="64"/>
        <v>0</v>
      </c>
      <c r="V38" s="388">
        <f t="shared" si="37"/>
        <v>0</v>
      </c>
      <c r="W38" s="388">
        <f t="shared" si="38"/>
        <v>0</v>
      </c>
      <c r="X38" s="388">
        <f t="shared" si="39"/>
        <v>0</v>
      </c>
      <c r="Y38" s="388">
        <f t="shared" si="40"/>
        <v>0</v>
      </c>
      <c r="Z38" s="145">
        <v>0</v>
      </c>
      <c r="AA38" s="145">
        <f t="shared" si="44"/>
        <v>0</v>
      </c>
      <c r="AB38" s="145">
        <v>0</v>
      </c>
      <c r="AC38" s="164">
        <f t="shared" si="45"/>
        <v>0</v>
      </c>
      <c r="AD38" s="145">
        <v>0</v>
      </c>
      <c r="AE38" s="164">
        <f t="shared" si="46"/>
        <v>0</v>
      </c>
      <c r="AF38" s="145">
        <v>0</v>
      </c>
      <c r="AG38" s="164">
        <f t="shared" si="47"/>
        <v>0</v>
      </c>
      <c r="AH38" s="145">
        <v>0</v>
      </c>
      <c r="AI38" s="164">
        <f t="shared" si="48"/>
        <v>0</v>
      </c>
      <c r="AJ38" s="145">
        <v>0</v>
      </c>
      <c r="AK38" s="164">
        <f t="shared" si="65"/>
        <v>0</v>
      </c>
      <c r="AL38" s="145">
        <v>0</v>
      </c>
      <c r="AM38" s="164">
        <f t="shared" si="49"/>
        <v>0</v>
      </c>
      <c r="AN38" s="145">
        <v>0</v>
      </c>
      <c r="AO38" s="164">
        <f t="shared" si="66"/>
        <v>0</v>
      </c>
      <c r="AP38" s="145">
        <v>0</v>
      </c>
      <c r="AQ38" s="164">
        <f t="shared" si="50"/>
        <v>0</v>
      </c>
      <c r="AR38" s="145">
        <v>0</v>
      </c>
      <c r="AS38" s="164">
        <f t="shared" si="51"/>
        <v>0</v>
      </c>
      <c r="AT38" s="145">
        <v>0</v>
      </c>
      <c r="AU38" s="164">
        <f t="shared" si="67"/>
        <v>0</v>
      </c>
      <c r="AV38" s="145">
        <v>0</v>
      </c>
      <c r="AW38" s="164">
        <f t="shared" si="68"/>
        <v>0</v>
      </c>
      <c r="AX38" s="145">
        <v>0</v>
      </c>
      <c r="AY38" s="164">
        <f t="shared" si="69"/>
        <v>0</v>
      </c>
      <c r="AZ38" s="145">
        <v>0</v>
      </c>
      <c r="BA38" s="164">
        <f t="shared" si="70"/>
        <v>0</v>
      </c>
      <c r="BB38" s="145">
        <v>0</v>
      </c>
      <c r="BC38" s="164">
        <f t="shared" si="52"/>
        <v>0</v>
      </c>
      <c r="BD38" s="145">
        <v>0</v>
      </c>
      <c r="BE38" s="164">
        <f t="shared" si="53"/>
        <v>0</v>
      </c>
      <c r="BF38" s="145">
        <v>0</v>
      </c>
      <c r="BG38" s="164">
        <f t="shared" si="54"/>
        <v>0</v>
      </c>
      <c r="BH38" s="145"/>
      <c r="BI38" s="164">
        <f t="shared" si="55"/>
        <v>0</v>
      </c>
      <c r="BJ38" s="145">
        <f t="shared" si="56"/>
        <v>0</v>
      </c>
      <c r="BK38" s="145">
        <f t="shared" si="56"/>
        <v>0</v>
      </c>
      <c r="BL38" s="403" t="s">
        <v>218</v>
      </c>
      <c r="BN38" s="163"/>
      <c r="BO38" s="163"/>
      <c r="BP38" s="174"/>
      <c r="BQ38" s="163"/>
      <c r="BR38" s="163">
        <f t="shared" si="42"/>
        <v>0</v>
      </c>
      <c r="BS38" s="163">
        <f t="shared" si="71"/>
        <v>0</v>
      </c>
      <c r="BT38" s="163"/>
      <c r="BU38" s="379">
        <f t="shared" si="43"/>
        <v>0</v>
      </c>
      <c r="BV38" s="164">
        <f t="shared" si="2"/>
        <v>0</v>
      </c>
    </row>
    <row r="39" spans="1:74" s="23" customFormat="1">
      <c r="A39" s="1010"/>
      <c r="B39" s="196"/>
      <c r="C39" s="166" t="s">
        <v>337</v>
      </c>
      <c r="D39" s="196" t="s">
        <v>347</v>
      </c>
      <c r="E39" s="135">
        <v>32000</v>
      </c>
      <c r="F39" s="410">
        <f t="shared" si="57"/>
        <v>204</v>
      </c>
      <c r="G39" s="161">
        <f t="shared" si="58"/>
        <v>6528000</v>
      </c>
      <c r="H39" s="161">
        <f t="shared" si="59"/>
        <v>3264000</v>
      </c>
      <c r="I39" s="161">
        <f t="shared" si="60"/>
        <v>3264000</v>
      </c>
      <c r="J39" s="161"/>
      <c r="K39" s="161"/>
      <c r="L39" s="161"/>
      <c r="M39" s="161"/>
      <c r="N39" s="161"/>
      <c r="O39" s="161"/>
      <c r="P39" s="161"/>
      <c r="Q39" s="161"/>
      <c r="R39" s="145">
        <f t="shared" si="61"/>
        <v>51</v>
      </c>
      <c r="S39" s="145">
        <f t="shared" si="62"/>
        <v>51</v>
      </c>
      <c r="T39" s="145">
        <f t="shared" si="63"/>
        <v>51</v>
      </c>
      <c r="U39" s="145">
        <f t="shared" si="64"/>
        <v>51</v>
      </c>
      <c r="V39" s="388">
        <f t="shared" si="37"/>
        <v>1632000</v>
      </c>
      <c r="W39" s="388">
        <f t="shared" si="38"/>
        <v>1632000</v>
      </c>
      <c r="X39" s="388">
        <f t="shared" si="39"/>
        <v>1632000</v>
      </c>
      <c r="Y39" s="388">
        <f t="shared" si="40"/>
        <v>1632000</v>
      </c>
      <c r="Z39" s="145">
        <v>12</v>
      </c>
      <c r="AA39" s="145">
        <f t="shared" si="44"/>
        <v>384000</v>
      </c>
      <c r="AB39" s="145">
        <v>12</v>
      </c>
      <c r="AC39" s="164">
        <f t="shared" si="45"/>
        <v>384000</v>
      </c>
      <c r="AD39" s="145">
        <v>12</v>
      </c>
      <c r="AE39" s="164">
        <f t="shared" si="46"/>
        <v>384000</v>
      </c>
      <c r="AF39" s="145">
        <v>12</v>
      </c>
      <c r="AG39" s="164">
        <f t="shared" si="47"/>
        <v>384000</v>
      </c>
      <c r="AH39" s="145">
        <v>12</v>
      </c>
      <c r="AI39" s="164">
        <f t="shared" si="48"/>
        <v>384000</v>
      </c>
      <c r="AJ39" s="145">
        <v>12</v>
      </c>
      <c r="AK39" s="164">
        <f t="shared" si="65"/>
        <v>384000</v>
      </c>
      <c r="AL39" s="145">
        <v>12</v>
      </c>
      <c r="AM39" s="164">
        <f t="shared" si="49"/>
        <v>384000</v>
      </c>
      <c r="AN39" s="145">
        <v>12</v>
      </c>
      <c r="AO39" s="164">
        <f t="shared" si="66"/>
        <v>384000</v>
      </c>
      <c r="AP39" s="145">
        <v>12</v>
      </c>
      <c r="AQ39" s="164">
        <f t="shared" si="50"/>
        <v>384000</v>
      </c>
      <c r="AR39" s="145">
        <v>12</v>
      </c>
      <c r="AS39" s="164">
        <f t="shared" si="51"/>
        <v>384000</v>
      </c>
      <c r="AT39" s="145">
        <v>12</v>
      </c>
      <c r="AU39" s="164">
        <f t="shared" si="67"/>
        <v>384000</v>
      </c>
      <c r="AV39" s="145">
        <v>12</v>
      </c>
      <c r="AW39" s="164">
        <f t="shared" si="68"/>
        <v>384000</v>
      </c>
      <c r="AX39" s="145">
        <v>12</v>
      </c>
      <c r="AY39" s="164">
        <f t="shared" si="69"/>
        <v>384000</v>
      </c>
      <c r="AZ39" s="145">
        <v>12</v>
      </c>
      <c r="BA39" s="164">
        <f t="shared" si="70"/>
        <v>384000</v>
      </c>
      <c r="BB39" s="145">
        <v>12</v>
      </c>
      <c r="BC39" s="164">
        <f t="shared" si="52"/>
        <v>384000</v>
      </c>
      <c r="BD39" s="145">
        <v>12</v>
      </c>
      <c r="BE39" s="164">
        <f t="shared" si="53"/>
        <v>384000</v>
      </c>
      <c r="BF39" s="145">
        <v>12</v>
      </c>
      <c r="BG39" s="164">
        <f t="shared" si="54"/>
        <v>384000</v>
      </c>
      <c r="BH39" s="145"/>
      <c r="BI39" s="164">
        <f t="shared" si="55"/>
        <v>0</v>
      </c>
      <c r="BJ39" s="145">
        <f t="shared" si="56"/>
        <v>204</v>
      </c>
      <c r="BK39" s="145">
        <f t="shared" si="56"/>
        <v>6528000</v>
      </c>
      <c r="BL39" s="403" t="s">
        <v>218</v>
      </c>
      <c r="BN39" s="174"/>
      <c r="BO39" s="174"/>
      <c r="BP39" s="174"/>
      <c r="BQ39" s="174"/>
      <c r="BR39" s="163">
        <f t="shared" si="42"/>
        <v>0</v>
      </c>
      <c r="BS39" s="163">
        <f t="shared" si="71"/>
        <v>6528000</v>
      </c>
      <c r="BT39" s="174"/>
      <c r="BU39" s="379">
        <f t="shared" si="43"/>
        <v>6528000</v>
      </c>
      <c r="BV39" s="164">
        <f t="shared" si="2"/>
        <v>6528000</v>
      </c>
    </row>
    <row r="40" spans="1:74">
      <c r="A40" s="1010"/>
      <c r="B40" s="196"/>
      <c r="C40" s="166" t="s">
        <v>338</v>
      </c>
      <c r="D40" s="196" t="s">
        <v>347</v>
      </c>
      <c r="E40" s="135">
        <v>10000</v>
      </c>
      <c r="F40" s="410">
        <f t="shared" si="57"/>
        <v>0</v>
      </c>
      <c r="G40" s="161">
        <f t="shared" si="58"/>
        <v>0</v>
      </c>
      <c r="H40" s="161">
        <f t="shared" si="59"/>
        <v>0</v>
      </c>
      <c r="I40" s="161">
        <f t="shared" si="60"/>
        <v>0</v>
      </c>
      <c r="J40" s="161"/>
      <c r="K40" s="161"/>
      <c r="L40" s="161"/>
      <c r="M40" s="161"/>
      <c r="N40" s="161"/>
      <c r="O40" s="161"/>
      <c r="P40" s="161"/>
      <c r="Q40" s="161"/>
      <c r="R40" s="145">
        <f t="shared" si="61"/>
        <v>0</v>
      </c>
      <c r="S40" s="145">
        <f t="shared" si="62"/>
        <v>0</v>
      </c>
      <c r="T40" s="145">
        <f t="shared" si="63"/>
        <v>0</v>
      </c>
      <c r="U40" s="145">
        <f t="shared" si="64"/>
        <v>0</v>
      </c>
      <c r="V40" s="388">
        <f t="shared" si="37"/>
        <v>0</v>
      </c>
      <c r="W40" s="388">
        <f t="shared" si="38"/>
        <v>0</v>
      </c>
      <c r="X40" s="388">
        <f t="shared" si="39"/>
        <v>0</v>
      </c>
      <c r="Y40" s="388">
        <f t="shared" si="40"/>
        <v>0</v>
      </c>
      <c r="Z40" s="145">
        <v>0</v>
      </c>
      <c r="AA40" s="145">
        <f t="shared" si="44"/>
        <v>0</v>
      </c>
      <c r="AB40" s="145">
        <v>0</v>
      </c>
      <c r="AC40" s="164">
        <f t="shared" si="45"/>
        <v>0</v>
      </c>
      <c r="AD40" s="145">
        <v>0</v>
      </c>
      <c r="AE40" s="164">
        <f t="shared" si="46"/>
        <v>0</v>
      </c>
      <c r="AF40" s="145">
        <v>0</v>
      </c>
      <c r="AG40" s="164">
        <f t="shared" si="47"/>
        <v>0</v>
      </c>
      <c r="AH40" s="145">
        <v>0</v>
      </c>
      <c r="AI40" s="164">
        <f t="shared" si="48"/>
        <v>0</v>
      </c>
      <c r="AJ40" s="145">
        <v>0</v>
      </c>
      <c r="AK40" s="164">
        <f t="shared" si="65"/>
        <v>0</v>
      </c>
      <c r="AL40" s="145">
        <v>0</v>
      </c>
      <c r="AM40" s="164">
        <f t="shared" si="49"/>
        <v>0</v>
      </c>
      <c r="AN40" s="145">
        <v>0</v>
      </c>
      <c r="AO40" s="164">
        <f t="shared" si="66"/>
        <v>0</v>
      </c>
      <c r="AP40" s="145">
        <v>0</v>
      </c>
      <c r="AQ40" s="164">
        <f t="shared" si="50"/>
        <v>0</v>
      </c>
      <c r="AR40" s="145">
        <v>0</v>
      </c>
      <c r="AS40" s="164">
        <f t="shared" si="51"/>
        <v>0</v>
      </c>
      <c r="AT40" s="145">
        <v>0</v>
      </c>
      <c r="AU40" s="164">
        <f t="shared" si="67"/>
        <v>0</v>
      </c>
      <c r="AV40" s="145">
        <v>0</v>
      </c>
      <c r="AW40" s="164">
        <f t="shared" si="68"/>
        <v>0</v>
      </c>
      <c r="AX40" s="145">
        <v>0</v>
      </c>
      <c r="AY40" s="164">
        <f t="shared" si="69"/>
        <v>0</v>
      </c>
      <c r="AZ40" s="145">
        <v>0</v>
      </c>
      <c r="BA40" s="164">
        <f t="shared" si="70"/>
        <v>0</v>
      </c>
      <c r="BB40" s="145">
        <v>0</v>
      </c>
      <c r="BC40" s="164">
        <f t="shared" si="52"/>
        <v>0</v>
      </c>
      <c r="BD40" s="145">
        <v>0</v>
      </c>
      <c r="BE40" s="164">
        <f t="shared" si="53"/>
        <v>0</v>
      </c>
      <c r="BF40" s="145">
        <v>0</v>
      </c>
      <c r="BG40" s="164">
        <f t="shared" si="54"/>
        <v>0</v>
      </c>
      <c r="BH40" s="145"/>
      <c r="BI40" s="164">
        <f t="shared" si="55"/>
        <v>0</v>
      </c>
      <c r="BJ40" s="145">
        <f t="shared" si="56"/>
        <v>0</v>
      </c>
      <c r="BK40" s="145">
        <f t="shared" si="56"/>
        <v>0</v>
      </c>
      <c r="BL40" s="403" t="s">
        <v>218</v>
      </c>
      <c r="BN40" s="163"/>
      <c r="BO40" s="163"/>
      <c r="BP40" s="174"/>
      <c r="BQ40" s="163"/>
      <c r="BR40" s="163">
        <f t="shared" si="42"/>
        <v>0</v>
      </c>
      <c r="BS40" s="163">
        <f t="shared" si="71"/>
        <v>0</v>
      </c>
      <c r="BT40" s="163"/>
      <c r="BU40" s="379">
        <f t="shared" si="43"/>
        <v>0</v>
      </c>
      <c r="BV40" s="164">
        <f t="shared" si="2"/>
        <v>0</v>
      </c>
    </row>
    <row r="41" spans="1:74">
      <c r="A41" s="1010"/>
      <c r="B41" s="196"/>
      <c r="C41" s="166" t="s">
        <v>339</v>
      </c>
      <c r="D41" s="196" t="s">
        <v>347</v>
      </c>
      <c r="E41" s="135">
        <v>8000</v>
      </c>
      <c r="F41" s="410">
        <f t="shared" si="57"/>
        <v>204</v>
      </c>
      <c r="G41" s="161">
        <f t="shared" si="58"/>
        <v>1632000</v>
      </c>
      <c r="H41" s="161">
        <f t="shared" si="59"/>
        <v>816000</v>
      </c>
      <c r="I41" s="161">
        <f t="shared" si="60"/>
        <v>816000</v>
      </c>
      <c r="J41" s="161"/>
      <c r="K41" s="161"/>
      <c r="L41" s="161"/>
      <c r="M41" s="161"/>
      <c r="N41" s="161"/>
      <c r="O41" s="161"/>
      <c r="P41" s="161"/>
      <c r="Q41" s="161"/>
      <c r="R41" s="145">
        <f t="shared" si="61"/>
        <v>51</v>
      </c>
      <c r="S41" s="145">
        <f t="shared" si="62"/>
        <v>51</v>
      </c>
      <c r="T41" s="145">
        <f t="shared" si="63"/>
        <v>51</v>
      </c>
      <c r="U41" s="145">
        <f t="shared" si="64"/>
        <v>51</v>
      </c>
      <c r="V41" s="388">
        <f t="shared" si="37"/>
        <v>408000</v>
      </c>
      <c r="W41" s="388">
        <f t="shared" si="38"/>
        <v>408000</v>
      </c>
      <c r="X41" s="388">
        <f t="shared" si="39"/>
        <v>408000</v>
      </c>
      <c r="Y41" s="388">
        <f t="shared" si="40"/>
        <v>408000</v>
      </c>
      <c r="Z41" s="145">
        <v>12</v>
      </c>
      <c r="AA41" s="145">
        <f t="shared" si="44"/>
        <v>96000</v>
      </c>
      <c r="AB41" s="145">
        <v>12</v>
      </c>
      <c r="AC41" s="164">
        <f t="shared" si="45"/>
        <v>96000</v>
      </c>
      <c r="AD41" s="145">
        <v>12</v>
      </c>
      <c r="AE41" s="164">
        <f t="shared" si="46"/>
        <v>96000</v>
      </c>
      <c r="AF41" s="145">
        <v>12</v>
      </c>
      <c r="AG41" s="164">
        <f t="shared" si="47"/>
        <v>96000</v>
      </c>
      <c r="AH41" s="145">
        <v>12</v>
      </c>
      <c r="AI41" s="164">
        <f t="shared" si="48"/>
        <v>96000</v>
      </c>
      <c r="AJ41" s="145">
        <v>12</v>
      </c>
      <c r="AK41" s="164">
        <f t="shared" si="65"/>
        <v>96000</v>
      </c>
      <c r="AL41" s="145">
        <v>12</v>
      </c>
      <c r="AM41" s="164">
        <f t="shared" si="49"/>
        <v>96000</v>
      </c>
      <c r="AN41" s="145">
        <v>12</v>
      </c>
      <c r="AO41" s="164">
        <f t="shared" si="66"/>
        <v>96000</v>
      </c>
      <c r="AP41" s="145">
        <v>12</v>
      </c>
      <c r="AQ41" s="164">
        <f t="shared" si="50"/>
        <v>96000</v>
      </c>
      <c r="AR41" s="145">
        <v>12</v>
      </c>
      <c r="AS41" s="164">
        <f t="shared" si="51"/>
        <v>96000</v>
      </c>
      <c r="AT41" s="145">
        <v>12</v>
      </c>
      <c r="AU41" s="164">
        <f t="shared" si="67"/>
        <v>96000</v>
      </c>
      <c r="AV41" s="145">
        <v>12</v>
      </c>
      <c r="AW41" s="164">
        <f t="shared" si="68"/>
        <v>96000</v>
      </c>
      <c r="AX41" s="145">
        <v>12</v>
      </c>
      <c r="AY41" s="164">
        <f t="shared" si="69"/>
        <v>96000</v>
      </c>
      <c r="AZ41" s="145">
        <v>12</v>
      </c>
      <c r="BA41" s="164">
        <f t="shared" si="70"/>
        <v>96000</v>
      </c>
      <c r="BB41" s="145">
        <v>12</v>
      </c>
      <c r="BC41" s="164">
        <f t="shared" si="52"/>
        <v>96000</v>
      </c>
      <c r="BD41" s="145">
        <v>12</v>
      </c>
      <c r="BE41" s="164">
        <f t="shared" si="53"/>
        <v>96000</v>
      </c>
      <c r="BF41" s="145">
        <v>12</v>
      </c>
      <c r="BG41" s="164">
        <f t="shared" si="54"/>
        <v>96000</v>
      </c>
      <c r="BH41" s="145"/>
      <c r="BI41" s="164">
        <f t="shared" si="55"/>
        <v>0</v>
      </c>
      <c r="BJ41" s="145">
        <f t="shared" si="56"/>
        <v>204</v>
      </c>
      <c r="BK41" s="145">
        <f t="shared" si="56"/>
        <v>1632000</v>
      </c>
      <c r="BL41" s="403" t="s">
        <v>218</v>
      </c>
      <c r="BN41" s="163"/>
      <c r="BO41" s="163"/>
      <c r="BP41" s="174"/>
      <c r="BQ41" s="163"/>
      <c r="BR41" s="163">
        <f t="shared" si="42"/>
        <v>0</v>
      </c>
      <c r="BS41" s="163">
        <f t="shared" si="71"/>
        <v>1632000</v>
      </c>
      <c r="BT41" s="163"/>
      <c r="BU41" s="379">
        <f t="shared" si="43"/>
        <v>1632000</v>
      </c>
      <c r="BV41" s="164">
        <f t="shared" si="2"/>
        <v>1632000</v>
      </c>
    </row>
    <row r="42" spans="1:74">
      <c r="A42" s="1010"/>
      <c r="B42" s="196"/>
      <c r="C42" s="166" t="s">
        <v>127</v>
      </c>
      <c r="D42" s="196" t="s">
        <v>347</v>
      </c>
      <c r="E42" s="135">
        <v>6500</v>
      </c>
      <c r="F42" s="410">
        <f t="shared" si="57"/>
        <v>204</v>
      </c>
      <c r="G42" s="161">
        <f t="shared" si="58"/>
        <v>1326000</v>
      </c>
      <c r="H42" s="161">
        <f t="shared" si="59"/>
        <v>663000</v>
      </c>
      <c r="I42" s="161">
        <f t="shared" si="60"/>
        <v>663000</v>
      </c>
      <c r="J42" s="161"/>
      <c r="K42" s="161"/>
      <c r="L42" s="161"/>
      <c r="M42" s="161"/>
      <c r="N42" s="161"/>
      <c r="O42" s="161"/>
      <c r="P42" s="161"/>
      <c r="Q42" s="161"/>
      <c r="R42" s="145">
        <f t="shared" si="61"/>
        <v>51</v>
      </c>
      <c r="S42" s="145">
        <f t="shared" si="62"/>
        <v>51</v>
      </c>
      <c r="T42" s="145">
        <f t="shared" si="63"/>
        <v>51</v>
      </c>
      <c r="U42" s="145">
        <f t="shared" si="64"/>
        <v>51</v>
      </c>
      <c r="V42" s="388">
        <f t="shared" si="37"/>
        <v>331500</v>
      </c>
      <c r="W42" s="388">
        <f t="shared" si="38"/>
        <v>331500</v>
      </c>
      <c r="X42" s="388">
        <f t="shared" si="39"/>
        <v>331500</v>
      </c>
      <c r="Y42" s="388">
        <f t="shared" si="40"/>
        <v>331500</v>
      </c>
      <c r="Z42" s="145">
        <v>12</v>
      </c>
      <c r="AA42" s="145">
        <f t="shared" si="44"/>
        <v>78000</v>
      </c>
      <c r="AB42" s="145">
        <v>12</v>
      </c>
      <c r="AC42" s="164">
        <f t="shared" si="45"/>
        <v>78000</v>
      </c>
      <c r="AD42" s="145">
        <v>12</v>
      </c>
      <c r="AE42" s="164">
        <f t="shared" si="46"/>
        <v>78000</v>
      </c>
      <c r="AF42" s="145">
        <v>12</v>
      </c>
      <c r="AG42" s="164">
        <f t="shared" si="47"/>
        <v>78000</v>
      </c>
      <c r="AH42" s="145">
        <v>12</v>
      </c>
      <c r="AI42" s="164">
        <f t="shared" si="48"/>
        <v>78000</v>
      </c>
      <c r="AJ42" s="145">
        <v>12</v>
      </c>
      <c r="AK42" s="164">
        <f t="shared" si="65"/>
        <v>78000</v>
      </c>
      <c r="AL42" s="145">
        <v>12</v>
      </c>
      <c r="AM42" s="164">
        <f t="shared" si="49"/>
        <v>78000</v>
      </c>
      <c r="AN42" s="145">
        <v>12</v>
      </c>
      <c r="AO42" s="164">
        <f t="shared" si="66"/>
        <v>78000</v>
      </c>
      <c r="AP42" s="145">
        <v>12</v>
      </c>
      <c r="AQ42" s="164">
        <f t="shared" si="50"/>
        <v>78000</v>
      </c>
      <c r="AR42" s="145">
        <v>12</v>
      </c>
      <c r="AS42" s="164">
        <f t="shared" si="51"/>
        <v>78000</v>
      </c>
      <c r="AT42" s="145">
        <v>12</v>
      </c>
      <c r="AU42" s="164">
        <f t="shared" si="67"/>
        <v>78000</v>
      </c>
      <c r="AV42" s="145">
        <v>12</v>
      </c>
      <c r="AW42" s="164">
        <f t="shared" si="68"/>
        <v>78000</v>
      </c>
      <c r="AX42" s="145">
        <v>12</v>
      </c>
      <c r="AY42" s="164">
        <f t="shared" si="69"/>
        <v>78000</v>
      </c>
      <c r="AZ42" s="145">
        <v>12</v>
      </c>
      <c r="BA42" s="164">
        <f t="shared" si="70"/>
        <v>78000</v>
      </c>
      <c r="BB42" s="145">
        <v>12</v>
      </c>
      <c r="BC42" s="164">
        <f t="shared" si="52"/>
        <v>78000</v>
      </c>
      <c r="BD42" s="145">
        <v>12</v>
      </c>
      <c r="BE42" s="164">
        <f t="shared" si="53"/>
        <v>78000</v>
      </c>
      <c r="BF42" s="145">
        <v>12</v>
      </c>
      <c r="BG42" s="164">
        <f t="shared" si="54"/>
        <v>78000</v>
      </c>
      <c r="BH42" s="145"/>
      <c r="BI42" s="164">
        <f t="shared" si="55"/>
        <v>0</v>
      </c>
      <c r="BJ42" s="145">
        <f t="shared" si="56"/>
        <v>204</v>
      </c>
      <c r="BK42" s="145">
        <f t="shared" si="56"/>
        <v>1326000</v>
      </c>
      <c r="BL42" s="403" t="s">
        <v>218</v>
      </c>
      <c r="BN42" s="163"/>
      <c r="BO42" s="163"/>
      <c r="BP42" s="174"/>
      <c r="BQ42" s="163"/>
      <c r="BR42" s="163">
        <f t="shared" si="42"/>
        <v>0</v>
      </c>
      <c r="BS42" s="163">
        <f t="shared" si="71"/>
        <v>1326000</v>
      </c>
      <c r="BT42" s="163"/>
      <c r="BU42" s="379">
        <f t="shared" si="43"/>
        <v>1326000</v>
      </c>
      <c r="BV42" s="164">
        <f t="shared" si="2"/>
        <v>1326000</v>
      </c>
    </row>
    <row r="43" spans="1:74">
      <c r="A43" s="1010"/>
      <c r="B43" s="196"/>
      <c r="C43" s="166" t="s">
        <v>128</v>
      </c>
      <c r="D43" s="196" t="s">
        <v>347</v>
      </c>
      <c r="E43" s="135">
        <v>3000</v>
      </c>
      <c r="F43" s="410">
        <f t="shared" si="57"/>
        <v>204</v>
      </c>
      <c r="G43" s="161">
        <f t="shared" si="58"/>
        <v>612000</v>
      </c>
      <c r="H43" s="161">
        <f t="shared" si="59"/>
        <v>306000</v>
      </c>
      <c r="I43" s="161">
        <f t="shared" si="60"/>
        <v>306000</v>
      </c>
      <c r="J43" s="161"/>
      <c r="K43" s="161"/>
      <c r="L43" s="161"/>
      <c r="M43" s="161"/>
      <c r="N43" s="161"/>
      <c r="O43" s="161"/>
      <c r="P43" s="161"/>
      <c r="Q43" s="161"/>
      <c r="R43" s="145">
        <f t="shared" si="61"/>
        <v>51</v>
      </c>
      <c r="S43" s="145">
        <f t="shared" si="62"/>
        <v>51</v>
      </c>
      <c r="T43" s="145">
        <f t="shared" si="63"/>
        <v>51</v>
      </c>
      <c r="U43" s="145">
        <f t="shared" si="64"/>
        <v>51</v>
      </c>
      <c r="V43" s="388">
        <f t="shared" si="37"/>
        <v>153000</v>
      </c>
      <c r="W43" s="388">
        <f t="shared" si="38"/>
        <v>153000</v>
      </c>
      <c r="X43" s="388">
        <f t="shared" si="39"/>
        <v>153000</v>
      </c>
      <c r="Y43" s="388">
        <f t="shared" si="40"/>
        <v>153000</v>
      </c>
      <c r="Z43" s="145">
        <v>12</v>
      </c>
      <c r="AA43" s="145">
        <f t="shared" si="44"/>
        <v>36000</v>
      </c>
      <c r="AB43" s="145">
        <v>12</v>
      </c>
      <c r="AC43" s="164">
        <f t="shared" si="45"/>
        <v>36000</v>
      </c>
      <c r="AD43" s="145">
        <v>12</v>
      </c>
      <c r="AE43" s="164">
        <f t="shared" si="46"/>
        <v>36000</v>
      </c>
      <c r="AF43" s="145">
        <v>12</v>
      </c>
      <c r="AG43" s="164">
        <f t="shared" si="47"/>
        <v>36000</v>
      </c>
      <c r="AH43" s="145">
        <v>12</v>
      </c>
      <c r="AI43" s="164">
        <f t="shared" si="48"/>
        <v>36000</v>
      </c>
      <c r="AJ43" s="145">
        <v>12</v>
      </c>
      <c r="AK43" s="164">
        <f t="shared" si="65"/>
        <v>36000</v>
      </c>
      <c r="AL43" s="145">
        <v>12</v>
      </c>
      <c r="AM43" s="164">
        <f t="shared" si="49"/>
        <v>36000</v>
      </c>
      <c r="AN43" s="145">
        <v>12</v>
      </c>
      <c r="AO43" s="164">
        <f t="shared" si="66"/>
        <v>36000</v>
      </c>
      <c r="AP43" s="145">
        <v>12</v>
      </c>
      <c r="AQ43" s="164">
        <f t="shared" si="50"/>
        <v>36000</v>
      </c>
      <c r="AR43" s="145">
        <v>12</v>
      </c>
      <c r="AS43" s="164">
        <f t="shared" si="51"/>
        <v>36000</v>
      </c>
      <c r="AT43" s="145">
        <v>12</v>
      </c>
      <c r="AU43" s="164">
        <f t="shared" si="67"/>
        <v>36000</v>
      </c>
      <c r="AV43" s="145">
        <v>12</v>
      </c>
      <c r="AW43" s="164">
        <f t="shared" si="68"/>
        <v>36000</v>
      </c>
      <c r="AX43" s="145">
        <v>12</v>
      </c>
      <c r="AY43" s="164">
        <f t="shared" si="69"/>
        <v>36000</v>
      </c>
      <c r="AZ43" s="145">
        <v>12</v>
      </c>
      <c r="BA43" s="164">
        <f t="shared" si="70"/>
        <v>36000</v>
      </c>
      <c r="BB43" s="145">
        <v>12</v>
      </c>
      <c r="BC43" s="164">
        <f t="shared" si="52"/>
        <v>36000</v>
      </c>
      <c r="BD43" s="145">
        <v>12</v>
      </c>
      <c r="BE43" s="164">
        <f t="shared" si="53"/>
        <v>36000</v>
      </c>
      <c r="BF43" s="145">
        <v>12</v>
      </c>
      <c r="BG43" s="164">
        <f t="shared" si="54"/>
        <v>36000</v>
      </c>
      <c r="BH43" s="145"/>
      <c r="BI43" s="164">
        <f t="shared" si="55"/>
        <v>0</v>
      </c>
      <c r="BJ43" s="145">
        <f t="shared" si="56"/>
        <v>204</v>
      </c>
      <c r="BK43" s="145">
        <f t="shared" si="56"/>
        <v>612000</v>
      </c>
      <c r="BL43" s="403" t="s">
        <v>218</v>
      </c>
      <c r="BN43" s="163"/>
      <c r="BO43" s="163"/>
      <c r="BP43" s="174"/>
      <c r="BQ43" s="163"/>
      <c r="BR43" s="163">
        <f t="shared" si="42"/>
        <v>0</v>
      </c>
      <c r="BS43" s="163">
        <f t="shared" si="71"/>
        <v>612000</v>
      </c>
      <c r="BT43" s="163"/>
      <c r="BU43" s="379">
        <f t="shared" si="43"/>
        <v>612000</v>
      </c>
      <c r="BV43" s="164">
        <f t="shared" si="2"/>
        <v>612000</v>
      </c>
    </row>
    <row r="44" spans="1:74">
      <c r="A44" s="1010"/>
      <c r="B44" s="196"/>
      <c r="C44" s="166" t="s">
        <v>129</v>
      </c>
      <c r="D44" s="196" t="s">
        <v>347</v>
      </c>
      <c r="E44" s="135">
        <f>750*3</f>
        <v>2250</v>
      </c>
      <c r="F44" s="410">
        <f t="shared" si="57"/>
        <v>204</v>
      </c>
      <c r="G44" s="161">
        <f t="shared" si="58"/>
        <v>459000</v>
      </c>
      <c r="H44" s="161">
        <f t="shared" si="59"/>
        <v>229500</v>
      </c>
      <c r="I44" s="161">
        <f t="shared" si="60"/>
        <v>229500</v>
      </c>
      <c r="J44" s="161"/>
      <c r="K44" s="161"/>
      <c r="L44" s="161"/>
      <c r="M44" s="161"/>
      <c r="N44" s="161"/>
      <c r="O44" s="161"/>
      <c r="P44" s="161"/>
      <c r="Q44" s="161"/>
      <c r="R44" s="145">
        <f t="shared" si="61"/>
        <v>51</v>
      </c>
      <c r="S44" s="145">
        <f t="shared" si="62"/>
        <v>51</v>
      </c>
      <c r="T44" s="145">
        <f t="shared" si="63"/>
        <v>51</v>
      </c>
      <c r="U44" s="145">
        <f t="shared" si="64"/>
        <v>51</v>
      </c>
      <c r="V44" s="388">
        <f t="shared" si="37"/>
        <v>114750</v>
      </c>
      <c r="W44" s="388">
        <f t="shared" si="38"/>
        <v>114750</v>
      </c>
      <c r="X44" s="388">
        <f t="shared" si="39"/>
        <v>114750</v>
      </c>
      <c r="Y44" s="388">
        <f t="shared" si="40"/>
        <v>114750</v>
      </c>
      <c r="Z44" s="145">
        <v>12</v>
      </c>
      <c r="AA44" s="145">
        <f t="shared" si="44"/>
        <v>27000</v>
      </c>
      <c r="AB44" s="145">
        <v>12</v>
      </c>
      <c r="AC44" s="164">
        <f t="shared" si="45"/>
        <v>27000</v>
      </c>
      <c r="AD44" s="145">
        <v>12</v>
      </c>
      <c r="AE44" s="164">
        <f t="shared" si="46"/>
        <v>27000</v>
      </c>
      <c r="AF44" s="145">
        <v>12</v>
      </c>
      <c r="AG44" s="164">
        <f t="shared" si="47"/>
        <v>27000</v>
      </c>
      <c r="AH44" s="145">
        <v>12</v>
      </c>
      <c r="AI44" s="164">
        <f t="shared" si="48"/>
        <v>27000</v>
      </c>
      <c r="AJ44" s="145">
        <v>12</v>
      </c>
      <c r="AK44" s="164">
        <f t="shared" si="65"/>
        <v>27000</v>
      </c>
      <c r="AL44" s="145">
        <v>12</v>
      </c>
      <c r="AM44" s="164">
        <f t="shared" si="49"/>
        <v>27000</v>
      </c>
      <c r="AN44" s="145">
        <v>12</v>
      </c>
      <c r="AO44" s="164">
        <f t="shared" si="66"/>
        <v>27000</v>
      </c>
      <c r="AP44" s="145">
        <v>12</v>
      </c>
      <c r="AQ44" s="164">
        <f t="shared" si="50"/>
        <v>27000</v>
      </c>
      <c r="AR44" s="145">
        <v>12</v>
      </c>
      <c r="AS44" s="164">
        <f t="shared" si="51"/>
        <v>27000</v>
      </c>
      <c r="AT44" s="145">
        <v>12</v>
      </c>
      <c r="AU44" s="164">
        <f t="shared" si="67"/>
        <v>27000</v>
      </c>
      <c r="AV44" s="145">
        <v>12</v>
      </c>
      <c r="AW44" s="164">
        <f t="shared" si="68"/>
        <v>27000</v>
      </c>
      <c r="AX44" s="145">
        <v>12</v>
      </c>
      <c r="AY44" s="164">
        <f t="shared" si="69"/>
        <v>27000</v>
      </c>
      <c r="AZ44" s="145">
        <v>12</v>
      </c>
      <c r="BA44" s="164">
        <f t="shared" si="70"/>
        <v>27000</v>
      </c>
      <c r="BB44" s="145">
        <v>12</v>
      </c>
      <c r="BC44" s="164">
        <f t="shared" si="52"/>
        <v>27000</v>
      </c>
      <c r="BD44" s="145">
        <v>12</v>
      </c>
      <c r="BE44" s="164">
        <f t="shared" si="53"/>
        <v>27000</v>
      </c>
      <c r="BF44" s="145">
        <v>12</v>
      </c>
      <c r="BG44" s="164">
        <f t="shared" si="54"/>
        <v>27000</v>
      </c>
      <c r="BH44" s="145"/>
      <c r="BI44" s="164">
        <f t="shared" si="55"/>
        <v>0</v>
      </c>
      <c r="BJ44" s="145">
        <f t="shared" si="56"/>
        <v>204</v>
      </c>
      <c r="BK44" s="145">
        <f t="shared" si="56"/>
        <v>459000</v>
      </c>
      <c r="BL44" s="403" t="s">
        <v>218</v>
      </c>
      <c r="BN44" s="163"/>
      <c r="BO44" s="163"/>
      <c r="BP44" s="174"/>
      <c r="BQ44" s="163"/>
      <c r="BR44" s="163">
        <f t="shared" si="42"/>
        <v>0</v>
      </c>
      <c r="BS44" s="163">
        <f t="shared" si="71"/>
        <v>459000</v>
      </c>
      <c r="BT44" s="163"/>
      <c r="BU44" s="379">
        <f t="shared" si="43"/>
        <v>459000</v>
      </c>
      <c r="BV44" s="164">
        <f t="shared" si="2"/>
        <v>459000</v>
      </c>
    </row>
    <row r="45" spans="1:74">
      <c r="A45" s="1010"/>
      <c r="B45" s="196"/>
      <c r="C45" s="166" t="s">
        <v>130</v>
      </c>
      <c r="D45" s="196" t="s">
        <v>347</v>
      </c>
      <c r="E45" s="135" t="s">
        <v>361</v>
      </c>
      <c r="F45" s="410">
        <f t="shared" si="57"/>
        <v>0</v>
      </c>
      <c r="G45" s="161">
        <f t="shared" si="58"/>
        <v>0</v>
      </c>
      <c r="H45" s="161">
        <f t="shared" si="59"/>
        <v>0</v>
      </c>
      <c r="I45" s="161">
        <f t="shared" si="60"/>
        <v>0</v>
      </c>
      <c r="J45" s="161"/>
      <c r="K45" s="161"/>
      <c r="L45" s="161"/>
      <c r="M45" s="161"/>
      <c r="N45" s="161"/>
      <c r="O45" s="161"/>
      <c r="P45" s="161"/>
      <c r="Q45" s="161"/>
      <c r="R45" s="145">
        <f t="shared" si="61"/>
        <v>0</v>
      </c>
      <c r="S45" s="145">
        <f t="shared" si="62"/>
        <v>0</v>
      </c>
      <c r="T45" s="145">
        <f t="shared" si="63"/>
        <v>0</v>
      </c>
      <c r="U45" s="145">
        <f t="shared" si="64"/>
        <v>0</v>
      </c>
      <c r="V45" s="388">
        <f t="shared" si="37"/>
        <v>0</v>
      </c>
      <c r="W45" s="388">
        <f t="shared" si="38"/>
        <v>0</v>
      </c>
      <c r="X45" s="388">
        <f t="shared" si="39"/>
        <v>0</v>
      </c>
      <c r="Y45" s="388">
        <f t="shared" si="40"/>
        <v>0</v>
      </c>
      <c r="Z45" s="145">
        <v>0</v>
      </c>
      <c r="AA45" s="145">
        <f t="shared" si="44"/>
        <v>0</v>
      </c>
      <c r="AB45" s="145">
        <v>0</v>
      </c>
      <c r="AC45" s="164">
        <f t="shared" si="45"/>
        <v>0</v>
      </c>
      <c r="AD45" s="145">
        <v>0</v>
      </c>
      <c r="AE45" s="164">
        <f t="shared" si="46"/>
        <v>0</v>
      </c>
      <c r="AF45" s="145">
        <v>0</v>
      </c>
      <c r="AG45" s="164">
        <f t="shared" si="47"/>
        <v>0</v>
      </c>
      <c r="AH45" s="145">
        <v>0</v>
      </c>
      <c r="AI45" s="164">
        <f t="shared" si="48"/>
        <v>0</v>
      </c>
      <c r="AJ45" s="145">
        <v>0</v>
      </c>
      <c r="AK45" s="164">
        <f t="shared" si="65"/>
        <v>0</v>
      </c>
      <c r="AL45" s="145">
        <v>0</v>
      </c>
      <c r="AM45" s="164">
        <f t="shared" si="49"/>
        <v>0</v>
      </c>
      <c r="AN45" s="145">
        <v>0</v>
      </c>
      <c r="AO45" s="164">
        <f t="shared" si="66"/>
        <v>0</v>
      </c>
      <c r="AP45" s="145">
        <v>0</v>
      </c>
      <c r="AQ45" s="164">
        <f t="shared" si="50"/>
        <v>0</v>
      </c>
      <c r="AR45" s="145">
        <v>0</v>
      </c>
      <c r="AS45" s="164">
        <f t="shared" si="51"/>
        <v>0</v>
      </c>
      <c r="AT45" s="145">
        <v>0</v>
      </c>
      <c r="AU45" s="164">
        <f t="shared" si="67"/>
        <v>0</v>
      </c>
      <c r="AV45" s="145">
        <v>0</v>
      </c>
      <c r="AW45" s="164">
        <f t="shared" si="68"/>
        <v>0</v>
      </c>
      <c r="AX45" s="145">
        <v>0</v>
      </c>
      <c r="AY45" s="164">
        <f t="shared" si="69"/>
        <v>0</v>
      </c>
      <c r="AZ45" s="145">
        <v>0</v>
      </c>
      <c r="BA45" s="164">
        <f t="shared" si="70"/>
        <v>0</v>
      </c>
      <c r="BB45" s="145">
        <v>0</v>
      </c>
      <c r="BC45" s="164">
        <f t="shared" si="52"/>
        <v>0</v>
      </c>
      <c r="BD45" s="145">
        <v>0</v>
      </c>
      <c r="BE45" s="164">
        <f t="shared" si="53"/>
        <v>0</v>
      </c>
      <c r="BF45" s="145">
        <v>0</v>
      </c>
      <c r="BG45" s="164">
        <f t="shared" si="54"/>
        <v>0</v>
      </c>
      <c r="BH45" s="145"/>
      <c r="BI45" s="164">
        <f t="shared" si="55"/>
        <v>0</v>
      </c>
      <c r="BJ45" s="145">
        <f t="shared" si="56"/>
        <v>0</v>
      </c>
      <c r="BK45" s="145">
        <f t="shared" si="56"/>
        <v>0</v>
      </c>
      <c r="BL45" s="403" t="s">
        <v>218</v>
      </c>
      <c r="BN45" s="163"/>
      <c r="BO45" s="163"/>
      <c r="BP45" s="174"/>
      <c r="BQ45" s="163"/>
      <c r="BR45" s="163">
        <f t="shared" si="42"/>
        <v>0</v>
      </c>
      <c r="BS45" s="163">
        <f t="shared" si="71"/>
        <v>0</v>
      </c>
      <c r="BT45" s="163"/>
      <c r="BU45" s="379">
        <f t="shared" si="43"/>
        <v>0</v>
      </c>
      <c r="BV45" s="164">
        <f t="shared" si="2"/>
        <v>0</v>
      </c>
    </row>
    <row r="46" spans="1:74" ht="63">
      <c r="A46" s="1010"/>
      <c r="B46" s="196"/>
      <c r="C46" s="134" t="s">
        <v>976</v>
      </c>
      <c r="D46" s="196" t="s">
        <v>16</v>
      </c>
      <c r="E46" s="135">
        <v>50000</v>
      </c>
      <c r="F46" s="410">
        <f t="shared" si="57"/>
        <v>204</v>
      </c>
      <c r="G46" s="161">
        <f t="shared" si="58"/>
        <v>10200000</v>
      </c>
      <c r="H46" s="161">
        <f t="shared" si="59"/>
        <v>5100000</v>
      </c>
      <c r="I46" s="161">
        <f t="shared" si="60"/>
        <v>5100000</v>
      </c>
      <c r="J46" s="161"/>
      <c r="K46" s="161"/>
      <c r="L46" s="161"/>
      <c r="M46" s="161"/>
      <c r="N46" s="161"/>
      <c r="O46" s="161"/>
      <c r="P46" s="161"/>
      <c r="Q46" s="161"/>
      <c r="R46" s="145">
        <f t="shared" si="61"/>
        <v>51</v>
      </c>
      <c r="S46" s="145">
        <f t="shared" si="62"/>
        <v>51</v>
      </c>
      <c r="T46" s="145">
        <f t="shared" si="63"/>
        <v>51</v>
      </c>
      <c r="U46" s="145">
        <f t="shared" si="64"/>
        <v>51</v>
      </c>
      <c r="V46" s="388">
        <f t="shared" si="37"/>
        <v>2550000</v>
      </c>
      <c r="W46" s="388">
        <f t="shared" si="38"/>
        <v>2550000</v>
      </c>
      <c r="X46" s="388">
        <f t="shared" si="39"/>
        <v>2550000</v>
      </c>
      <c r="Y46" s="388">
        <f t="shared" si="40"/>
        <v>2550000</v>
      </c>
      <c r="Z46" s="145">
        <v>12</v>
      </c>
      <c r="AA46" s="145">
        <f t="shared" si="44"/>
        <v>600000</v>
      </c>
      <c r="AB46" s="145">
        <v>12</v>
      </c>
      <c r="AC46" s="164">
        <f t="shared" si="45"/>
        <v>600000</v>
      </c>
      <c r="AD46" s="145">
        <v>12</v>
      </c>
      <c r="AE46" s="164">
        <f t="shared" si="46"/>
        <v>600000</v>
      </c>
      <c r="AF46" s="145">
        <v>12</v>
      </c>
      <c r="AG46" s="164">
        <f t="shared" si="47"/>
        <v>600000</v>
      </c>
      <c r="AH46" s="145">
        <v>12</v>
      </c>
      <c r="AI46" s="164">
        <f t="shared" si="48"/>
        <v>600000</v>
      </c>
      <c r="AJ46" s="145">
        <v>12</v>
      </c>
      <c r="AK46" s="164">
        <f t="shared" si="65"/>
        <v>600000</v>
      </c>
      <c r="AL46" s="145">
        <v>12</v>
      </c>
      <c r="AM46" s="164">
        <f t="shared" si="49"/>
        <v>600000</v>
      </c>
      <c r="AN46" s="145">
        <v>12</v>
      </c>
      <c r="AO46" s="164">
        <f t="shared" si="66"/>
        <v>600000</v>
      </c>
      <c r="AP46" s="145">
        <v>12</v>
      </c>
      <c r="AQ46" s="164">
        <f t="shared" si="50"/>
        <v>600000</v>
      </c>
      <c r="AR46" s="145">
        <v>12</v>
      </c>
      <c r="AS46" s="164">
        <f t="shared" si="51"/>
        <v>600000</v>
      </c>
      <c r="AT46" s="145">
        <v>12</v>
      </c>
      <c r="AU46" s="164">
        <f t="shared" si="67"/>
        <v>600000</v>
      </c>
      <c r="AV46" s="145">
        <v>12</v>
      </c>
      <c r="AW46" s="164">
        <f t="shared" si="68"/>
        <v>600000</v>
      </c>
      <c r="AX46" s="145">
        <v>12</v>
      </c>
      <c r="AY46" s="164">
        <f t="shared" si="69"/>
        <v>600000</v>
      </c>
      <c r="AZ46" s="145">
        <v>12</v>
      </c>
      <c r="BA46" s="164">
        <f t="shared" si="70"/>
        <v>600000</v>
      </c>
      <c r="BB46" s="145">
        <v>12</v>
      </c>
      <c r="BC46" s="164">
        <f t="shared" si="52"/>
        <v>600000</v>
      </c>
      <c r="BD46" s="145">
        <v>12</v>
      </c>
      <c r="BE46" s="164">
        <f t="shared" si="53"/>
        <v>600000</v>
      </c>
      <c r="BF46" s="145">
        <v>12</v>
      </c>
      <c r="BG46" s="164">
        <f t="shared" si="54"/>
        <v>600000</v>
      </c>
      <c r="BH46" s="145"/>
      <c r="BI46" s="164">
        <f t="shared" si="55"/>
        <v>0</v>
      </c>
      <c r="BJ46" s="145">
        <f t="shared" si="56"/>
        <v>204</v>
      </c>
      <c r="BK46" s="145">
        <f t="shared" si="56"/>
        <v>10200000</v>
      </c>
      <c r="BL46" s="403" t="s">
        <v>218</v>
      </c>
      <c r="BN46" s="163"/>
      <c r="BO46" s="163"/>
      <c r="BP46" s="174"/>
      <c r="BQ46" s="163"/>
      <c r="BR46" s="163">
        <f t="shared" si="42"/>
        <v>0</v>
      </c>
      <c r="BS46" s="163">
        <f t="shared" si="71"/>
        <v>10200000</v>
      </c>
      <c r="BT46" s="163"/>
      <c r="BU46" s="379">
        <f t="shared" si="43"/>
        <v>10200000</v>
      </c>
      <c r="BV46" s="164">
        <f t="shared" si="2"/>
        <v>10200000</v>
      </c>
    </row>
    <row r="47" spans="1:74">
      <c r="A47" s="1010"/>
      <c r="B47" s="196"/>
      <c r="C47" s="166" t="s">
        <v>340</v>
      </c>
      <c r="D47" s="196" t="s">
        <v>347</v>
      </c>
      <c r="E47" s="135" t="s">
        <v>318</v>
      </c>
      <c r="F47" s="410">
        <f t="shared" si="57"/>
        <v>0</v>
      </c>
      <c r="G47" s="161">
        <f t="shared" si="58"/>
        <v>0</v>
      </c>
      <c r="H47" s="161">
        <f>G47*0</f>
        <v>0</v>
      </c>
      <c r="I47" s="161">
        <f>G47</f>
        <v>0</v>
      </c>
      <c r="J47" s="161"/>
      <c r="K47" s="161"/>
      <c r="L47" s="161"/>
      <c r="M47" s="161"/>
      <c r="N47" s="161"/>
      <c r="O47" s="161"/>
      <c r="P47" s="161"/>
      <c r="Q47" s="161"/>
      <c r="R47" s="145">
        <f t="shared" si="61"/>
        <v>0</v>
      </c>
      <c r="S47" s="145">
        <f t="shared" si="62"/>
        <v>0</v>
      </c>
      <c r="T47" s="145">
        <f t="shared" si="63"/>
        <v>0</v>
      </c>
      <c r="U47" s="145">
        <f t="shared" si="64"/>
        <v>0</v>
      </c>
      <c r="V47" s="388">
        <f t="shared" si="37"/>
        <v>0</v>
      </c>
      <c r="W47" s="388">
        <f t="shared" si="38"/>
        <v>0</v>
      </c>
      <c r="X47" s="388">
        <f t="shared" si="39"/>
        <v>0</v>
      </c>
      <c r="Y47" s="388">
        <f t="shared" si="40"/>
        <v>0</v>
      </c>
      <c r="Z47" s="145">
        <v>0</v>
      </c>
      <c r="AA47" s="145">
        <f t="shared" si="44"/>
        <v>0</v>
      </c>
      <c r="AB47" s="145">
        <v>0</v>
      </c>
      <c r="AC47" s="164">
        <f t="shared" si="45"/>
        <v>0</v>
      </c>
      <c r="AD47" s="145">
        <v>0</v>
      </c>
      <c r="AE47" s="164">
        <f t="shared" si="46"/>
        <v>0</v>
      </c>
      <c r="AF47" s="145">
        <v>0</v>
      </c>
      <c r="AG47" s="164">
        <f t="shared" si="47"/>
        <v>0</v>
      </c>
      <c r="AH47" s="145">
        <v>0</v>
      </c>
      <c r="AI47" s="164">
        <f t="shared" si="48"/>
        <v>0</v>
      </c>
      <c r="AJ47" s="145">
        <v>0</v>
      </c>
      <c r="AK47" s="164">
        <f t="shared" si="65"/>
        <v>0</v>
      </c>
      <c r="AL47" s="145">
        <v>0</v>
      </c>
      <c r="AM47" s="164">
        <f t="shared" si="49"/>
        <v>0</v>
      </c>
      <c r="AN47" s="145">
        <v>0</v>
      </c>
      <c r="AO47" s="164">
        <f t="shared" si="66"/>
        <v>0</v>
      </c>
      <c r="AP47" s="145">
        <v>0</v>
      </c>
      <c r="AQ47" s="164">
        <f t="shared" si="50"/>
        <v>0</v>
      </c>
      <c r="AR47" s="145">
        <v>0</v>
      </c>
      <c r="AS47" s="164">
        <f t="shared" si="51"/>
        <v>0</v>
      </c>
      <c r="AT47" s="145">
        <v>0</v>
      </c>
      <c r="AU47" s="164">
        <f t="shared" si="67"/>
        <v>0</v>
      </c>
      <c r="AV47" s="145">
        <v>0</v>
      </c>
      <c r="AW47" s="164">
        <f t="shared" si="68"/>
        <v>0</v>
      </c>
      <c r="AX47" s="145">
        <v>0</v>
      </c>
      <c r="AY47" s="164">
        <f t="shared" si="69"/>
        <v>0</v>
      </c>
      <c r="AZ47" s="145">
        <v>0</v>
      </c>
      <c r="BA47" s="164">
        <f t="shared" si="70"/>
        <v>0</v>
      </c>
      <c r="BB47" s="145">
        <v>0</v>
      </c>
      <c r="BC47" s="164">
        <f t="shared" si="52"/>
        <v>0</v>
      </c>
      <c r="BD47" s="145">
        <v>0</v>
      </c>
      <c r="BE47" s="164">
        <f t="shared" si="53"/>
        <v>0</v>
      </c>
      <c r="BF47" s="145">
        <v>0</v>
      </c>
      <c r="BG47" s="164">
        <f t="shared" si="54"/>
        <v>0</v>
      </c>
      <c r="BH47" s="145"/>
      <c r="BI47" s="164">
        <f t="shared" si="55"/>
        <v>0</v>
      </c>
      <c r="BJ47" s="145">
        <f t="shared" si="56"/>
        <v>0</v>
      </c>
      <c r="BK47" s="145">
        <f t="shared" si="56"/>
        <v>0</v>
      </c>
      <c r="BL47" s="403" t="s">
        <v>217</v>
      </c>
      <c r="BN47" s="163"/>
      <c r="BO47" s="163"/>
      <c r="BP47" s="174"/>
      <c r="BQ47" s="163"/>
      <c r="BR47" s="163">
        <f t="shared" si="42"/>
        <v>0</v>
      </c>
      <c r="BS47" s="163">
        <f t="shared" si="71"/>
        <v>0</v>
      </c>
      <c r="BT47" s="163"/>
      <c r="BU47" s="379">
        <f t="shared" si="43"/>
        <v>0</v>
      </c>
      <c r="BV47" s="164">
        <f t="shared" si="2"/>
        <v>0</v>
      </c>
    </row>
    <row r="48" spans="1:74" s="23" customFormat="1" ht="31.5">
      <c r="A48" s="1010"/>
      <c r="B48" s="228"/>
      <c r="C48" s="176" t="s">
        <v>341</v>
      </c>
      <c r="D48" s="228" t="s">
        <v>347</v>
      </c>
      <c r="E48" s="407"/>
      <c r="F48" s="409">
        <f>SUM(F34:F47)</f>
        <v>1810</v>
      </c>
      <c r="G48" s="409">
        <f t="shared" ref="G48:BR48" si="72">SUM(G34:G47)</f>
        <v>41157000</v>
      </c>
      <c r="H48" s="409">
        <f t="shared" si="72"/>
        <v>20578500</v>
      </c>
      <c r="I48" s="409">
        <f t="shared" si="72"/>
        <v>20578500</v>
      </c>
      <c r="J48" s="409">
        <f t="shared" si="72"/>
        <v>0</v>
      </c>
      <c r="K48" s="409">
        <f t="shared" si="72"/>
        <v>0</v>
      </c>
      <c r="L48" s="409">
        <f t="shared" si="72"/>
        <v>0</v>
      </c>
      <c r="M48" s="409">
        <f t="shared" si="72"/>
        <v>0</v>
      </c>
      <c r="N48" s="409">
        <f t="shared" si="72"/>
        <v>0</v>
      </c>
      <c r="O48" s="409">
        <f t="shared" si="72"/>
        <v>0</v>
      </c>
      <c r="P48" s="409">
        <f t="shared" si="72"/>
        <v>0</v>
      </c>
      <c r="Q48" s="409">
        <f t="shared" si="72"/>
        <v>0</v>
      </c>
      <c r="R48" s="409">
        <f t="shared" si="72"/>
        <v>452.5</v>
      </c>
      <c r="S48" s="409">
        <f t="shared" si="72"/>
        <v>452.5</v>
      </c>
      <c r="T48" s="409">
        <f t="shared" si="72"/>
        <v>452.5</v>
      </c>
      <c r="U48" s="409">
        <f t="shared" si="72"/>
        <v>452.5</v>
      </c>
      <c r="V48" s="409">
        <f t="shared" si="72"/>
        <v>10289250</v>
      </c>
      <c r="W48" s="409">
        <f t="shared" si="72"/>
        <v>10289250</v>
      </c>
      <c r="X48" s="409">
        <f t="shared" si="72"/>
        <v>10289250</v>
      </c>
      <c r="Y48" s="409">
        <f t="shared" si="72"/>
        <v>10289250</v>
      </c>
      <c r="Z48" s="409">
        <f t="shared" si="72"/>
        <v>106</v>
      </c>
      <c r="AA48" s="409">
        <f t="shared" si="72"/>
        <v>2421000</v>
      </c>
      <c r="AB48" s="409">
        <f t="shared" si="72"/>
        <v>106</v>
      </c>
      <c r="AC48" s="409">
        <f t="shared" si="72"/>
        <v>2421000</v>
      </c>
      <c r="AD48" s="409">
        <f t="shared" si="72"/>
        <v>107</v>
      </c>
      <c r="AE48" s="409">
        <f t="shared" si="72"/>
        <v>2421000</v>
      </c>
      <c r="AF48" s="409">
        <f t="shared" si="72"/>
        <v>106</v>
      </c>
      <c r="AG48" s="409">
        <f t="shared" si="72"/>
        <v>2421000</v>
      </c>
      <c r="AH48" s="409">
        <f t="shared" si="72"/>
        <v>107</v>
      </c>
      <c r="AI48" s="409">
        <f t="shared" si="72"/>
        <v>2421000</v>
      </c>
      <c r="AJ48" s="409">
        <f t="shared" si="72"/>
        <v>107</v>
      </c>
      <c r="AK48" s="409">
        <f t="shared" si="72"/>
        <v>2421000</v>
      </c>
      <c r="AL48" s="409">
        <f t="shared" si="72"/>
        <v>107</v>
      </c>
      <c r="AM48" s="409">
        <f t="shared" si="72"/>
        <v>2421000</v>
      </c>
      <c r="AN48" s="409">
        <f t="shared" si="72"/>
        <v>107</v>
      </c>
      <c r="AO48" s="409">
        <f t="shared" si="72"/>
        <v>2421000</v>
      </c>
      <c r="AP48" s="409">
        <f t="shared" si="72"/>
        <v>106</v>
      </c>
      <c r="AQ48" s="409">
        <f t="shared" si="72"/>
        <v>2421000</v>
      </c>
      <c r="AR48" s="409">
        <f t="shared" si="72"/>
        <v>106</v>
      </c>
      <c r="AS48" s="409">
        <f t="shared" si="72"/>
        <v>2421000</v>
      </c>
      <c r="AT48" s="409">
        <f t="shared" si="72"/>
        <v>107</v>
      </c>
      <c r="AU48" s="409">
        <f t="shared" si="72"/>
        <v>2421000</v>
      </c>
      <c r="AV48" s="409">
        <f t="shared" si="72"/>
        <v>106</v>
      </c>
      <c r="AW48" s="409">
        <f t="shared" si="72"/>
        <v>2421000</v>
      </c>
      <c r="AX48" s="409">
        <f t="shared" si="72"/>
        <v>106</v>
      </c>
      <c r="AY48" s="409">
        <f t="shared" si="72"/>
        <v>2421000</v>
      </c>
      <c r="AZ48" s="409">
        <f t="shared" si="72"/>
        <v>107</v>
      </c>
      <c r="BA48" s="409">
        <f t="shared" si="72"/>
        <v>2421000</v>
      </c>
      <c r="BB48" s="409">
        <f t="shared" si="72"/>
        <v>107</v>
      </c>
      <c r="BC48" s="409">
        <f t="shared" si="72"/>
        <v>2421000</v>
      </c>
      <c r="BD48" s="409">
        <f t="shared" si="72"/>
        <v>106</v>
      </c>
      <c r="BE48" s="409">
        <f t="shared" si="72"/>
        <v>2421000</v>
      </c>
      <c r="BF48" s="409">
        <f t="shared" si="72"/>
        <v>106</v>
      </c>
      <c r="BG48" s="409">
        <f t="shared" si="72"/>
        <v>2421000</v>
      </c>
      <c r="BH48" s="409">
        <f t="shared" si="72"/>
        <v>0</v>
      </c>
      <c r="BI48" s="409">
        <f t="shared" si="72"/>
        <v>0</v>
      </c>
      <c r="BJ48" s="409">
        <f t="shared" si="72"/>
        <v>1810</v>
      </c>
      <c r="BK48" s="409">
        <f t="shared" si="72"/>
        <v>41157000</v>
      </c>
      <c r="BL48" s="409">
        <f t="shared" si="72"/>
        <v>0</v>
      </c>
      <c r="BM48" s="409">
        <f t="shared" si="72"/>
        <v>0</v>
      </c>
      <c r="BN48" s="409">
        <f t="shared" si="72"/>
        <v>0</v>
      </c>
      <c r="BO48" s="409">
        <f t="shared" si="72"/>
        <v>0</v>
      </c>
      <c r="BP48" s="409">
        <f t="shared" si="72"/>
        <v>0</v>
      </c>
      <c r="BQ48" s="409">
        <f t="shared" si="72"/>
        <v>0</v>
      </c>
      <c r="BR48" s="409">
        <f t="shared" si="72"/>
        <v>0</v>
      </c>
      <c r="BS48" s="409">
        <f>SUM(BS34:BS47)</f>
        <v>41157000</v>
      </c>
      <c r="BT48" s="409">
        <f>SUM(BT34:BT47)</f>
        <v>0</v>
      </c>
      <c r="BU48" s="409">
        <f>SUM(BU34:BU47)</f>
        <v>41157000</v>
      </c>
      <c r="BV48" s="409">
        <f>SUM(BV34:BV47)</f>
        <v>41157000</v>
      </c>
    </row>
    <row r="49" spans="1:74" s="23" customFormat="1" ht="27.75" customHeight="1">
      <c r="A49" s="1010"/>
      <c r="B49" s="228"/>
      <c r="C49" s="213" t="s">
        <v>342</v>
      </c>
      <c r="D49" s="196" t="s">
        <v>347</v>
      </c>
      <c r="E49" s="246"/>
      <c r="F49" s="411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246"/>
      <c r="S49" s="246"/>
      <c r="T49" s="246"/>
      <c r="U49" s="246"/>
      <c r="V49" s="148"/>
      <c r="W49" s="148"/>
      <c r="X49" s="148"/>
      <c r="Y49" s="148"/>
      <c r="Z49" s="246"/>
      <c r="AA49" s="145"/>
      <c r="AB49" s="145"/>
      <c r="AC49" s="164"/>
      <c r="AD49" s="145"/>
      <c r="AE49" s="164"/>
      <c r="AF49" s="145"/>
      <c r="AG49" s="164"/>
      <c r="AH49" s="145"/>
      <c r="AI49" s="164"/>
      <c r="AJ49" s="145"/>
      <c r="AK49" s="164"/>
      <c r="AL49" s="145"/>
      <c r="AM49" s="164"/>
      <c r="AN49" s="145"/>
      <c r="AO49" s="164"/>
      <c r="AP49" s="145"/>
      <c r="AQ49" s="164"/>
      <c r="AR49" s="145"/>
      <c r="AS49" s="164"/>
      <c r="AT49" s="145"/>
      <c r="AU49" s="164"/>
      <c r="AV49" s="145"/>
      <c r="AW49" s="164"/>
      <c r="AX49" s="145"/>
      <c r="AY49" s="164"/>
      <c r="AZ49" s="145"/>
      <c r="BA49" s="164"/>
      <c r="BB49" s="145"/>
      <c r="BC49" s="164"/>
      <c r="BD49" s="145"/>
      <c r="BE49" s="164"/>
      <c r="BF49" s="145"/>
      <c r="BG49" s="164"/>
      <c r="BH49" s="145"/>
      <c r="BI49" s="164"/>
      <c r="BJ49" s="145"/>
      <c r="BK49" s="378"/>
      <c r="BL49" s="403"/>
      <c r="BN49" s="412"/>
      <c r="BO49" s="412"/>
      <c r="BP49" s="412"/>
      <c r="BQ49" s="412"/>
      <c r="BR49" s="412"/>
      <c r="BS49" s="412"/>
      <c r="BT49" s="412"/>
      <c r="BU49" s="412"/>
      <c r="BV49" s="171"/>
    </row>
    <row r="50" spans="1:74" ht="28.5" customHeight="1">
      <c r="A50" s="1010"/>
      <c r="B50" s="228"/>
      <c r="C50" s="166" t="s">
        <v>137</v>
      </c>
      <c r="D50" s="196" t="s">
        <v>347</v>
      </c>
      <c r="E50" s="135">
        <v>30000</v>
      </c>
      <c r="F50" s="400">
        <f>BJ50</f>
        <v>204</v>
      </c>
      <c r="G50" s="161">
        <f>F50*E50</f>
        <v>6120000</v>
      </c>
      <c r="H50" s="161">
        <f>G50*0.5</f>
        <v>3060000</v>
      </c>
      <c r="I50" s="161">
        <f>G50*0.5</f>
        <v>3060000</v>
      </c>
      <c r="J50" s="161"/>
      <c r="K50" s="161"/>
      <c r="L50" s="161"/>
      <c r="M50" s="161"/>
      <c r="N50" s="161"/>
      <c r="O50" s="145"/>
      <c r="P50" s="145"/>
      <c r="Q50" s="145"/>
      <c r="R50" s="145">
        <f>F50*0.25</f>
        <v>51</v>
      </c>
      <c r="S50" s="145">
        <f>F50*0.25</f>
        <v>51</v>
      </c>
      <c r="T50" s="145">
        <f>F50*0.25</f>
        <v>51</v>
      </c>
      <c r="U50" s="145">
        <f>F50*0.25</f>
        <v>51</v>
      </c>
      <c r="V50" s="145">
        <f>R50*E50</f>
        <v>1530000</v>
      </c>
      <c r="W50" s="145">
        <f>S50*E50</f>
        <v>1530000</v>
      </c>
      <c r="X50" s="145">
        <f>T50*E50</f>
        <v>1530000</v>
      </c>
      <c r="Y50" s="145">
        <f>U50*E50</f>
        <v>1530000</v>
      </c>
      <c r="Z50" s="145">
        <v>12</v>
      </c>
      <c r="AA50" s="145">
        <f>Z50*E50</f>
        <v>360000</v>
      </c>
      <c r="AB50" s="145">
        <v>12</v>
      </c>
      <c r="AC50" s="164">
        <f>AB50*E50</f>
        <v>360000</v>
      </c>
      <c r="AD50" s="145">
        <v>12</v>
      </c>
      <c r="AE50" s="164">
        <f>AD50*E50</f>
        <v>360000</v>
      </c>
      <c r="AF50" s="145">
        <v>12</v>
      </c>
      <c r="AG50" s="164">
        <f>AF50*E50</f>
        <v>360000</v>
      </c>
      <c r="AH50" s="145">
        <v>12</v>
      </c>
      <c r="AI50" s="164">
        <f>AH50*E50</f>
        <v>360000</v>
      </c>
      <c r="AJ50" s="145">
        <v>12</v>
      </c>
      <c r="AK50" s="164">
        <f>AJ50*E50</f>
        <v>360000</v>
      </c>
      <c r="AL50" s="145">
        <v>12</v>
      </c>
      <c r="AM50" s="164">
        <f>AL50*E50</f>
        <v>360000</v>
      </c>
      <c r="AN50" s="145">
        <v>12</v>
      </c>
      <c r="AO50" s="164">
        <f>AN50*E50</f>
        <v>360000</v>
      </c>
      <c r="AP50" s="145">
        <v>12</v>
      </c>
      <c r="AQ50" s="164">
        <f>AP50*E50</f>
        <v>360000</v>
      </c>
      <c r="AR50" s="145">
        <v>12</v>
      </c>
      <c r="AS50" s="164">
        <f>AR50*E50</f>
        <v>360000</v>
      </c>
      <c r="AT50" s="145">
        <v>12</v>
      </c>
      <c r="AU50" s="164">
        <f>AT50*E50</f>
        <v>360000</v>
      </c>
      <c r="AV50" s="145">
        <v>12</v>
      </c>
      <c r="AW50" s="164">
        <f>AV50*E50</f>
        <v>360000</v>
      </c>
      <c r="AX50" s="145">
        <v>12</v>
      </c>
      <c r="AY50" s="164">
        <f>AX50*E50</f>
        <v>360000</v>
      </c>
      <c r="AZ50" s="145">
        <v>12</v>
      </c>
      <c r="BA50" s="164">
        <f>AZ50*E50</f>
        <v>360000</v>
      </c>
      <c r="BB50" s="145">
        <v>12</v>
      </c>
      <c r="BC50" s="164">
        <f>BB50*E50</f>
        <v>360000</v>
      </c>
      <c r="BD50" s="145">
        <v>12</v>
      </c>
      <c r="BE50" s="164">
        <f>BD50*E50</f>
        <v>360000</v>
      </c>
      <c r="BF50" s="145">
        <v>12</v>
      </c>
      <c r="BG50" s="164">
        <f>BF50*E50</f>
        <v>360000</v>
      </c>
      <c r="BH50" s="145"/>
      <c r="BI50" s="164">
        <f>BH50*E50</f>
        <v>0</v>
      </c>
      <c r="BJ50" s="145">
        <f t="shared" ref="BJ50:BK54" si="73">BH50+BF50+BD50+BB50+AZ50+AX50+AV50+AT50+AR50+AP50+AN50+AL50+AJ50+AH50+AF50+AD50+AB50+Z50</f>
        <v>204</v>
      </c>
      <c r="BK50" s="145">
        <f t="shared" si="73"/>
        <v>6120000</v>
      </c>
      <c r="BL50" s="403" t="s">
        <v>218</v>
      </c>
      <c r="BN50" s="163"/>
      <c r="BO50" s="163"/>
      <c r="BP50" s="163"/>
      <c r="BQ50" s="163"/>
      <c r="BR50" s="163"/>
      <c r="BS50" s="163"/>
      <c r="BT50" s="163">
        <f>G50</f>
        <v>6120000</v>
      </c>
      <c r="BU50" s="379">
        <f t="shared" si="43"/>
        <v>6120000</v>
      </c>
      <c r="BV50" s="164">
        <f t="shared" si="2"/>
        <v>6120000</v>
      </c>
    </row>
    <row r="51" spans="1:74" ht="33.75" customHeight="1">
      <c r="A51" s="1010"/>
      <c r="B51" s="196"/>
      <c r="C51" s="134" t="s">
        <v>343</v>
      </c>
      <c r="D51" s="196" t="s">
        <v>347</v>
      </c>
      <c r="E51" s="135">
        <v>10000</v>
      </c>
      <c r="F51" s="400">
        <f>BJ51</f>
        <v>204</v>
      </c>
      <c r="G51" s="161">
        <f>F51*E51</f>
        <v>2040000</v>
      </c>
      <c r="H51" s="161">
        <f>G51*0.5</f>
        <v>1020000</v>
      </c>
      <c r="I51" s="161">
        <f>G51*0.5</f>
        <v>1020000</v>
      </c>
      <c r="J51" s="161"/>
      <c r="K51" s="161"/>
      <c r="L51" s="161"/>
      <c r="M51" s="161"/>
      <c r="N51" s="161"/>
      <c r="O51" s="145"/>
      <c r="P51" s="145"/>
      <c r="Q51" s="145"/>
      <c r="R51" s="145">
        <f>F51*0.25</f>
        <v>51</v>
      </c>
      <c r="S51" s="145">
        <f>F51*0.25</f>
        <v>51</v>
      </c>
      <c r="T51" s="145">
        <f>F51*0.25</f>
        <v>51</v>
      </c>
      <c r="U51" s="145">
        <f>F51*0.25</f>
        <v>51</v>
      </c>
      <c r="V51" s="145">
        <f>R51*E51</f>
        <v>510000</v>
      </c>
      <c r="W51" s="145">
        <f>S51*E51</f>
        <v>510000</v>
      </c>
      <c r="X51" s="145">
        <f>T51*E51</f>
        <v>510000</v>
      </c>
      <c r="Y51" s="145">
        <f>U51*E51</f>
        <v>510000</v>
      </c>
      <c r="Z51" s="145">
        <v>12</v>
      </c>
      <c r="AA51" s="145">
        <f>Z51*E51</f>
        <v>120000</v>
      </c>
      <c r="AB51" s="145">
        <v>12</v>
      </c>
      <c r="AC51" s="164">
        <f>AB51*E51</f>
        <v>120000</v>
      </c>
      <c r="AD51" s="145">
        <v>12</v>
      </c>
      <c r="AE51" s="164">
        <f>AD51*E51</f>
        <v>120000</v>
      </c>
      <c r="AF51" s="145">
        <v>12</v>
      </c>
      <c r="AG51" s="164">
        <f>AF51*E51</f>
        <v>120000</v>
      </c>
      <c r="AH51" s="145">
        <v>12</v>
      </c>
      <c r="AI51" s="164">
        <f>AH51*E51</f>
        <v>120000</v>
      </c>
      <c r="AJ51" s="145">
        <v>12</v>
      </c>
      <c r="AK51" s="164">
        <f>AJ51*E51</f>
        <v>120000</v>
      </c>
      <c r="AL51" s="145">
        <v>12</v>
      </c>
      <c r="AM51" s="164">
        <f>AL51*E51</f>
        <v>120000</v>
      </c>
      <c r="AN51" s="145">
        <v>12</v>
      </c>
      <c r="AO51" s="164">
        <f>AN51*E51</f>
        <v>120000</v>
      </c>
      <c r="AP51" s="145">
        <v>12</v>
      </c>
      <c r="AQ51" s="164">
        <f>AP51*E51</f>
        <v>120000</v>
      </c>
      <c r="AR51" s="145">
        <v>12</v>
      </c>
      <c r="AS51" s="164">
        <f>AR51*E51</f>
        <v>120000</v>
      </c>
      <c r="AT51" s="145">
        <v>12</v>
      </c>
      <c r="AU51" s="164">
        <f>AT51*E51</f>
        <v>120000</v>
      </c>
      <c r="AV51" s="145">
        <v>12</v>
      </c>
      <c r="AW51" s="164">
        <f>AV51*E51</f>
        <v>120000</v>
      </c>
      <c r="AX51" s="145">
        <v>12</v>
      </c>
      <c r="AY51" s="164">
        <f>AX51*E51</f>
        <v>120000</v>
      </c>
      <c r="AZ51" s="145">
        <v>12</v>
      </c>
      <c r="BA51" s="164">
        <f>AZ51*E51</f>
        <v>120000</v>
      </c>
      <c r="BB51" s="145">
        <v>12</v>
      </c>
      <c r="BC51" s="164">
        <f>BB51*E51</f>
        <v>120000</v>
      </c>
      <c r="BD51" s="145">
        <v>12</v>
      </c>
      <c r="BE51" s="164">
        <f>BD51*E51</f>
        <v>120000</v>
      </c>
      <c r="BF51" s="145">
        <v>12</v>
      </c>
      <c r="BG51" s="164">
        <f>BF51*E51</f>
        <v>120000</v>
      </c>
      <c r="BH51" s="145"/>
      <c r="BI51" s="164">
        <f>BH51*E51</f>
        <v>0</v>
      </c>
      <c r="BJ51" s="145">
        <f t="shared" si="73"/>
        <v>204</v>
      </c>
      <c r="BK51" s="145">
        <f t="shared" si="73"/>
        <v>2040000</v>
      </c>
      <c r="BL51" s="403" t="s">
        <v>218</v>
      </c>
      <c r="BN51" s="163"/>
      <c r="BO51" s="163"/>
      <c r="BP51" s="163"/>
      <c r="BQ51" s="163"/>
      <c r="BR51" s="163"/>
      <c r="BS51" s="163"/>
      <c r="BT51" s="163">
        <f>G51</f>
        <v>2040000</v>
      </c>
      <c r="BU51" s="379">
        <f t="shared" si="43"/>
        <v>2040000</v>
      </c>
      <c r="BV51" s="164">
        <f t="shared" si="2"/>
        <v>2040000</v>
      </c>
    </row>
    <row r="52" spans="1:74" ht="33.75" customHeight="1">
      <c r="A52" s="1010"/>
      <c r="B52" s="196"/>
      <c r="C52" s="166" t="s">
        <v>131</v>
      </c>
      <c r="D52" s="196" t="s">
        <v>16</v>
      </c>
      <c r="E52" s="135">
        <v>10000</v>
      </c>
      <c r="F52" s="400">
        <f>BJ52</f>
        <v>17</v>
      </c>
      <c r="G52" s="161">
        <f>F52*E52</f>
        <v>170000</v>
      </c>
      <c r="H52" s="161">
        <f>G52*0.5</f>
        <v>85000</v>
      </c>
      <c r="I52" s="161">
        <f>G52*0.5</f>
        <v>85000</v>
      </c>
      <c r="J52" s="161"/>
      <c r="K52" s="161"/>
      <c r="L52" s="161"/>
      <c r="M52" s="161"/>
      <c r="N52" s="161"/>
      <c r="O52" s="161"/>
      <c r="P52" s="161"/>
      <c r="Q52" s="161"/>
      <c r="R52" s="145"/>
      <c r="S52" s="145">
        <f>F52</f>
        <v>17</v>
      </c>
      <c r="T52" s="145"/>
      <c r="U52" s="145"/>
      <c r="V52" s="145">
        <f>R52*E52</f>
        <v>0</v>
      </c>
      <c r="W52" s="145">
        <f>S52*E52</f>
        <v>170000</v>
      </c>
      <c r="X52" s="145">
        <f>T52*E52</f>
        <v>0</v>
      </c>
      <c r="Y52" s="145">
        <f>U52*E52</f>
        <v>0</v>
      </c>
      <c r="Z52" s="145">
        <v>1</v>
      </c>
      <c r="AA52" s="145">
        <f>Z52*E52</f>
        <v>10000</v>
      </c>
      <c r="AB52" s="145">
        <v>1</v>
      </c>
      <c r="AC52" s="164">
        <f>AB52*E52</f>
        <v>10000</v>
      </c>
      <c r="AD52" s="145">
        <v>1</v>
      </c>
      <c r="AE52" s="164">
        <f>AD52*E52</f>
        <v>10000</v>
      </c>
      <c r="AF52" s="145">
        <v>1</v>
      </c>
      <c r="AG52" s="164">
        <f>AF52*E52</f>
        <v>10000</v>
      </c>
      <c r="AH52" s="145">
        <v>1</v>
      </c>
      <c r="AI52" s="164">
        <f>AH52*E52</f>
        <v>10000</v>
      </c>
      <c r="AJ52" s="145">
        <v>1</v>
      </c>
      <c r="AK52" s="164">
        <f>AJ52*E52</f>
        <v>10000</v>
      </c>
      <c r="AL52" s="145">
        <v>1</v>
      </c>
      <c r="AM52" s="164">
        <f>AL52*E52</f>
        <v>10000</v>
      </c>
      <c r="AN52" s="145">
        <v>1</v>
      </c>
      <c r="AO52" s="164">
        <f>AN52*E52</f>
        <v>10000</v>
      </c>
      <c r="AP52" s="145">
        <v>1</v>
      </c>
      <c r="AQ52" s="164">
        <f>AP52*E52</f>
        <v>10000</v>
      </c>
      <c r="AR52" s="145">
        <v>1</v>
      </c>
      <c r="AS52" s="164">
        <f>AR52*E52</f>
        <v>10000</v>
      </c>
      <c r="AT52" s="145">
        <v>1</v>
      </c>
      <c r="AU52" s="164">
        <f>AT52*E52</f>
        <v>10000</v>
      </c>
      <c r="AV52" s="145">
        <v>1</v>
      </c>
      <c r="AW52" s="164">
        <f>AV52*E52</f>
        <v>10000</v>
      </c>
      <c r="AX52" s="145">
        <v>1</v>
      </c>
      <c r="AY52" s="164">
        <f>AX52*E52</f>
        <v>10000</v>
      </c>
      <c r="AZ52" s="145">
        <v>1</v>
      </c>
      <c r="BA52" s="164">
        <f>AZ52*E52</f>
        <v>10000</v>
      </c>
      <c r="BB52" s="145">
        <v>1</v>
      </c>
      <c r="BC52" s="164">
        <f>BB52*E52</f>
        <v>10000</v>
      </c>
      <c r="BD52" s="145">
        <v>1</v>
      </c>
      <c r="BE52" s="164">
        <f>BD52*E52</f>
        <v>10000</v>
      </c>
      <c r="BF52" s="145">
        <v>1</v>
      </c>
      <c r="BG52" s="164">
        <f>BF52*E52</f>
        <v>10000</v>
      </c>
      <c r="BH52" s="145"/>
      <c r="BI52" s="164">
        <f>BH52*E52</f>
        <v>0</v>
      </c>
      <c r="BJ52" s="145">
        <f t="shared" si="73"/>
        <v>17</v>
      </c>
      <c r="BK52" s="145">
        <f t="shared" si="73"/>
        <v>170000</v>
      </c>
      <c r="BL52" s="403" t="s">
        <v>218</v>
      </c>
      <c r="BN52" s="163"/>
      <c r="BO52" s="163"/>
      <c r="BP52" s="174"/>
      <c r="BQ52" s="163"/>
      <c r="BR52" s="163">
        <f>BN52+BO52+BP52+BQ52</f>
        <v>0</v>
      </c>
      <c r="BS52" s="163"/>
      <c r="BT52" s="163">
        <f>G52</f>
        <v>170000</v>
      </c>
      <c r="BU52" s="379">
        <f t="shared" si="43"/>
        <v>170000</v>
      </c>
      <c r="BV52" s="164">
        <f t="shared" si="2"/>
        <v>170000</v>
      </c>
    </row>
    <row r="53" spans="1:74" ht="33.75" customHeight="1">
      <c r="A53" s="1010"/>
      <c r="B53" s="196"/>
      <c r="C53" s="134" t="s">
        <v>590</v>
      </c>
      <c r="D53" s="196" t="s">
        <v>347</v>
      </c>
      <c r="E53" s="135" t="s">
        <v>360</v>
      </c>
      <c r="F53" s="400">
        <f>BJ53</f>
        <v>204</v>
      </c>
      <c r="G53" s="161">
        <f>F53*E53</f>
        <v>5100000</v>
      </c>
      <c r="H53" s="161">
        <f>G53*0.5</f>
        <v>2550000</v>
      </c>
      <c r="I53" s="161">
        <f>G53*0.5</f>
        <v>2550000</v>
      </c>
      <c r="J53" s="161"/>
      <c r="K53" s="161"/>
      <c r="L53" s="161"/>
      <c r="M53" s="161"/>
      <c r="N53" s="161"/>
      <c r="O53" s="161"/>
      <c r="P53" s="161"/>
      <c r="Q53" s="161"/>
      <c r="R53" s="145">
        <f>F53*0.25</f>
        <v>51</v>
      </c>
      <c r="S53" s="145">
        <f>F53*0.25</f>
        <v>51</v>
      </c>
      <c r="T53" s="145">
        <f>F53*0.25</f>
        <v>51</v>
      </c>
      <c r="U53" s="145">
        <f>F53*0.25</f>
        <v>51</v>
      </c>
      <c r="V53" s="145">
        <f>R53*E53</f>
        <v>1275000</v>
      </c>
      <c r="W53" s="145">
        <f>S53*E53</f>
        <v>1275000</v>
      </c>
      <c r="X53" s="145">
        <f>T53*E53</f>
        <v>1275000</v>
      </c>
      <c r="Y53" s="145">
        <f>U53*E53</f>
        <v>1275000</v>
      </c>
      <c r="Z53" s="253">
        <v>12</v>
      </c>
      <c r="AA53" s="145">
        <f>Z53*E53</f>
        <v>300000</v>
      </c>
      <c r="AB53" s="253">
        <v>12</v>
      </c>
      <c r="AC53" s="164">
        <f>AB53*E53</f>
        <v>300000</v>
      </c>
      <c r="AD53" s="253">
        <v>12</v>
      </c>
      <c r="AE53" s="164">
        <f>AD53*E53</f>
        <v>300000</v>
      </c>
      <c r="AF53" s="253">
        <v>12</v>
      </c>
      <c r="AG53" s="164">
        <f>AF53*E53</f>
        <v>300000</v>
      </c>
      <c r="AH53" s="253">
        <v>12</v>
      </c>
      <c r="AI53" s="164">
        <f>AH53*E53</f>
        <v>300000</v>
      </c>
      <c r="AJ53" s="253">
        <v>12</v>
      </c>
      <c r="AK53" s="164">
        <f>AJ53*E53</f>
        <v>300000</v>
      </c>
      <c r="AL53" s="253">
        <v>12</v>
      </c>
      <c r="AM53" s="164">
        <f>AL53*E53</f>
        <v>300000</v>
      </c>
      <c r="AN53" s="253">
        <v>12</v>
      </c>
      <c r="AO53" s="164">
        <f>AN53*E53</f>
        <v>300000</v>
      </c>
      <c r="AP53" s="253">
        <v>12</v>
      </c>
      <c r="AQ53" s="164">
        <f>AP53*E53</f>
        <v>300000</v>
      </c>
      <c r="AR53" s="253">
        <v>12</v>
      </c>
      <c r="AS53" s="164">
        <f>AR53*E53</f>
        <v>300000</v>
      </c>
      <c r="AT53" s="253">
        <v>12</v>
      </c>
      <c r="AU53" s="164">
        <f>AT53*E53</f>
        <v>300000</v>
      </c>
      <c r="AV53" s="253">
        <v>12</v>
      </c>
      <c r="AW53" s="164">
        <f>AV53*E53</f>
        <v>300000</v>
      </c>
      <c r="AX53" s="253">
        <v>12</v>
      </c>
      <c r="AY53" s="164">
        <f>AX53*E53</f>
        <v>300000</v>
      </c>
      <c r="AZ53" s="253">
        <v>12</v>
      </c>
      <c r="BA53" s="164">
        <f>AZ53*E53</f>
        <v>300000</v>
      </c>
      <c r="BB53" s="253">
        <v>12</v>
      </c>
      <c r="BC53" s="164">
        <f>BB53*E53</f>
        <v>300000</v>
      </c>
      <c r="BD53" s="253">
        <v>12</v>
      </c>
      <c r="BE53" s="164">
        <f>BD53*E53</f>
        <v>300000</v>
      </c>
      <c r="BF53" s="253">
        <v>12</v>
      </c>
      <c r="BG53" s="164">
        <f>BF53*E53</f>
        <v>300000</v>
      </c>
      <c r="BH53" s="145"/>
      <c r="BI53" s="164">
        <f>BH53*E53</f>
        <v>0</v>
      </c>
      <c r="BJ53" s="145">
        <f t="shared" si="73"/>
        <v>204</v>
      </c>
      <c r="BK53" s="145">
        <f t="shared" si="73"/>
        <v>5100000</v>
      </c>
      <c r="BL53" s="403" t="s">
        <v>218</v>
      </c>
      <c r="BN53" s="162">
        <f t="shared" ref="BN53:BS53" si="74">SUM(BN52:BN52)</f>
        <v>0</v>
      </c>
      <c r="BO53" s="162">
        <f t="shared" si="74"/>
        <v>0</v>
      </c>
      <c r="BP53" s="162"/>
      <c r="BQ53" s="162">
        <f t="shared" si="74"/>
        <v>0</v>
      </c>
      <c r="BR53" s="162">
        <f t="shared" si="74"/>
        <v>0</v>
      </c>
      <c r="BS53" s="162">
        <f t="shared" si="74"/>
        <v>0</v>
      </c>
      <c r="BT53" s="163">
        <f>G53</f>
        <v>5100000</v>
      </c>
      <c r="BU53" s="379">
        <f t="shared" si="43"/>
        <v>5100000</v>
      </c>
      <c r="BV53" s="164">
        <f t="shared" si="2"/>
        <v>5100000</v>
      </c>
    </row>
    <row r="54" spans="1:74" ht="33.75" customHeight="1">
      <c r="A54" s="1010"/>
      <c r="B54" s="196"/>
      <c r="C54" s="166" t="s">
        <v>589</v>
      </c>
      <c r="D54" s="196" t="s">
        <v>347</v>
      </c>
      <c r="E54" s="135">
        <v>3000</v>
      </c>
      <c r="F54" s="400">
        <f>BJ54</f>
        <v>252</v>
      </c>
      <c r="G54" s="161">
        <f>F54*E54</f>
        <v>756000</v>
      </c>
      <c r="H54" s="161">
        <f>G54*0.5</f>
        <v>378000</v>
      </c>
      <c r="I54" s="161">
        <f>G54*0.5</f>
        <v>378000</v>
      </c>
      <c r="J54" s="161"/>
      <c r="K54" s="161"/>
      <c r="L54" s="161"/>
      <c r="M54" s="161"/>
      <c r="N54" s="161"/>
      <c r="O54" s="161"/>
      <c r="P54" s="161"/>
      <c r="Q54" s="161"/>
      <c r="R54" s="145">
        <f>F54*0.25</f>
        <v>63</v>
      </c>
      <c r="S54" s="145">
        <f>F54*0.25</f>
        <v>63</v>
      </c>
      <c r="T54" s="145">
        <f>F54*0.25</f>
        <v>63</v>
      </c>
      <c r="U54" s="145">
        <f>F54*0.25</f>
        <v>63</v>
      </c>
      <c r="V54" s="145">
        <f>R54*E54</f>
        <v>189000</v>
      </c>
      <c r="W54" s="145">
        <f>S54*E54</f>
        <v>189000</v>
      </c>
      <c r="X54" s="145">
        <f>T54*E54</f>
        <v>189000</v>
      </c>
      <c r="Y54" s="145">
        <f>U54*E54</f>
        <v>189000</v>
      </c>
      <c r="Z54" s="145">
        <v>12</v>
      </c>
      <c r="AA54" s="145">
        <f>Z54*E54</f>
        <v>36000</v>
      </c>
      <c r="AB54" s="145">
        <v>12</v>
      </c>
      <c r="AC54" s="164">
        <f>AB54*E54</f>
        <v>36000</v>
      </c>
      <c r="AD54" s="145">
        <v>12</v>
      </c>
      <c r="AE54" s="164">
        <f>AD54*E54</f>
        <v>36000</v>
      </c>
      <c r="AF54" s="145">
        <f>12*2*2</f>
        <v>48</v>
      </c>
      <c r="AG54" s="164">
        <f>AF54*E54</f>
        <v>144000</v>
      </c>
      <c r="AH54" s="145">
        <v>12</v>
      </c>
      <c r="AI54" s="164">
        <f>AH54*E54</f>
        <v>36000</v>
      </c>
      <c r="AJ54" s="145">
        <v>12</v>
      </c>
      <c r="AK54" s="164">
        <f>AJ54*E54</f>
        <v>36000</v>
      </c>
      <c r="AL54" s="145">
        <v>12</v>
      </c>
      <c r="AM54" s="164">
        <f>AL54*E54</f>
        <v>36000</v>
      </c>
      <c r="AN54" s="145">
        <v>12</v>
      </c>
      <c r="AO54" s="164">
        <f>AN54*E54</f>
        <v>36000</v>
      </c>
      <c r="AP54" s="145">
        <v>12</v>
      </c>
      <c r="AQ54" s="164">
        <f>AP54*E54</f>
        <v>36000</v>
      </c>
      <c r="AR54" s="145">
        <v>12</v>
      </c>
      <c r="AS54" s="164">
        <f>AR54*E54</f>
        <v>36000</v>
      </c>
      <c r="AT54" s="145">
        <v>12</v>
      </c>
      <c r="AU54" s="164">
        <f>AT54*E54</f>
        <v>36000</v>
      </c>
      <c r="AV54" s="145">
        <v>12</v>
      </c>
      <c r="AW54" s="164">
        <f>AV54*E54</f>
        <v>36000</v>
      </c>
      <c r="AX54" s="145">
        <v>12</v>
      </c>
      <c r="AY54" s="164">
        <f>AX54*E54</f>
        <v>36000</v>
      </c>
      <c r="AZ54" s="145">
        <v>12</v>
      </c>
      <c r="BA54" s="164">
        <f>AZ54*E54</f>
        <v>36000</v>
      </c>
      <c r="BB54" s="145">
        <v>12</v>
      </c>
      <c r="BC54" s="164">
        <f>BB54*E54</f>
        <v>36000</v>
      </c>
      <c r="BD54" s="145">
        <f>12*2</f>
        <v>24</v>
      </c>
      <c r="BE54" s="164">
        <f>BD54*E54</f>
        <v>72000</v>
      </c>
      <c r="BF54" s="145">
        <v>12</v>
      </c>
      <c r="BG54" s="164">
        <f>BF54*E54</f>
        <v>36000</v>
      </c>
      <c r="BH54" s="145"/>
      <c r="BI54" s="164">
        <f>BH54*E54</f>
        <v>0</v>
      </c>
      <c r="BJ54" s="145">
        <f t="shared" si="73"/>
        <v>252</v>
      </c>
      <c r="BK54" s="145">
        <f t="shared" si="73"/>
        <v>756000</v>
      </c>
      <c r="BL54" s="403" t="s">
        <v>218</v>
      </c>
      <c r="BN54" s="163"/>
      <c r="BO54" s="163"/>
      <c r="BP54" s="174"/>
      <c r="BQ54" s="163"/>
      <c r="BR54" s="163">
        <f>BN54+BO54+BP54+BQ54</f>
        <v>0</v>
      </c>
      <c r="BS54" s="163"/>
      <c r="BT54" s="163">
        <f>G54</f>
        <v>756000</v>
      </c>
      <c r="BU54" s="379">
        <f t="shared" si="43"/>
        <v>756000</v>
      </c>
      <c r="BV54" s="164">
        <f t="shared" si="2"/>
        <v>756000</v>
      </c>
    </row>
    <row r="55" spans="1:74" s="23" customFormat="1">
      <c r="A55" s="395"/>
      <c r="B55" s="228"/>
      <c r="C55" s="158" t="s">
        <v>364</v>
      </c>
      <c r="D55" s="228"/>
      <c r="E55" s="177"/>
      <c r="F55" s="246">
        <f t="shared" ref="F55:AK55" si="75">SUM(F50:F54)</f>
        <v>881</v>
      </c>
      <c r="G55" s="246">
        <f t="shared" si="75"/>
        <v>14186000</v>
      </c>
      <c r="H55" s="246">
        <f t="shared" si="75"/>
        <v>7093000</v>
      </c>
      <c r="I55" s="246">
        <f t="shared" si="75"/>
        <v>7093000</v>
      </c>
      <c r="J55" s="246">
        <f t="shared" si="75"/>
        <v>0</v>
      </c>
      <c r="K55" s="246">
        <f t="shared" si="75"/>
        <v>0</v>
      </c>
      <c r="L55" s="246">
        <f t="shared" si="75"/>
        <v>0</v>
      </c>
      <c r="M55" s="246">
        <f t="shared" si="75"/>
        <v>0</v>
      </c>
      <c r="N55" s="246">
        <f t="shared" si="75"/>
        <v>0</v>
      </c>
      <c r="O55" s="246">
        <f t="shared" si="75"/>
        <v>0</v>
      </c>
      <c r="P55" s="246">
        <f t="shared" si="75"/>
        <v>0</v>
      </c>
      <c r="Q55" s="246">
        <f t="shared" si="75"/>
        <v>0</v>
      </c>
      <c r="R55" s="246">
        <f t="shared" si="75"/>
        <v>216</v>
      </c>
      <c r="S55" s="246">
        <f t="shared" si="75"/>
        <v>233</v>
      </c>
      <c r="T55" s="246">
        <f t="shared" si="75"/>
        <v>216</v>
      </c>
      <c r="U55" s="246">
        <f t="shared" si="75"/>
        <v>216</v>
      </c>
      <c r="V55" s="246">
        <f t="shared" si="75"/>
        <v>3504000</v>
      </c>
      <c r="W55" s="246">
        <f t="shared" si="75"/>
        <v>3674000</v>
      </c>
      <c r="X55" s="246">
        <f t="shared" si="75"/>
        <v>3504000</v>
      </c>
      <c r="Y55" s="246">
        <f t="shared" si="75"/>
        <v>3504000</v>
      </c>
      <c r="Z55" s="246">
        <f t="shared" si="75"/>
        <v>49</v>
      </c>
      <c r="AA55" s="246">
        <f t="shared" si="75"/>
        <v>826000</v>
      </c>
      <c r="AB55" s="246">
        <f t="shared" si="75"/>
        <v>49</v>
      </c>
      <c r="AC55" s="246">
        <f t="shared" si="75"/>
        <v>826000</v>
      </c>
      <c r="AD55" s="246">
        <f t="shared" si="75"/>
        <v>49</v>
      </c>
      <c r="AE55" s="246">
        <f t="shared" si="75"/>
        <v>826000</v>
      </c>
      <c r="AF55" s="246">
        <f t="shared" si="75"/>
        <v>85</v>
      </c>
      <c r="AG55" s="246">
        <f t="shared" si="75"/>
        <v>934000</v>
      </c>
      <c r="AH55" s="246">
        <f t="shared" si="75"/>
        <v>49</v>
      </c>
      <c r="AI55" s="246">
        <f t="shared" si="75"/>
        <v>826000</v>
      </c>
      <c r="AJ55" s="246">
        <f t="shared" si="75"/>
        <v>49</v>
      </c>
      <c r="AK55" s="246">
        <f t="shared" si="75"/>
        <v>826000</v>
      </c>
      <c r="AL55" s="246">
        <f t="shared" ref="AL55:BK55" si="76">SUM(AL50:AL54)</f>
        <v>49</v>
      </c>
      <c r="AM55" s="246">
        <f t="shared" si="76"/>
        <v>826000</v>
      </c>
      <c r="AN55" s="246">
        <f t="shared" si="76"/>
        <v>49</v>
      </c>
      <c r="AO55" s="246">
        <f t="shared" si="76"/>
        <v>826000</v>
      </c>
      <c r="AP55" s="246">
        <f t="shared" si="76"/>
        <v>49</v>
      </c>
      <c r="AQ55" s="246">
        <f t="shared" si="76"/>
        <v>826000</v>
      </c>
      <c r="AR55" s="246">
        <f t="shared" si="76"/>
        <v>49</v>
      </c>
      <c r="AS55" s="246">
        <f t="shared" si="76"/>
        <v>826000</v>
      </c>
      <c r="AT55" s="246">
        <f t="shared" si="76"/>
        <v>49</v>
      </c>
      <c r="AU55" s="246">
        <f t="shared" si="76"/>
        <v>826000</v>
      </c>
      <c r="AV55" s="246">
        <f t="shared" si="76"/>
        <v>49</v>
      </c>
      <c r="AW55" s="246">
        <f t="shared" si="76"/>
        <v>826000</v>
      </c>
      <c r="AX55" s="246">
        <f t="shared" si="76"/>
        <v>49</v>
      </c>
      <c r="AY55" s="246">
        <f t="shared" si="76"/>
        <v>826000</v>
      </c>
      <c r="AZ55" s="246">
        <f t="shared" si="76"/>
        <v>49</v>
      </c>
      <c r="BA55" s="246">
        <f t="shared" si="76"/>
        <v>826000</v>
      </c>
      <c r="BB55" s="246">
        <f t="shared" si="76"/>
        <v>49</v>
      </c>
      <c r="BC55" s="246">
        <f t="shared" si="76"/>
        <v>826000</v>
      </c>
      <c r="BD55" s="246">
        <f t="shared" si="76"/>
        <v>61</v>
      </c>
      <c r="BE55" s="246">
        <f t="shared" si="76"/>
        <v>862000</v>
      </c>
      <c r="BF55" s="246">
        <f t="shared" si="76"/>
        <v>49</v>
      </c>
      <c r="BG55" s="246">
        <f t="shared" si="76"/>
        <v>826000</v>
      </c>
      <c r="BH55" s="246">
        <f t="shared" si="76"/>
        <v>0</v>
      </c>
      <c r="BI55" s="246">
        <f t="shared" si="76"/>
        <v>0</v>
      </c>
      <c r="BJ55" s="246">
        <f t="shared" si="76"/>
        <v>881</v>
      </c>
      <c r="BK55" s="246">
        <f t="shared" si="76"/>
        <v>14186000</v>
      </c>
      <c r="BL55" s="246">
        <f t="shared" ref="BL55:BV55" si="77">SUM(BL50:BL54)</f>
        <v>0</v>
      </c>
      <c r="BM55" s="246">
        <f t="shared" si="77"/>
        <v>0</v>
      </c>
      <c r="BN55" s="246">
        <f t="shared" si="77"/>
        <v>0</v>
      </c>
      <c r="BO55" s="246">
        <f t="shared" si="77"/>
        <v>0</v>
      </c>
      <c r="BP55" s="246">
        <f t="shared" si="77"/>
        <v>0</v>
      </c>
      <c r="BQ55" s="246">
        <f t="shared" si="77"/>
        <v>0</v>
      </c>
      <c r="BR55" s="246">
        <f t="shared" si="77"/>
        <v>0</v>
      </c>
      <c r="BS55" s="246">
        <f t="shared" si="77"/>
        <v>0</v>
      </c>
      <c r="BT55" s="246">
        <f t="shared" si="77"/>
        <v>14186000</v>
      </c>
      <c r="BU55" s="246">
        <f t="shared" si="77"/>
        <v>14186000</v>
      </c>
      <c r="BV55" s="246">
        <f t="shared" si="77"/>
        <v>14186000</v>
      </c>
    </row>
    <row r="56" spans="1:74" s="23" customFormat="1">
      <c r="B56" s="155"/>
      <c r="C56" s="155" t="s">
        <v>346</v>
      </c>
      <c r="D56" s="155"/>
      <c r="E56" s="170"/>
      <c r="F56" s="155">
        <f t="shared" ref="F56:AK56" si="78">F55+F48+F30+F16</f>
        <v>3231</v>
      </c>
      <c r="G56" s="148">
        <f>G55+G48+G30+G16</f>
        <v>73547961</v>
      </c>
      <c r="H56" s="155">
        <f t="shared" si="78"/>
        <v>34736692.200000003</v>
      </c>
      <c r="I56" s="155">
        <f t="shared" si="78"/>
        <v>37872268.799999997</v>
      </c>
      <c r="J56" s="155">
        <f t="shared" si="78"/>
        <v>0</v>
      </c>
      <c r="K56" s="155">
        <f t="shared" si="78"/>
        <v>0</v>
      </c>
      <c r="L56" s="155">
        <f t="shared" si="78"/>
        <v>939000</v>
      </c>
      <c r="M56" s="155">
        <f t="shared" si="78"/>
        <v>0</v>
      </c>
      <c r="N56" s="155">
        <f t="shared" si="78"/>
        <v>0</v>
      </c>
      <c r="O56" s="155">
        <f t="shared" si="78"/>
        <v>0</v>
      </c>
      <c r="P56" s="155">
        <f t="shared" si="78"/>
        <v>0</v>
      </c>
      <c r="Q56" s="155">
        <f t="shared" si="78"/>
        <v>0</v>
      </c>
      <c r="R56" s="155">
        <f t="shared" si="78"/>
        <v>789.5</v>
      </c>
      <c r="S56" s="155">
        <f t="shared" si="78"/>
        <v>862.5</v>
      </c>
      <c r="T56" s="155">
        <f t="shared" si="78"/>
        <v>788.5</v>
      </c>
      <c r="U56" s="155">
        <f t="shared" si="78"/>
        <v>788.5</v>
      </c>
      <c r="V56" s="155">
        <f t="shared" si="78"/>
        <v>17021250</v>
      </c>
      <c r="W56" s="155">
        <f t="shared" si="78"/>
        <v>19751250</v>
      </c>
      <c r="X56" s="155">
        <f t="shared" si="78"/>
        <v>16941250</v>
      </c>
      <c r="Y56" s="155">
        <f t="shared" si="78"/>
        <v>18132087</v>
      </c>
      <c r="Z56" s="155">
        <f t="shared" si="78"/>
        <v>188</v>
      </c>
      <c r="AA56" s="155">
        <f t="shared" si="78"/>
        <v>5218000</v>
      </c>
      <c r="AB56" s="155">
        <f t="shared" si="78"/>
        <v>187</v>
      </c>
      <c r="AC56" s="155">
        <f t="shared" si="78"/>
        <v>4263000</v>
      </c>
      <c r="AD56" s="155">
        <f t="shared" si="78"/>
        <v>187</v>
      </c>
      <c r="AE56" s="155">
        <f t="shared" si="78"/>
        <v>4103000</v>
      </c>
      <c r="AF56" s="155">
        <f t="shared" si="78"/>
        <v>226</v>
      </c>
      <c r="AG56" s="155">
        <f t="shared" si="78"/>
        <v>4411000</v>
      </c>
      <c r="AH56" s="155">
        <f t="shared" si="78"/>
        <v>188</v>
      </c>
      <c r="AI56" s="155">
        <f t="shared" si="78"/>
        <v>4263000</v>
      </c>
      <c r="AJ56" s="155">
        <f t="shared" si="78"/>
        <v>188</v>
      </c>
      <c r="AK56" s="155">
        <f t="shared" si="78"/>
        <v>4263000</v>
      </c>
      <c r="AL56" s="155">
        <f t="shared" ref="AL56:BQ56" si="79">AL55+AL48+AL30+AL16</f>
        <v>188</v>
      </c>
      <c r="AM56" s="155">
        <f t="shared" si="79"/>
        <v>5042000</v>
      </c>
      <c r="AN56" s="155">
        <f t="shared" si="79"/>
        <v>187</v>
      </c>
      <c r="AO56" s="155">
        <f t="shared" si="79"/>
        <v>4103000</v>
      </c>
      <c r="AP56" s="155">
        <f t="shared" si="79"/>
        <v>186</v>
      </c>
      <c r="AQ56" s="155">
        <f t="shared" si="79"/>
        <v>4103000</v>
      </c>
      <c r="AR56" s="155">
        <f t="shared" si="79"/>
        <v>186</v>
      </c>
      <c r="AS56" s="155">
        <f t="shared" si="79"/>
        <v>4103000</v>
      </c>
      <c r="AT56" s="155">
        <f t="shared" si="79"/>
        <v>188</v>
      </c>
      <c r="AU56" s="155">
        <f t="shared" si="79"/>
        <v>4866124</v>
      </c>
      <c r="AV56" s="155">
        <f t="shared" si="79"/>
        <v>188</v>
      </c>
      <c r="AW56" s="155">
        <f t="shared" si="79"/>
        <v>4408837</v>
      </c>
      <c r="AX56" s="155">
        <f t="shared" si="79"/>
        <v>187</v>
      </c>
      <c r="AY56" s="155">
        <f t="shared" si="79"/>
        <v>4153000</v>
      </c>
      <c r="AZ56" s="155">
        <f t="shared" si="79"/>
        <v>187</v>
      </c>
      <c r="BA56" s="155">
        <f t="shared" si="79"/>
        <v>3903000</v>
      </c>
      <c r="BB56" s="155">
        <f t="shared" si="79"/>
        <v>187</v>
      </c>
      <c r="BC56" s="155">
        <f t="shared" si="79"/>
        <v>4103000</v>
      </c>
      <c r="BD56" s="155">
        <f t="shared" si="79"/>
        <v>198</v>
      </c>
      <c r="BE56" s="155">
        <f t="shared" si="79"/>
        <v>4139000</v>
      </c>
      <c r="BF56" s="155">
        <f t="shared" si="79"/>
        <v>186</v>
      </c>
      <c r="BG56" s="155">
        <f t="shared" si="79"/>
        <v>4103000</v>
      </c>
      <c r="BH56" s="155">
        <f t="shared" si="79"/>
        <v>0</v>
      </c>
      <c r="BI56" s="155">
        <f t="shared" si="79"/>
        <v>0</v>
      </c>
      <c r="BJ56" s="155">
        <f t="shared" si="79"/>
        <v>3232</v>
      </c>
      <c r="BK56" s="155">
        <f t="shared" si="79"/>
        <v>73547961</v>
      </c>
      <c r="BL56" s="155">
        <f t="shared" si="79"/>
        <v>0</v>
      </c>
      <c r="BM56" s="155">
        <f t="shared" si="79"/>
        <v>0</v>
      </c>
      <c r="BN56" s="155">
        <f t="shared" si="79"/>
        <v>2912961</v>
      </c>
      <c r="BO56" s="155">
        <f t="shared" si="79"/>
        <v>0</v>
      </c>
      <c r="BP56" s="155">
        <f t="shared" si="79"/>
        <v>2980000</v>
      </c>
      <c r="BQ56" s="155">
        <f t="shared" si="79"/>
        <v>0</v>
      </c>
      <c r="BR56" s="155">
        <f>BR55+BR48+BR30+BR16</f>
        <v>5792961</v>
      </c>
      <c r="BS56" s="155">
        <f>BS55+BS48+BS30+BS16</f>
        <v>41157000</v>
      </c>
      <c r="BT56" s="155">
        <f>BT55+BT48+BT30+BT16</f>
        <v>27361124</v>
      </c>
      <c r="BU56" s="155">
        <f>BU55+BU48+BU30+BU16</f>
        <v>68518124</v>
      </c>
      <c r="BV56" s="155">
        <f>BV55+BV48+BV30+BV16</f>
        <v>74311085</v>
      </c>
    </row>
    <row r="57" spans="1:74">
      <c r="X57" s="209"/>
      <c r="AA57" s="139">
        <f>+AA56+AC56+AE56+AG56+AI56+AK56+AM56+AO56+AQ56+AS56+AU56+AW56+AY56+BA56+BC56+BE56+BG56+BI56</f>
        <v>73547961</v>
      </c>
      <c r="BS57" s="209"/>
    </row>
    <row r="59" spans="1:74">
      <c r="AA59" s="139" t="e">
        <f>#REF!+#REF!+#REF!+AA49+AA21</f>
        <v>#REF!</v>
      </c>
    </row>
    <row r="60" spans="1:74">
      <c r="BK60" s="139">
        <f>G56-BK56</f>
        <v>0</v>
      </c>
    </row>
  </sheetData>
  <mergeCells count="43">
    <mergeCell ref="BB7:BC8"/>
    <mergeCell ref="A10:A54"/>
    <mergeCell ref="BF7:BG8"/>
    <mergeCell ref="BH7:BI8"/>
    <mergeCell ref="BJ7:BK8"/>
    <mergeCell ref="C8:C9"/>
    <mergeCell ref="E8:E9"/>
    <mergeCell ref="F8:F9"/>
    <mergeCell ref="G8:G9"/>
    <mergeCell ref="AT7:AU8"/>
    <mergeCell ref="AV7:AW8"/>
    <mergeCell ref="AB7:AC8"/>
    <mergeCell ref="AD7:AE8"/>
    <mergeCell ref="AF7:AG8"/>
    <mergeCell ref="AX7:AY8"/>
    <mergeCell ref="AZ7:BA8"/>
    <mergeCell ref="BD7:BE8"/>
    <mergeCell ref="BL7:BL9"/>
    <mergeCell ref="BN8:BR8"/>
    <mergeCell ref="BS8:BU8"/>
    <mergeCell ref="BV8:BV9"/>
    <mergeCell ref="AP7:AQ8"/>
    <mergeCell ref="AR7:AS8"/>
    <mergeCell ref="A5:B5"/>
    <mergeCell ref="C5:Q5"/>
    <mergeCell ref="A6:B6"/>
    <mergeCell ref="C6:Q6"/>
    <mergeCell ref="Z7:AA8"/>
    <mergeCell ref="AH7:AI8"/>
    <mergeCell ref="AJ7:AK8"/>
    <mergeCell ref="AL7:AM8"/>
    <mergeCell ref="AN7:AO8"/>
    <mergeCell ref="A7:D7"/>
    <mergeCell ref="E7:G7"/>
    <mergeCell ref="H7:Q7"/>
    <mergeCell ref="R7:U8"/>
    <mergeCell ref="V7:Y8"/>
    <mergeCell ref="A2:B2"/>
    <mergeCell ref="C2:Q2"/>
    <mergeCell ref="A3:B3"/>
    <mergeCell ref="C3:Q3"/>
    <mergeCell ref="A4:B4"/>
    <mergeCell ref="C4:Q4"/>
  </mergeCells>
  <pageMargins left="0.4" right="0.7" top="0.32" bottom="0.17" header="0.3" footer="0.17"/>
  <pageSetup paperSize="9" scale="28" fitToHeight="2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2:BW36"/>
  <sheetViews>
    <sheetView zoomScale="80" zoomScaleNormal="80" workbookViewId="0">
      <pane xSplit="8" ySplit="10" topLeftCell="BI29" activePane="bottomRight" state="frozen"/>
      <selection activeCell="C8" sqref="C8"/>
      <selection pane="topRight" activeCell="H8" sqref="H8"/>
      <selection pane="bottomLeft" activeCell="C11" sqref="C11"/>
      <selection pane="bottomRight" activeCell="BK42" sqref="BK42"/>
    </sheetView>
  </sheetViews>
  <sheetFormatPr defaultColWidth="9.140625" defaultRowHeight="15.75"/>
  <cols>
    <col min="1" max="1" width="11.7109375" style="178" customWidth="1"/>
    <col min="2" max="2" width="14" style="178" customWidth="1"/>
    <col min="3" max="3" width="25.140625" style="178" customWidth="1"/>
    <col min="4" max="4" width="42" style="178" customWidth="1"/>
    <col min="5" max="5" width="11.42578125" style="178" customWidth="1"/>
    <col min="6" max="6" width="19.85546875" style="178" customWidth="1"/>
    <col min="7" max="7" width="8.42578125" style="178" customWidth="1"/>
    <col min="8" max="8" width="16.28515625" style="303" customWidth="1"/>
    <col min="9" max="9" width="13.140625" style="303" customWidth="1"/>
    <col min="10" max="10" width="17.28515625" style="303" customWidth="1"/>
    <col min="11" max="11" width="10.28515625" style="303" customWidth="1"/>
    <col min="12" max="12" width="13" style="303" customWidth="1"/>
    <col min="13" max="13" width="6.5703125" style="303" customWidth="1"/>
    <col min="14" max="14" width="12.140625" style="303" customWidth="1"/>
    <col min="15" max="15" width="5.5703125" style="303" customWidth="1"/>
    <col min="16" max="16" width="7.140625" style="303" customWidth="1"/>
    <col min="17" max="17" width="12" style="303" customWidth="1"/>
    <col min="18" max="18" width="8.28515625" style="178" customWidth="1"/>
    <col min="19" max="22" width="7.5703125" style="413" customWidth="1"/>
    <col min="23" max="26" width="15.42578125" style="303" customWidth="1"/>
    <col min="27" max="27" width="5.140625" style="178" customWidth="1"/>
    <col min="28" max="28" width="11.7109375" style="178" customWidth="1"/>
    <col min="29" max="29" width="5.140625" style="178" customWidth="1"/>
    <col min="30" max="30" width="11.7109375" style="178" customWidth="1"/>
    <col min="31" max="31" width="5.140625" style="178" customWidth="1"/>
    <col min="32" max="32" width="13.140625" style="178" customWidth="1"/>
    <col min="33" max="33" width="5.140625" style="178" customWidth="1"/>
    <col min="34" max="34" width="13.140625" style="178" customWidth="1"/>
    <col min="35" max="35" width="5.140625" style="178" customWidth="1"/>
    <col min="36" max="36" width="13.140625" style="178" customWidth="1"/>
    <col min="37" max="37" width="5.140625" style="178" customWidth="1"/>
    <col min="38" max="38" width="13.140625" style="178" customWidth="1"/>
    <col min="39" max="39" width="5.140625" style="178" customWidth="1"/>
    <col min="40" max="40" width="13.140625" style="178" customWidth="1"/>
    <col min="41" max="41" width="5.140625" style="178" customWidth="1"/>
    <col min="42" max="42" width="13.140625" style="178" customWidth="1"/>
    <col min="43" max="43" width="7.85546875" style="178" customWidth="1"/>
    <col min="44" max="44" width="14.5703125" style="178" customWidth="1"/>
    <col min="45" max="45" width="6.42578125" style="178" customWidth="1"/>
    <col min="46" max="46" width="13.140625" style="178" customWidth="1"/>
    <col min="47" max="47" width="6.5703125" style="178" customWidth="1"/>
    <col min="48" max="48" width="13.140625" style="178" customWidth="1"/>
    <col min="49" max="49" width="7.7109375" style="178" customWidth="1"/>
    <col min="50" max="50" width="13.7109375" style="178" customWidth="1"/>
    <col min="51" max="51" width="6.7109375" style="178" bestFit="1" customWidth="1"/>
    <col min="52" max="52" width="13.140625" style="178" customWidth="1"/>
    <col min="53" max="53" width="6.7109375" style="178" bestFit="1" customWidth="1"/>
    <col min="54" max="54" width="13.140625" style="178" customWidth="1"/>
    <col min="55" max="55" width="5.85546875" style="178" bestFit="1" customWidth="1"/>
    <col min="56" max="56" width="13.140625" style="178" customWidth="1"/>
    <col min="57" max="57" width="5.85546875" style="178" bestFit="1" customWidth="1"/>
    <col min="58" max="58" width="13.140625" style="178" customWidth="1"/>
    <col min="59" max="59" width="5.140625" style="178" customWidth="1"/>
    <col min="60" max="60" width="13.140625" style="178" customWidth="1"/>
    <col min="61" max="61" width="5.140625" style="178" customWidth="1"/>
    <col min="62" max="62" width="17.28515625" style="178" customWidth="1"/>
    <col min="63" max="63" width="10.28515625" style="178" customWidth="1"/>
    <col min="64" max="64" width="15.42578125" style="178" customWidth="1"/>
    <col min="65" max="65" width="22.28515625" style="178" customWidth="1"/>
    <col min="66" max="66" width="9.140625" style="178" customWidth="1"/>
    <col min="67" max="67" width="6.7109375" style="178" bestFit="1" customWidth="1"/>
    <col min="68" max="68" width="18.7109375" style="178" bestFit="1" customWidth="1"/>
    <col min="69" max="69" width="14.28515625" style="178" bestFit="1" customWidth="1"/>
    <col min="70" max="70" width="9.140625" style="178"/>
    <col min="71" max="71" width="15.5703125" style="178" bestFit="1" customWidth="1"/>
    <col min="72" max="74" width="9.140625" style="178"/>
    <col min="75" max="75" width="14.28515625" style="178" bestFit="1" customWidth="1"/>
    <col min="76" max="16384" width="9.140625" style="178"/>
  </cols>
  <sheetData>
    <row r="2" spans="1:75">
      <c r="A2" s="933" t="s">
        <v>163</v>
      </c>
      <c r="B2" s="933"/>
      <c r="C2" s="933" t="s">
        <v>157</v>
      </c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322"/>
      <c r="T2" s="322"/>
      <c r="U2" s="322"/>
      <c r="V2" s="322"/>
      <c r="W2" s="323"/>
      <c r="X2" s="323"/>
      <c r="Y2" s="323"/>
      <c r="Z2" s="323"/>
    </row>
    <row r="3" spans="1:75">
      <c r="A3" s="933" t="s">
        <v>165</v>
      </c>
      <c r="B3" s="933"/>
      <c r="C3" s="933" t="s">
        <v>158</v>
      </c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322"/>
      <c r="T3" s="322"/>
      <c r="U3" s="322"/>
      <c r="V3" s="322"/>
      <c r="W3" s="323"/>
      <c r="X3" s="323"/>
      <c r="Y3" s="323"/>
      <c r="Z3" s="323"/>
    </row>
    <row r="4" spans="1:75">
      <c r="A4" s="933" t="s">
        <v>160</v>
      </c>
      <c r="B4" s="933"/>
      <c r="C4" s="933" t="s">
        <v>950</v>
      </c>
      <c r="D4" s="933"/>
      <c r="E4" s="933"/>
      <c r="F4" s="933"/>
      <c r="G4" s="933"/>
      <c r="H4" s="933"/>
      <c r="I4" s="933"/>
      <c r="J4" s="933"/>
      <c r="K4" s="933"/>
      <c r="L4" s="933"/>
      <c r="M4" s="933"/>
      <c r="N4" s="933"/>
      <c r="O4" s="933"/>
      <c r="P4" s="933"/>
      <c r="Q4" s="933"/>
      <c r="R4" s="933"/>
      <c r="S4" s="322"/>
      <c r="T4" s="322"/>
      <c r="U4" s="322"/>
      <c r="V4" s="322"/>
      <c r="W4" s="323"/>
      <c r="X4" s="323"/>
      <c r="Y4" s="323"/>
      <c r="Z4" s="323"/>
    </row>
    <row r="5" spans="1:75">
      <c r="A5" s="265" t="s">
        <v>953</v>
      </c>
      <c r="B5" s="265"/>
      <c r="C5" s="265" t="s">
        <v>164</v>
      </c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322"/>
      <c r="T5" s="322"/>
      <c r="U5" s="322"/>
      <c r="V5" s="322"/>
      <c r="W5" s="323"/>
      <c r="X5" s="323"/>
      <c r="Y5" s="323"/>
      <c r="Z5" s="323"/>
    </row>
    <row r="6" spans="1:75">
      <c r="A6" s="453" t="s">
        <v>954</v>
      </c>
      <c r="B6" s="453"/>
      <c r="C6" s="453" t="s">
        <v>545</v>
      </c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322"/>
      <c r="T6" s="322"/>
      <c r="U6" s="322"/>
      <c r="V6" s="322"/>
      <c r="W6" s="323"/>
      <c r="X6" s="323"/>
      <c r="Y6" s="323"/>
      <c r="Z6" s="323"/>
    </row>
    <row r="7" spans="1:75">
      <c r="A7" s="952"/>
      <c r="B7" s="953"/>
      <c r="C7" s="954"/>
      <c r="D7" s="304"/>
      <c r="E7" s="304"/>
      <c r="F7" s="952" t="s">
        <v>21</v>
      </c>
      <c r="G7" s="953"/>
      <c r="H7" s="954"/>
      <c r="I7" s="908" t="s">
        <v>156</v>
      </c>
      <c r="J7" s="909"/>
      <c r="K7" s="909"/>
      <c r="L7" s="909"/>
      <c r="M7" s="909"/>
      <c r="N7" s="909"/>
      <c r="O7" s="909"/>
      <c r="P7" s="909"/>
      <c r="Q7" s="909"/>
      <c r="R7" s="910"/>
      <c r="S7" s="1014" t="s">
        <v>60</v>
      </c>
      <c r="T7" s="1015"/>
      <c r="U7" s="1015"/>
      <c r="V7" s="1016"/>
      <c r="W7" s="1022" t="s">
        <v>6</v>
      </c>
      <c r="X7" s="1023"/>
      <c r="Y7" s="1023"/>
      <c r="Z7" s="1024"/>
      <c r="AA7" s="918" t="s">
        <v>184</v>
      </c>
      <c r="AB7" s="918"/>
      <c r="AC7" s="918" t="s">
        <v>185</v>
      </c>
      <c r="AD7" s="918"/>
      <c r="AE7" s="918" t="s">
        <v>186</v>
      </c>
      <c r="AF7" s="918"/>
      <c r="AG7" s="918" t="s">
        <v>187</v>
      </c>
      <c r="AH7" s="918"/>
      <c r="AI7" s="918" t="s">
        <v>188</v>
      </c>
      <c r="AJ7" s="918"/>
      <c r="AK7" s="918" t="s">
        <v>189</v>
      </c>
      <c r="AL7" s="918"/>
      <c r="AM7" s="918" t="s">
        <v>190</v>
      </c>
      <c r="AN7" s="918"/>
      <c r="AO7" s="918" t="s">
        <v>191</v>
      </c>
      <c r="AP7" s="918"/>
      <c r="AQ7" s="918" t="s">
        <v>192</v>
      </c>
      <c r="AR7" s="918"/>
      <c r="AS7" s="918" t="s">
        <v>193</v>
      </c>
      <c r="AT7" s="918"/>
      <c r="AU7" s="918" t="s">
        <v>194</v>
      </c>
      <c r="AV7" s="918"/>
      <c r="AW7" s="918" t="s">
        <v>195</v>
      </c>
      <c r="AX7" s="918"/>
      <c r="AY7" s="918" t="s">
        <v>196</v>
      </c>
      <c r="AZ7" s="918"/>
      <c r="BA7" s="918" t="s">
        <v>197</v>
      </c>
      <c r="BB7" s="918"/>
      <c r="BC7" s="918" t="s">
        <v>198</v>
      </c>
      <c r="BD7" s="918"/>
      <c r="BE7" s="918" t="s">
        <v>199</v>
      </c>
      <c r="BF7" s="918"/>
      <c r="BG7" s="918" t="s">
        <v>200</v>
      </c>
      <c r="BH7" s="918"/>
      <c r="BI7" s="918" t="s">
        <v>201</v>
      </c>
      <c r="BJ7" s="918"/>
      <c r="BK7" s="918" t="s">
        <v>17</v>
      </c>
      <c r="BL7" s="918"/>
      <c r="BM7" s="886" t="s">
        <v>236</v>
      </c>
    </row>
    <row r="8" spans="1:75">
      <c r="A8" s="919" t="s">
        <v>13</v>
      </c>
      <c r="B8" s="918"/>
      <c r="C8" s="214" t="s">
        <v>14</v>
      </c>
      <c r="D8" s="214"/>
      <c r="E8" s="214" t="s">
        <v>374</v>
      </c>
      <c r="F8" s="918" t="s">
        <v>28</v>
      </c>
      <c r="G8" s="919" t="s">
        <v>30</v>
      </c>
      <c r="H8" s="1020" t="s">
        <v>31</v>
      </c>
      <c r="I8" s="155" t="s">
        <v>204</v>
      </c>
      <c r="J8" s="155" t="s">
        <v>205</v>
      </c>
      <c r="K8" s="155" t="s">
        <v>206</v>
      </c>
      <c r="L8" s="155" t="s">
        <v>207</v>
      </c>
      <c r="M8" s="155" t="s">
        <v>208</v>
      </c>
      <c r="N8" s="155" t="s">
        <v>209</v>
      </c>
      <c r="O8" s="155" t="s">
        <v>210</v>
      </c>
      <c r="P8" s="155" t="s">
        <v>211</v>
      </c>
      <c r="Q8" s="155" t="s">
        <v>212</v>
      </c>
      <c r="R8" s="155" t="s">
        <v>213</v>
      </c>
      <c r="S8" s="1017"/>
      <c r="T8" s="1018"/>
      <c r="U8" s="1018"/>
      <c r="V8" s="1019"/>
      <c r="W8" s="1025"/>
      <c r="X8" s="1026"/>
      <c r="Y8" s="1026"/>
      <c r="Z8" s="1027"/>
      <c r="AA8" s="918"/>
      <c r="AB8" s="918"/>
      <c r="AC8" s="918" t="s">
        <v>43</v>
      </c>
      <c r="AD8" s="918"/>
      <c r="AE8" s="918" t="s">
        <v>44</v>
      </c>
      <c r="AF8" s="918"/>
      <c r="AG8" s="918" t="s">
        <v>45</v>
      </c>
      <c r="AH8" s="918"/>
      <c r="AI8" s="918" t="s">
        <v>46</v>
      </c>
      <c r="AJ8" s="918"/>
      <c r="AK8" s="918" t="s">
        <v>47</v>
      </c>
      <c r="AL8" s="918"/>
      <c r="AM8" s="918" t="s">
        <v>48</v>
      </c>
      <c r="AN8" s="918"/>
      <c r="AO8" s="918" t="s">
        <v>49</v>
      </c>
      <c r="AP8" s="918"/>
      <c r="AQ8" s="918" t="s">
        <v>50</v>
      </c>
      <c r="AR8" s="918"/>
      <c r="AS8" s="918" t="s">
        <v>51</v>
      </c>
      <c r="AT8" s="918"/>
      <c r="AU8" s="918" t="s">
        <v>52</v>
      </c>
      <c r="AV8" s="918"/>
      <c r="AW8" s="918" t="s">
        <v>53</v>
      </c>
      <c r="AX8" s="918"/>
      <c r="AY8" s="918" t="s">
        <v>54</v>
      </c>
      <c r="AZ8" s="918"/>
      <c r="BA8" s="918" t="s">
        <v>55</v>
      </c>
      <c r="BB8" s="918"/>
      <c r="BC8" s="918" t="s">
        <v>40</v>
      </c>
      <c r="BD8" s="918"/>
      <c r="BE8" s="918" t="s">
        <v>37</v>
      </c>
      <c r="BF8" s="918"/>
      <c r="BG8" s="918"/>
      <c r="BH8" s="918"/>
      <c r="BI8" s="918"/>
      <c r="BJ8" s="918"/>
      <c r="BK8" s="918"/>
      <c r="BL8" s="918"/>
      <c r="BM8" s="886"/>
      <c r="BO8" s="892" t="s">
        <v>234</v>
      </c>
      <c r="BP8" s="892"/>
      <c r="BQ8" s="892"/>
      <c r="BR8" s="892"/>
      <c r="BS8" s="892"/>
      <c r="BT8" s="892" t="s">
        <v>235</v>
      </c>
      <c r="BU8" s="892"/>
      <c r="BV8" s="892"/>
      <c r="BW8" s="886" t="s">
        <v>17</v>
      </c>
    </row>
    <row r="9" spans="1:75" ht="47.25">
      <c r="A9" s="920"/>
      <c r="B9" s="918"/>
      <c r="C9" s="214"/>
      <c r="D9" s="214"/>
      <c r="E9" s="214"/>
      <c r="F9" s="918"/>
      <c r="G9" s="920"/>
      <c r="H9" s="1021"/>
      <c r="I9" s="361"/>
      <c r="J9" s="361"/>
      <c r="K9" s="361"/>
      <c r="L9" s="361"/>
      <c r="M9" s="361">
        <v>0</v>
      </c>
      <c r="N9" s="361">
        <v>0</v>
      </c>
      <c r="O9" s="361">
        <v>0</v>
      </c>
      <c r="P9" s="361">
        <v>0</v>
      </c>
      <c r="Q9" s="361">
        <v>0</v>
      </c>
      <c r="R9" s="361">
        <v>0</v>
      </c>
      <c r="S9" s="414" t="s">
        <v>7</v>
      </c>
      <c r="T9" s="414" t="s">
        <v>8</v>
      </c>
      <c r="U9" s="414" t="s">
        <v>9</v>
      </c>
      <c r="V9" s="414" t="s">
        <v>10</v>
      </c>
      <c r="W9" s="370" t="s">
        <v>7</v>
      </c>
      <c r="X9" s="370" t="s">
        <v>8</v>
      </c>
      <c r="Y9" s="370" t="s">
        <v>9</v>
      </c>
      <c r="Z9" s="370" t="s">
        <v>10</v>
      </c>
      <c r="AA9" s="331" t="s">
        <v>14</v>
      </c>
      <c r="AB9" s="363" t="s">
        <v>15</v>
      </c>
      <c r="AC9" s="332" t="s">
        <v>14</v>
      </c>
      <c r="AD9" s="332" t="s">
        <v>15</v>
      </c>
      <c r="AE9" s="332" t="s">
        <v>14</v>
      </c>
      <c r="AF9" s="332" t="s">
        <v>15</v>
      </c>
      <c r="AG9" s="332" t="s">
        <v>14</v>
      </c>
      <c r="AH9" s="332" t="s">
        <v>15</v>
      </c>
      <c r="AI9" s="332" t="s">
        <v>14</v>
      </c>
      <c r="AJ9" s="332" t="s">
        <v>15</v>
      </c>
      <c r="AK9" s="332" t="s">
        <v>14</v>
      </c>
      <c r="AL9" s="332" t="s">
        <v>15</v>
      </c>
      <c r="AM9" s="332" t="s">
        <v>14</v>
      </c>
      <c r="AN9" s="332" t="s">
        <v>15</v>
      </c>
      <c r="AO9" s="332" t="s">
        <v>14</v>
      </c>
      <c r="AP9" s="332" t="s">
        <v>15</v>
      </c>
      <c r="AQ9" s="332" t="s">
        <v>14</v>
      </c>
      <c r="AR9" s="332" t="s">
        <v>15</v>
      </c>
      <c r="AS9" s="332" t="s">
        <v>14</v>
      </c>
      <c r="AT9" s="332" t="s">
        <v>15</v>
      </c>
      <c r="AU9" s="332" t="s">
        <v>14</v>
      </c>
      <c r="AV9" s="332" t="s">
        <v>15</v>
      </c>
      <c r="AW9" s="332" t="s">
        <v>14</v>
      </c>
      <c r="AX9" s="332" t="s">
        <v>15</v>
      </c>
      <c r="AY9" s="332" t="s">
        <v>14</v>
      </c>
      <c r="AZ9" s="332" t="s">
        <v>15</v>
      </c>
      <c r="BA9" s="332" t="s">
        <v>14</v>
      </c>
      <c r="BB9" s="332" t="s">
        <v>15</v>
      </c>
      <c r="BC9" s="332" t="s">
        <v>14</v>
      </c>
      <c r="BD9" s="332" t="s">
        <v>15</v>
      </c>
      <c r="BE9" s="332" t="s">
        <v>14</v>
      </c>
      <c r="BF9" s="332" t="s">
        <v>15</v>
      </c>
      <c r="BG9" s="332" t="s">
        <v>14</v>
      </c>
      <c r="BH9" s="332" t="s">
        <v>15</v>
      </c>
      <c r="BI9" s="332" t="s">
        <v>14</v>
      </c>
      <c r="BJ9" s="332" t="s">
        <v>15</v>
      </c>
      <c r="BK9" s="332" t="s">
        <v>14</v>
      </c>
      <c r="BL9" s="332" t="s">
        <v>15</v>
      </c>
      <c r="BM9" s="886"/>
      <c r="BO9" s="155" t="s">
        <v>225</v>
      </c>
      <c r="BP9" s="156" t="s">
        <v>226</v>
      </c>
      <c r="BQ9" s="156" t="s">
        <v>227</v>
      </c>
      <c r="BR9" s="157" t="s">
        <v>228</v>
      </c>
      <c r="BS9" s="156" t="s">
        <v>229</v>
      </c>
      <c r="BT9" s="156" t="s">
        <v>230</v>
      </c>
      <c r="BU9" s="156" t="s">
        <v>231</v>
      </c>
      <c r="BV9" s="156" t="s">
        <v>232</v>
      </c>
      <c r="BW9" s="886"/>
    </row>
    <row r="10" spans="1:75">
      <c r="A10" s="918" t="s">
        <v>29</v>
      </c>
      <c r="B10" s="257"/>
      <c r="C10" s="136"/>
      <c r="D10" s="158" t="s">
        <v>327</v>
      </c>
      <c r="E10" s="159"/>
      <c r="F10" s="135" t="s">
        <v>115</v>
      </c>
      <c r="G10" s="257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57"/>
      <c r="S10" s="129"/>
      <c r="T10" s="129"/>
      <c r="U10" s="129"/>
      <c r="V10" s="129"/>
      <c r="W10" s="262"/>
      <c r="X10" s="262"/>
      <c r="Y10" s="262"/>
      <c r="Z10" s="262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O10" s="257"/>
      <c r="BP10" s="257"/>
      <c r="BQ10" s="257"/>
      <c r="BR10" s="257"/>
      <c r="BS10" s="262">
        <f t="shared" ref="BS10:BS15" si="0">BO10+BP10+BQ10+BR10</f>
        <v>0</v>
      </c>
      <c r="BT10" s="257"/>
      <c r="BU10" s="257"/>
      <c r="BV10" s="257">
        <f>BT10+BU10</f>
        <v>0</v>
      </c>
      <c r="BW10" s="262">
        <f>BS10+BV10</f>
        <v>0</v>
      </c>
    </row>
    <row r="11" spans="1:75">
      <c r="A11" s="918"/>
      <c r="B11" s="196"/>
      <c r="C11" s="158" t="s">
        <v>365</v>
      </c>
      <c r="D11" s="136" t="s">
        <v>365</v>
      </c>
      <c r="E11" s="159"/>
      <c r="F11" s="159"/>
      <c r="G11" s="196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57"/>
      <c r="S11" s="129"/>
      <c r="T11" s="129"/>
      <c r="U11" s="129"/>
      <c r="V11" s="129"/>
      <c r="W11" s="262"/>
      <c r="X11" s="262"/>
      <c r="Y11" s="262"/>
      <c r="Z11" s="262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O11" s="257"/>
      <c r="BP11" s="257"/>
      <c r="BQ11" s="257"/>
      <c r="BR11" s="257"/>
      <c r="BS11" s="262">
        <f t="shared" si="0"/>
        <v>0</v>
      </c>
      <c r="BT11" s="257"/>
      <c r="BU11" s="257"/>
      <c r="BV11" s="257">
        <f t="shared" ref="BV11:BV17" si="1">BT11+BU11</f>
        <v>0</v>
      </c>
      <c r="BW11" s="262">
        <f t="shared" ref="BW11:BW34" si="2">BS11+BV11</f>
        <v>0</v>
      </c>
    </row>
    <row r="12" spans="1:75">
      <c r="A12" s="918"/>
      <c r="B12" s="196"/>
      <c r="C12" s="136"/>
      <c r="D12" s="166" t="s">
        <v>142</v>
      </c>
      <c r="E12" s="159" t="s">
        <v>143</v>
      </c>
      <c r="F12" s="135">
        <v>15000</v>
      </c>
      <c r="G12" s="196">
        <f>BK12</f>
        <v>12</v>
      </c>
      <c r="H12" s="262">
        <f>G12*F12</f>
        <v>180000</v>
      </c>
      <c r="I12" s="262">
        <f>H12*0.2</f>
        <v>36000</v>
      </c>
      <c r="J12" s="262">
        <f>H12*0.8</f>
        <v>144000</v>
      </c>
      <c r="K12" s="262"/>
      <c r="L12" s="262"/>
      <c r="M12" s="262"/>
      <c r="N12" s="262"/>
      <c r="O12" s="262"/>
      <c r="P12" s="262"/>
      <c r="Q12" s="262"/>
      <c r="R12" s="262"/>
      <c r="S12" s="129">
        <f>G12*0.25</f>
        <v>3</v>
      </c>
      <c r="T12" s="129">
        <f>G12*0.25</f>
        <v>3</v>
      </c>
      <c r="U12" s="129">
        <f>G12*0.25</f>
        <v>3</v>
      </c>
      <c r="V12" s="129">
        <f>G12*0.25</f>
        <v>3</v>
      </c>
      <c r="W12" s="262">
        <f>S12*F12</f>
        <v>45000</v>
      </c>
      <c r="X12" s="262">
        <f>T12*F12</f>
        <v>45000</v>
      </c>
      <c r="Y12" s="262">
        <f>U12*F12</f>
        <v>45000</v>
      </c>
      <c r="Z12" s="262">
        <f>V12*F12</f>
        <v>45000</v>
      </c>
      <c r="AA12" s="257"/>
      <c r="AB12" s="255">
        <f>AA12*F12</f>
        <v>0</v>
      </c>
      <c r="AC12" s="257"/>
      <c r="AD12" s="255">
        <f>AC12*F12</f>
        <v>0</v>
      </c>
      <c r="AE12" s="257"/>
      <c r="AF12" s="255">
        <f>AE12*F12</f>
        <v>0</v>
      </c>
      <c r="AG12" s="257"/>
      <c r="AH12" s="255">
        <f>AG12*F12</f>
        <v>0</v>
      </c>
      <c r="AI12" s="257"/>
      <c r="AJ12" s="255">
        <f>AI12*F12</f>
        <v>0</v>
      </c>
      <c r="AK12" s="257"/>
      <c r="AL12" s="255"/>
      <c r="AM12" s="257"/>
      <c r="AN12" s="255">
        <f>AM12*F12</f>
        <v>0</v>
      </c>
      <c r="AO12" s="257"/>
      <c r="AP12" s="255"/>
      <c r="AQ12" s="257"/>
      <c r="AR12" s="255">
        <f>AQ12*F12</f>
        <v>0</v>
      </c>
      <c r="AS12" s="257"/>
      <c r="AT12" s="255">
        <f>AS12*F12</f>
        <v>0</v>
      </c>
      <c r="AU12" s="257"/>
      <c r="AV12" s="255"/>
      <c r="AW12" s="257"/>
      <c r="AX12" s="255"/>
      <c r="AY12" s="257"/>
      <c r="AZ12" s="255"/>
      <c r="BA12" s="257"/>
      <c r="BB12" s="255">
        <f>BA12*F12</f>
        <v>0</v>
      </c>
      <c r="BC12" s="257"/>
      <c r="BD12" s="255"/>
      <c r="BE12" s="257"/>
      <c r="BF12" s="255"/>
      <c r="BG12" s="257"/>
      <c r="BH12" s="255"/>
      <c r="BI12" s="257">
        <v>12</v>
      </c>
      <c r="BJ12" s="255">
        <f>BI12*F12</f>
        <v>180000</v>
      </c>
      <c r="BK12" s="161">
        <f>AA12+AC12+AE12+AG12+AI12+AK12+AM12+AO12+AQ12+AS12+AU12+AW12+AY12+BA12+BC12+BE12+BG12+BI12</f>
        <v>12</v>
      </c>
      <c r="BL12" s="161">
        <f>AB12+AD12+AF12+AH12+AJ12+AL12+AN12+AP12+AR12+AT12+AV12+AX12+AZ12+BB12+BD12+BF12+BH12+BJ12</f>
        <v>180000</v>
      </c>
      <c r="BM12" s="415" t="s">
        <v>216</v>
      </c>
      <c r="BO12" s="257"/>
      <c r="BP12" s="262">
        <f>BL12</f>
        <v>180000</v>
      </c>
      <c r="BQ12" s="257"/>
      <c r="BR12" s="257"/>
      <c r="BS12" s="262">
        <f t="shared" si="0"/>
        <v>180000</v>
      </c>
      <c r="BT12" s="257"/>
      <c r="BU12" s="257"/>
      <c r="BV12" s="257">
        <f t="shared" si="1"/>
        <v>0</v>
      </c>
      <c r="BW12" s="262">
        <f t="shared" si="2"/>
        <v>180000</v>
      </c>
    </row>
    <row r="13" spans="1:75">
      <c r="A13" s="918"/>
      <c r="B13" s="196"/>
      <c r="C13" s="136"/>
      <c r="D13" s="166" t="s">
        <v>144</v>
      </c>
      <c r="E13" s="159" t="s">
        <v>16</v>
      </c>
      <c r="F13" s="135">
        <v>4000</v>
      </c>
      <c r="G13" s="196">
        <f>BK13</f>
        <v>204</v>
      </c>
      <c r="H13" s="262">
        <f>BL13</f>
        <v>858000</v>
      </c>
      <c r="I13" s="262">
        <f>H13*0.2</f>
        <v>171600</v>
      </c>
      <c r="J13" s="262">
        <f>H13*0.8</f>
        <v>686400</v>
      </c>
      <c r="K13" s="262"/>
      <c r="L13" s="262"/>
      <c r="M13" s="262"/>
      <c r="N13" s="262"/>
      <c r="O13" s="262"/>
      <c r="P13" s="262"/>
      <c r="Q13" s="262"/>
      <c r="R13" s="262"/>
      <c r="S13" s="129">
        <f>G13*0.25</f>
        <v>51</v>
      </c>
      <c r="T13" s="129">
        <f>G13*0.25</f>
        <v>51</v>
      </c>
      <c r="U13" s="129">
        <f>G13*0.25</f>
        <v>51</v>
      </c>
      <c r="V13" s="129">
        <f>G13*0.25</f>
        <v>51</v>
      </c>
      <c r="W13" s="262">
        <f>S13*F13</f>
        <v>204000</v>
      </c>
      <c r="X13" s="262">
        <f>T13*F13</f>
        <v>204000</v>
      </c>
      <c r="Y13" s="262">
        <f>U13*F13</f>
        <v>204000</v>
      </c>
      <c r="Z13" s="262">
        <f>V13*F13+33000</f>
        <v>237000</v>
      </c>
      <c r="AA13" s="257">
        <v>12</v>
      </c>
      <c r="AB13" s="255">
        <f t="shared" ref="AB13:AB33" si="3">AA13*F13</f>
        <v>48000</v>
      </c>
      <c r="AC13" s="257">
        <v>12</v>
      </c>
      <c r="AD13" s="255">
        <f t="shared" ref="AD13:AD33" si="4">AC13*F13</f>
        <v>48000</v>
      </c>
      <c r="AE13" s="257">
        <v>12</v>
      </c>
      <c r="AF13" s="255">
        <f t="shared" ref="AF13:AF33" si="5">AE13*F13</f>
        <v>48000</v>
      </c>
      <c r="AG13" s="257">
        <v>12</v>
      </c>
      <c r="AH13" s="255">
        <f>AG13*F13+18000</f>
        <v>66000</v>
      </c>
      <c r="AI13" s="257">
        <v>12</v>
      </c>
      <c r="AJ13" s="255">
        <f t="shared" ref="AJ13:AJ33" si="6">AI13*F13</f>
        <v>48000</v>
      </c>
      <c r="AK13" s="257">
        <v>12</v>
      </c>
      <c r="AL13" s="255">
        <f>AK13*F13</f>
        <v>48000</v>
      </c>
      <c r="AM13" s="257">
        <v>12</v>
      </c>
      <c r="AN13" s="255">
        <f t="shared" ref="AN13:AN33" si="7">AM13*F13</f>
        <v>48000</v>
      </c>
      <c r="AO13" s="257">
        <v>12</v>
      </c>
      <c r="AP13" s="255">
        <f>AO13*F13</f>
        <v>48000</v>
      </c>
      <c r="AQ13" s="257">
        <v>12</v>
      </c>
      <c r="AR13" s="255">
        <f>AQ13*F13/2</f>
        <v>24000</v>
      </c>
      <c r="AS13" s="257">
        <v>12</v>
      </c>
      <c r="AT13" s="255">
        <f t="shared" ref="AT13:AT33" si="8">AS13*F13</f>
        <v>48000</v>
      </c>
      <c r="AU13" s="257">
        <v>12</v>
      </c>
      <c r="AV13" s="255">
        <f>AU13*F13</f>
        <v>48000</v>
      </c>
      <c r="AW13" s="257">
        <v>12</v>
      </c>
      <c r="AX13" s="255">
        <f>AW13*F13</f>
        <v>48000</v>
      </c>
      <c r="AY13" s="257">
        <v>12</v>
      </c>
      <c r="AZ13" s="255">
        <f>AY13*F13</f>
        <v>48000</v>
      </c>
      <c r="BA13" s="257">
        <v>12</v>
      </c>
      <c r="BB13" s="255">
        <f t="shared" ref="BB13:BB33" si="9">BA13*F13</f>
        <v>48000</v>
      </c>
      <c r="BC13" s="257">
        <v>12</v>
      </c>
      <c r="BD13" s="255">
        <f>BC13*F13</f>
        <v>48000</v>
      </c>
      <c r="BE13" s="257">
        <v>12</v>
      </c>
      <c r="BF13" s="255">
        <f>BE13*F13*2</f>
        <v>96000</v>
      </c>
      <c r="BG13" s="257">
        <v>12</v>
      </c>
      <c r="BH13" s="255">
        <f>BG13*F13</f>
        <v>48000</v>
      </c>
      <c r="BI13" s="257">
        <v>0</v>
      </c>
      <c r="BJ13" s="255">
        <f>BI13*F13</f>
        <v>0</v>
      </c>
      <c r="BK13" s="161">
        <f>AA13+AC13+AE13+AG13+AI13+AK13+AM13+AO13+AQ13+AS13+AU13+AW13+AY13+BA13+BC13+BE13+BG13+BI13</f>
        <v>204</v>
      </c>
      <c r="BL13" s="161">
        <f>AB13+AD13+AF13+AH13+AJ13+AL13+AN13+AP13+AR13+AT13+AV13+AX13+AZ13+BB13+BD13+BF13+BH13+BJ13</f>
        <v>858000</v>
      </c>
      <c r="BM13" s="415" t="s">
        <v>216</v>
      </c>
      <c r="BO13" s="257"/>
      <c r="BP13" s="262">
        <f>BL13</f>
        <v>858000</v>
      </c>
      <c r="BQ13" s="257"/>
      <c r="BR13" s="257"/>
      <c r="BS13" s="262">
        <f t="shared" si="0"/>
        <v>858000</v>
      </c>
      <c r="BT13" s="257"/>
      <c r="BU13" s="257"/>
      <c r="BV13" s="257">
        <f t="shared" si="1"/>
        <v>0</v>
      </c>
      <c r="BW13" s="262">
        <f t="shared" si="2"/>
        <v>858000</v>
      </c>
    </row>
    <row r="14" spans="1:75" s="265" customFormat="1">
      <c r="A14" s="918"/>
      <c r="B14" s="228"/>
      <c r="C14" s="158" t="s">
        <v>145</v>
      </c>
      <c r="D14" s="176" t="s">
        <v>145</v>
      </c>
      <c r="E14" s="159" t="s">
        <v>115</v>
      </c>
      <c r="F14" s="135"/>
      <c r="G14" s="307">
        <f t="shared" ref="G14:R14" si="10">SUM(G12:G13)</f>
        <v>216</v>
      </c>
      <c r="H14" s="307">
        <f t="shared" si="10"/>
        <v>1038000</v>
      </c>
      <c r="I14" s="307">
        <f t="shared" si="10"/>
        <v>207600</v>
      </c>
      <c r="J14" s="307">
        <f t="shared" si="10"/>
        <v>830400</v>
      </c>
      <c r="K14" s="307">
        <f t="shared" si="10"/>
        <v>0</v>
      </c>
      <c r="L14" s="307">
        <f t="shared" si="10"/>
        <v>0</v>
      </c>
      <c r="M14" s="307">
        <f t="shared" si="10"/>
        <v>0</v>
      </c>
      <c r="N14" s="307">
        <f t="shared" si="10"/>
        <v>0</v>
      </c>
      <c r="O14" s="307">
        <f t="shared" si="10"/>
        <v>0</v>
      </c>
      <c r="P14" s="307">
        <f t="shared" si="10"/>
        <v>0</v>
      </c>
      <c r="Q14" s="307">
        <f t="shared" si="10"/>
        <v>0</v>
      </c>
      <c r="R14" s="307">
        <f t="shared" si="10"/>
        <v>0</v>
      </c>
      <c r="S14" s="300">
        <f t="shared" ref="S14:Z14" si="11">SUM(S12:S13)</f>
        <v>54</v>
      </c>
      <c r="T14" s="300">
        <f t="shared" si="11"/>
        <v>54</v>
      </c>
      <c r="U14" s="300">
        <f t="shared" si="11"/>
        <v>54</v>
      </c>
      <c r="V14" s="300">
        <f t="shared" si="11"/>
        <v>54</v>
      </c>
      <c r="W14" s="307">
        <f t="shared" si="11"/>
        <v>249000</v>
      </c>
      <c r="X14" s="307">
        <f t="shared" si="11"/>
        <v>249000</v>
      </c>
      <c r="Y14" s="307">
        <f t="shared" si="11"/>
        <v>249000</v>
      </c>
      <c r="Z14" s="307">
        <f t="shared" si="11"/>
        <v>282000</v>
      </c>
      <c r="AA14" s="307">
        <f>SUM(AA12:AA13)</f>
        <v>12</v>
      </c>
      <c r="AB14" s="307">
        <f>SUM(AB12:AB13)</f>
        <v>48000</v>
      </c>
      <c r="AC14" s="307">
        <f t="shared" ref="AC14:BB14" si="12">SUM(AC12:AC13)</f>
        <v>12</v>
      </c>
      <c r="AD14" s="307">
        <f t="shared" si="12"/>
        <v>48000</v>
      </c>
      <c r="AE14" s="307">
        <f t="shared" si="12"/>
        <v>12</v>
      </c>
      <c r="AF14" s="307">
        <f t="shared" si="12"/>
        <v>48000</v>
      </c>
      <c r="AG14" s="307">
        <f t="shared" si="12"/>
        <v>12</v>
      </c>
      <c r="AH14" s="307">
        <f t="shared" si="12"/>
        <v>66000</v>
      </c>
      <c r="AI14" s="307">
        <f t="shared" si="12"/>
        <v>12</v>
      </c>
      <c r="AJ14" s="307">
        <f t="shared" si="12"/>
        <v>48000</v>
      </c>
      <c r="AK14" s="307">
        <f t="shared" si="12"/>
        <v>12</v>
      </c>
      <c r="AL14" s="307">
        <f t="shared" si="12"/>
        <v>48000</v>
      </c>
      <c r="AM14" s="307">
        <f t="shared" si="12"/>
        <v>12</v>
      </c>
      <c r="AN14" s="307">
        <f t="shared" si="12"/>
        <v>48000</v>
      </c>
      <c r="AO14" s="307">
        <f t="shared" si="12"/>
        <v>12</v>
      </c>
      <c r="AP14" s="307">
        <f t="shared" si="12"/>
        <v>48000</v>
      </c>
      <c r="AQ14" s="307">
        <f t="shared" si="12"/>
        <v>12</v>
      </c>
      <c r="AR14" s="307">
        <f t="shared" si="12"/>
        <v>24000</v>
      </c>
      <c r="AS14" s="307">
        <f t="shared" si="12"/>
        <v>12</v>
      </c>
      <c r="AT14" s="307">
        <f t="shared" si="12"/>
        <v>48000</v>
      </c>
      <c r="AU14" s="307">
        <f t="shared" si="12"/>
        <v>12</v>
      </c>
      <c r="AV14" s="307">
        <f t="shared" si="12"/>
        <v>48000</v>
      </c>
      <c r="AW14" s="307">
        <f t="shared" si="12"/>
        <v>12</v>
      </c>
      <c r="AX14" s="307">
        <f t="shared" si="12"/>
        <v>48000</v>
      </c>
      <c r="AY14" s="307">
        <f t="shared" si="12"/>
        <v>12</v>
      </c>
      <c r="AZ14" s="307">
        <f t="shared" si="12"/>
        <v>48000</v>
      </c>
      <c r="BA14" s="307">
        <f t="shared" si="12"/>
        <v>12</v>
      </c>
      <c r="BB14" s="307">
        <f t="shared" si="12"/>
        <v>48000</v>
      </c>
      <c r="BC14" s="307">
        <f t="shared" ref="BC14:BK14" si="13">SUM(BC12:BC13)</f>
        <v>12</v>
      </c>
      <c r="BD14" s="307">
        <f t="shared" si="13"/>
        <v>48000</v>
      </c>
      <c r="BE14" s="307">
        <f t="shared" si="13"/>
        <v>12</v>
      </c>
      <c r="BF14" s="307">
        <f t="shared" si="13"/>
        <v>96000</v>
      </c>
      <c r="BG14" s="307">
        <f t="shared" si="13"/>
        <v>12</v>
      </c>
      <c r="BH14" s="307">
        <f t="shared" si="13"/>
        <v>48000</v>
      </c>
      <c r="BI14" s="307">
        <f t="shared" si="13"/>
        <v>12</v>
      </c>
      <c r="BJ14" s="307">
        <f t="shared" si="13"/>
        <v>180000</v>
      </c>
      <c r="BK14" s="307">
        <f t="shared" si="13"/>
        <v>216</v>
      </c>
      <c r="BL14" s="307">
        <f t="shared" ref="BL14:BW14" si="14">SUM(BL12:BL13)</f>
        <v>1038000</v>
      </c>
      <c r="BM14" s="307"/>
      <c r="BN14" s="307">
        <f t="shared" si="14"/>
        <v>0</v>
      </c>
      <c r="BO14" s="307">
        <f t="shared" si="14"/>
        <v>0</v>
      </c>
      <c r="BP14" s="307">
        <f t="shared" si="14"/>
        <v>1038000</v>
      </c>
      <c r="BQ14" s="307">
        <f t="shared" si="14"/>
        <v>0</v>
      </c>
      <c r="BR14" s="307">
        <f t="shared" si="14"/>
        <v>0</v>
      </c>
      <c r="BS14" s="307">
        <f t="shared" si="14"/>
        <v>1038000</v>
      </c>
      <c r="BT14" s="307">
        <f t="shared" si="14"/>
        <v>0</v>
      </c>
      <c r="BU14" s="307">
        <f t="shared" si="14"/>
        <v>0</v>
      </c>
      <c r="BV14" s="307">
        <f t="shared" si="14"/>
        <v>0</v>
      </c>
      <c r="BW14" s="307">
        <f t="shared" si="14"/>
        <v>1038000</v>
      </c>
    </row>
    <row r="15" spans="1:75">
      <c r="A15" s="918"/>
      <c r="B15" s="196"/>
      <c r="C15" s="158" t="s">
        <v>366</v>
      </c>
      <c r="D15" s="136" t="s">
        <v>366</v>
      </c>
      <c r="E15" s="159"/>
      <c r="F15" s="159"/>
      <c r="G15" s="196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57"/>
      <c r="S15" s="129"/>
      <c r="T15" s="129"/>
      <c r="U15" s="129"/>
      <c r="V15" s="129"/>
      <c r="W15" s="262"/>
      <c r="X15" s="262"/>
      <c r="Y15" s="262"/>
      <c r="Z15" s="262"/>
      <c r="AA15" s="257"/>
      <c r="AB15" s="255"/>
      <c r="AC15" s="257"/>
      <c r="AD15" s="255"/>
      <c r="AE15" s="257"/>
      <c r="AF15" s="255"/>
      <c r="AG15" s="257"/>
      <c r="AH15" s="255"/>
      <c r="AI15" s="257"/>
      <c r="AJ15" s="255"/>
      <c r="AK15" s="257"/>
      <c r="AL15" s="255"/>
      <c r="AM15" s="257"/>
      <c r="AN15" s="255"/>
      <c r="AO15" s="257"/>
      <c r="AP15" s="255"/>
      <c r="AQ15" s="257"/>
      <c r="AR15" s="255"/>
      <c r="AS15" s="257"/>
      <c r="AT15" s="255"/>
      <c r="AU15" s="257"/>
      <c r="AV15" s="255"/>
      <c r="AW15" s="257"/>
      <c r="AX15" s="255"/>
      <c r="AY15" s="257"/>
      <c r="AZ15" s="255"/>
      <c r="BA15" s="257"/>
      <c r="BB15" s="255"/>
      <c r="BC15" s="257"/>
      <c r="BD15" s="255"/>
      <c r="BE15" s="257"/>
      <c r="BF15" s="255"/>
      <c r="BG15" s="257"/>
      <c r="BH15" s="255"/>
      <c r="BI15" s="257"/>
      <c r="BJ15" s="255"/>
      <c r="BK15" s="145"/>
      <c r="BL15" s="161"/>
      <c r="BM15" s="257"/>
      <c r="BO15" s="257"/>
      <c r="BP15" s="257"/>
      <c r="BQ15" s="257"/>
      <c r="BR15" s="257"/>
      <c r="BS15" s="262">
        <f t="shared" si="0"/>
        <v>0</v>
      </c>
      <c r="BT15" s="257"/>
      <c r="BU15" s="257"/>
      <c r="BV15" s="257">
        <f t="shared" si="1"/>
        <v>0</v>
      </c>
      <c r="BW15" s="262">
        <f t="shared" si="2"/>
        <v>0</v>
      </c>
    </row>
    <row r="16" spans="1:75">
      <c r="A16" s="918"/>
      <c r="B16" s="196"/>
      <c r="C16" s="136"/>
      <c r="D16" s="166" t="s">
        <v>367</v>
      </c>
      <c r="E16" s="159" t="s">
        <v>95</v>
      </c>
      <c r="F16" s="135">
        <v>10000</v>
      </c>
      <c r="G16" s="196">
        <f>BK16</f>
        <v>17</v>
      </c>
      <c r="H16" s="262">
        <f>G16*F16</f>
        <v>170000</v>
      </c>
      <c r="I16" s="262">
        <f>H16*0.2</f>
        <v>34000</v>
      </c>
      <c r="J16" s="262">
        <f>H16*0.8</f>
        <v>136000</v>
      </c>
      <c r="K16" s="262"/>
      <c r="L16" s="262"/>
      <c r="M16" s="262"/>
      <c r="N16" s="262"/>
      <c r="O16" s="262"/>
      <c r="P16" s="262"/>
      <c r="Q16" s="262"/>
      <c r="R16" s="262"/>
      <c r="S16" s="129">
        <f>G16*0.25</f>
        <v>4.25</v>
      </c>
      <c r="T16" s="129">
        <f>G16*0.25</f>
        <v>4.25</v>
      </c>
      <c r="U16" s="129">
        <f>G16*0.25</f>
        <v>4.25</v>
      </c>
      <c r="V16" s="129">
        <f>G16*0.25</f>
        <v>4.25</v>
      </c>
      <c r="W16" s="262">
        <f>S16*F16</f>
        <v>42500</v>
      </c>
      <c r="X16" s="262">
        <f>T16*F16</f>
        <v>42500</v>
      </c>
      <c r="Y16" s="262">
        <f>U16*F16</f>
        <v>42500</v>
      </c>
      <c r="Z16" s="262">
        <f>V16*F16</f>
        <v>42500</v>
      </c>
      <c r="AA16" s="257">
        <v>1</v>
      </c>
      <c r="AB16" s="255">
        <f t="shared" si="3"/>
        <v>10000</v>
      </c>
      <c r="AC16" s="257">
        <v>1</v>
      </c>
      <c r="AD16" s="255">
        <f t="shared" si="4"/>
        <v>10000</v>
      </c>
      <c r="AE16" s="257">
        <v>1</v>
      </c>
      <c r="AF16" s="255">
        <f t="shared" si="5"/>
        <v>10000</v>
      </c>
      <c r="AG16" s="257">
        <v>1</v>
      </c>
      <c r="AH16" s="255">
        <f t="shared" ref="AH16:AH33" si="15">AG16*F16</f>
        <v>10000</v>
      </c>
      <c r="AI16" s="257">
        <v>1</v>
      </c>
      <c r="AJ16" s="255">
        <f t="shared" si="6"/>
        <v>10000</v>
      </c>
      <c r="AK16" s="257">
        <v>1</v>
      </c>
      <c r="AL16" s="255">
        <f>AK16*F16</f>
        <v>10000</v>
      </c>
      <c r="AM16" s="257">
        <v>1</v>
      </c>
      <c r="AN16" s="255">
        <f t="shared" si="7"/>
        <v>10000</v>
      </c>
      <c r="AO16" s="257">
        <v>1</v>
      </c>
      <c r="AP16" s="255">
        <f>AO16*F16</f>
        <v>10000</v>
      </c>
      <c r="AQ16" s="257">
        <v>1</v>
      </c>
      <c r="AR16" s="255">
        <f t="shared" ref="AR16:AR33" si="16">AQ16*F16</f>
        <v>10000</v>
      </c>
      <c r="AS16" s="257">
        <v>1</v>
      </c>
      <c r="AT16" s="255">
        <f t="shared" si="8"/>
        <v>10000</v>
      </c>
      <c r="AU16" s="257">
        <v>1</v>
      </c>
      <c r="AV16" s="255">
        <f>AU16*F16</f>
        <v>10000</v>
      </c>
      <c r="AW16" s="257">
        <v>1</v>
      </c>
      <c r="AX16" s="255">
        <f>AW16*F16</f>
        <v>10000</v>
      </c>
      <c r="AY16" s="257">
        <v>1</v>
      </c>
      <c r="AZ16" s="255">
        <f>AY16*F16</f>
        <v>10000</v>
      </c>
      <c r="BA16" s="257">
        <v>1</v>
      </c>
      <c r="BB16" s="255">
        <f t="shared" si="9"/>
        <v>10000</v>
      </c>
      <c r="BC16" s="257">
        <v>1</v>
      </c>
      <c r="BD16" s="255">
        <f>BC16*F16</f>
        <v>10000</v>
      </c>
      <c r="BE16" s="257">
        <v>1</v>
      </c>
      <c r="BF16" s="255">
        <f>BE16*F16</f>
        <v>10000</v>
      </c>
      <c r="BG16" s="257">
        <v>1</v>
      </c>
      <c r="BH16" s="255">
        <f>BG16*F16</f>
        <v>10000</v>
      </c>
      <c r="BI16" s="257">
        <v>0</v>
      </c>
      <c r="BJ16" s="255"/>
      <c r="BK16" s="161">
        <f>AA16+AC16+AE16+AG16+AI16+AK16+AM16+AO16+AQ16+AS16+AU16+AW16+AY16+BA16+BC16+BE16+BG16+BI16</f>
        <v>17</v>
      </c>
      <c r="BL16" s="161">
        <f>AB16+AD16+AF16+AH16+AJ16+AL16+AN16+AP16+AR16+AT16+AV16+AX16+AZ16+BB16+BD16+BF16+BH16+BJ16</f>
        <v>170000</v>
      </c>
      <c r="BM16" s="415" t="s">
        <v>216</v>
      </c>
      <c r="BO16" s="257"/>
      <c r="BP16" s="262">
        <f>H16</f>
        <v>170000</v>
      </c>
      <c r="BQ16" s="257"/>
      <c r="BR16" s="257"/>
      <c r="BS16" s="262">
        <f>BO16+BP16+BQ16+BR16</f>
        <v>170000</v>
      </c>
      <c r="BT16" s="257"/>
      <c r="BU16" s="257"/>
      <c r="BV16" s="257">
        <f t="shared" si="1"/>
        <v>0</v>
      </c>
      <c r="BW16" s="262">
        <f t="shared" si="2"/>
        <v>170000</v>
      </c>
    </row>
    <row r="17" spans="1:75">
      <c r="A17" s="918"/>
      <c r="B17" s="196"/>
      <c r="C17" s="136"/>
      <c r="D17" s="166" t="s">
        <v>368</v>
      </c>
      <c r="E17" s="159" t="s">
        <v>95</v>
      </c>
      <c r="F17" s="135" t="s">
        <v>350</v>
      </c>
      <c r="G17" s="196">
        <f>BK17</f>
        <v>0</v>
      </c>
      <c r="H17" s="262">
        <f>G17*F17</f>
        <v>0</v>
      </c>
      <c r="I17" s="262">
        <f>H17*0.2</f>
        <v>0</v>
      </c>
      <c r="J17" s="262">
        <f>H17*0.8</f>
        <v>0</v>
      </c>
      <c r="K17" s="262"/>
      <c r="L17" s="262"/>
      <c r="M17" s="262"/>
      <c r="N17" s="262"/>
      <c r="O17" s="262"/>
      <c r="P17" s="262"/>
      <c r="Q17" s="262"/>
      <c r="R17" s="262"/>
      <c r="S17" s="129"/>
      <c r="T17" s="129"/>
      <c r="U17" s="129">
        <f>G17</f>
        <v>0</v>
      </c>
      <c r="V17" s="129"/>
      <c r="W17" s="262">
        <f>S17*F17</f>
        <v>0</v>
      </c>
      <c r="X17" s="262">
        <f>T17*F17</f>
        <v>0</v>
      </c>
      <c r="Y17" s="262">
        <f>U17*F17</f>
        <v>0</v>
      </c>
      <c r="Z17" s="262">
        <f>V17*F17</f>
        <v>0</v>
      </c>
      <c r="AA17" s="257"/>
      <c r="AB17" s="255">
        <f t="shared" si="3"/>
        <v>0</v>
      </c>
      <c r="AC17" s="257"/>
      <c r="AD17" s="255">
        <f t="shared" si="4"/>
        <v>0</v>
      </c>
      <c r="AE17" s="257"/>
      <c r="AF17" s="255">
        <f t="shared" si="5"/>
        <v>0</v>
      </c>
      <c r="AG17" s="257"/>
      <c r="AH17" s="255">
        <f t="shared" si="15"/>
        <v>0</v>
      </c>
      <c r="AI17" s="257"/>
      <c r="AJ17" s="255">
        <f t="shared" si="6"/>
        <v>0</v>
      </c>
      <c r="AK17" s="257"/>
      <c r="AL17" s="255"/>
      <c r="AM17" s="257"/>
      <c r="AN17" s="255">
        <f t="shared" si="7"/>
        <v>0</v>
      </c>
      <c r="AO17" s="257"/>
      <c r="AP17" s="255"/>
      <c r="AQ17" s="257"/>
      <c r="AR17" s="255">
        <f t="shared" si="16"/>
        <v>0</v>
      </c>
      <c r="AS17" s="257"/>
      <c r="AT17" s="255">
        <f t="shared" si="8"/>
        <v>0</v>
      </c>
      <c r="AU17" s="257"/>
      <c r="AV17" s="255"/>
      <c r="AW17" s="257"/>
      <c r="AX17" s="255"/>
      <c r="AY17" s="257"/>
      <c r="AZ17" s="255"/>
      <c r="BA17" s="257"/>
      <c r="BB17" s="255">
        <f t="shared" si="9"/>
        <v>0</v>
      </c>
      <c r="BC17" s="257"/>
      <c r="BD17" s="255"/>
      <c r="BE17" s="257"/>
      <c r="BF17" s="255"/>
      <c r="BG17" s="257"/>
      <c r="BH17" s="255"/>
      <c r="BI17" s="257">
        <v>0</v>
      </c>
      <c r="BJ17" s="255">
        <f>BI17*F17</f>
        <v>0</v>
      </c>
      <c r="BK17" s="161">
        <f>AA17+AC17+AE17+AG17+AI17+AK17+AM17+AO17+AQ17+AS17+AU17+AW17+AY17+BA17+BC17+BE17+BG17+BI17</f>
        <v>0</v>
      </c>
      <c r="BL17" s="161">
        <f>AB17+AD17+AF17+AH17+AJ17+AL17+AN17+AP17+AR17+AT17+AV17+AX17+AZ17+BB17+BD17+BF17+BH17+BJ17</f>
        <v>0</v>
      </c>
      <c r="BM17" s="415" t="s">
        <v>216</v>
      </c>
      <c r="BO17" s="257"/>
      <c r="BP17" s="262">
        <f>H17</f>
        <v>0</v>
      </c>
      <c r="BQ17" s="257"/>
      <c r="BR17" s="257"/>
      <c r="BS17" s="262">
        <f>BO17+BP17+BQ17+BR17</f>
        <v>0</v>
      </c>
      <c r="BT17" s="257"/>
      <c r="BU17" s="257"/>
      <c r="BV17" s="257">
        <f t="shared" si="1"/>
        <v>0</v>
      </c>
      <c r="BW17" s="262">
        <f t="shared" si="2"/>
        <v>0</v>
      </c>
    </row>
    <row r="18" spans="1:75" s="265" customFormat="1">
      <c r="A18" s="918"/>
      <c r="B18" s="228"/>
      <c r="C18" s="158" t="s">
        <v>146</v>
      </c>
      <c r="D18" s="176" t="s">
        <v>146</v>
      </c>
      <c r="E18" s="159" t="s">
        <v>115</v>
      </c>
      <c r="F18" s="135"/>
      <c r="G18" s="307">
        <f t="shared" ref="G18:BR18" si="17">SUM(G16:G17)</f>
        <v>17</v>
      </c>
      <c r="H18" s="307">
        <f t="shared" si="17"/>
        <v>170000</v>
      </c>
      <c r="I18" s="307">
        <f t="shared" si="17"/>
        <v>34000</v>
      </c>
      <c r="J18" s="307">
        <f t="shared" si="17"/>
        <v>136000</v>
      </c>
      <c r="K18" s="307">
        <f t="shared" si="17"/>
        <v>0</v>
      </c>
      <c r="L18" s="307">
        <f t="shared" si="17"/>
        <v>0</v>
      </c>
      <c r="M18" s="307">
        <f t="shared" si="17"/>
        <v>0</v>
      </c>
      <c r="N18" s="307">
        <f t="shared" si="17"/>
        <v>0</v>
      </c>
      <c r="O18" s="307">
        <f t="shared" si="17"/>
        <v>0</v>
      </c>
      <c r="P18" s="307">
        <f t="shared" si="17"/>
        <v>0</v>
      </c>
      <c r="Q18" s="307">
        <f t="shared" si="17"/>
        <v>0</v>
      </c>
      <c r="R18" s="307">
        <f t="shared" si="17"/>
        <v>0</v>
      </c>
      <c r="S18" s="307">
        <f t="shared" si="17"/>
        <v>4.25</v>
      </c>
      <c r="T18" s="307">
        <f t="shared" si="17"/>
        <v>4.25</v>
      </c>
      <c r="U18" s="307">
        <f t="shared" si="17"/>
        <v>4.25</v>
      </c>
      <c r="V18" s="307">
        <f t="shared" si="17"/>
        <v>4.25</v>
      </c>
      <c r="W18" s="307">
        <f t="shared" si="17"/>
        <v>42500</v>
      </c>
      <c r="X18" s="307">
        <f t="shared" si="17"/>
        <v>42500</v>
      </c>
      <c r="Y18" s="307">
        <f t="shared" si="17"/>
        <v>42500</v>
      </c>
      <c r="Z18" s="307">
        <f t="shared" si="17"/>
        <v>42500</v>
      </c>
      <c r="AA18" s="307">
        <f t="shared" si="17"/>
        <v>1</v>
      </c>
      <c r="AB18" s="307">
        <f t="shared" si="17"/>
        <v>10000</v>
      </c>
      <c r="AC18" s="307">
        <f t="shared" si="17"/>
        <v>1</v>
      </c>
      <c r="AD18" s="307">
        <f t="shared" si="17"/>
        <v>10000</v>
      </c>
      <c r="AE18" s="307">
        <f t="shared" si="17"/>
        <v>1</v>
      </c>
      <c r="AF18" s="307">
        <f t="shared" si="17"/>
        <v>10000</v>
      </c>
      <c r="AG18" s="307">
        <f t="shared" si="17"/>
        <v>1</v>
      </c>
      <c r="AH18" s="307">
        <f t="shared" si="17"/>
        <v>10000</v>
      </c>
      <c r="AI18" s="307">
        <f t="shared" si="17"/>
        <v>1</v>
      </c>
      <c r="AJ18" s="307">
        <f t="shared" si="17"/>
        <v>10000</v>
      </c>
      <c r="AK18" s="307">
        <f t="shared" si="17"/>
        <v>1</v>
      </c>
      <c r="AL18" s="307">
        <f t="shared" si="17"/>
        <v>10000</v>
      </c>
      <c r="AM18" s="307">
        <f t="shared" si="17"/>
        <v>1</v>
      </c>
      <c r="AN18" s="307">
        <f t="shared" si="17"/>
        <v>10000</v>
      </c>
      <c r="AO18" s="307">
        <f t="shared" si="17"/>
        <v>1</v>
      </c>
      <c r="AP18" s="307">
        <f t="shared" si="17"/>
        <v>10000</v>
      </c>
      <c r="AQ18" s="307">
        <f t="shared" si="17"/>
        <v>1</v>
      </c>
      <c r="AR18" s="307">
        <f t="shared" si="17"/>
        <v>10000</v>
      </c>
      <c r="AS18" s="307">
        <f t="shared" si="17"/>
        <v>1</v>
      </c>
      <c r="AT18" s="307">
        <f t="shared" si="17"/>
        <v>10000</v>
      </c>
      <c r="AU18" s="307">
        <f t="shared" si="17"/>
        <v>1</v>
      </c>
      <c r="AV18" s="307">
        <f t="shared" si="17"/>
        <v>10000</v>
      </c>
      <c r="AW18" s="307">
        <f t="shared" si="17"/>
        <v>1</v>
      </c>
      <c r="AX18" s="307">
        <f t="shared" si="17"/>
        <v>10000</v>
      </c>
      <c r="AY18" s="307">
        <f t="shared" si="17"/>
        <v>1</v>
      </c>
      <c r="AZ18" s="307">
        <f t="shared" si="17"/>
        <v>10000</v>
      </c>
      <c r="BA18" s="307">
        <f t="shared" si="17"/>
        <v>1</v>
      </c>
      <c r="BB18" s="307">
        <f t="shared" si="17"/>
        <v>10000</v>
      </c>
      <c r="BC18" s="307">
        <f t="shared" si="17"/>
        <v>1</v>
      </c>
      <c r="BD18" s="307">
        <f t="shared" si="17"/>
        <v>10000</v>
      </c>
      <c r="BE18" s="307">
        <f t="shared" si="17"/>
        <v>1</v>
      </c>
      <c r="BF18" s="307">
        <f t="shared" si="17"/>
        <v>10000</v>
      </c>
      <c r="BG18" s="307">
        <f t="shared" si="17"/>
        <v>1</v>
      </c>
      <c r="BH18" s="307">
        <f t="shared" si="17"/>
        <v>10000</v>
      </c>
      <c r="BI18" s="307">
        <f t="shared" si="17"/>
        <v>0</v>
      </c>
      <c r="BJ18" s="307">
        <f t="shared" si="17"/>
        <v>0</v>
      </c>
      <c r="BK18" s="307">
        <f t="shared" si="17"/>
        <v>17</v>
      </c>
      <c r="BL18" s="307">
        <f t="shared" si="17"/>
        <v>170000</v>
      </c>
      <c r="BM18" s="307"/>
      <c r="BN18" s="307">
        <f t="shared" si="17"/>
        <v>0</v>
      </c>
      <c r="BO18" s="307">
        <f t="shared" si="17"/>
        <v>0</v>
      </c>
      <c r="BP18" s="307">
        <f t="shared" si="17"/>
        <v>170000</v>
      </c>
      <c r="BQ18" s="307">
        <f t="shared" si="17"/>
        <v>0</v>
      </c>
      <c r="BR18" s="307">
        <f t="shared" si="17"/>
        <v>0</v>
      </c>
      <c r="BS18" s="307">
        <f>SUM(BS16:BS17)</f>
        <v>170000</v>
      </c>
      <c r="BT18" s="307">
        <f>SUM(BT16:BT17)</f>
        <v>0</v>
      </c>
      <c r="BU18" s="307">
        <f>SUM(BU16:BU17)</f>
        <v>0</v>
      </c>
      <c r="BV18" s="307">
        <f>SUM(BV16:BV17)</f>
        <v>0</v>
      </c>
      <c r="BW18" s="307">
        <f>SUM(BW16:BW17)</f>
        <v>170000</v>
      </c>
    </row>
    <row r="19" spans="1:75">
      <c r="A19" s="918"/>
      <c r="B19" s="196"/>
      <c r="C19" s="158" t="s">
        <v>369</v>
      </c>
      <c r="D19" s="136" t="s">
        <v>369</v>
      </c>
      <c r="E19" s="159"/>
      <c r="F19" s="159"/>
      <c r="G19" s="196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57"/>
      <c r="S19" s="129"/>
      <c r="T19" s="129"/>
      <c r="U19" s="129"/>
      <c r="V19" s="129"/>
      <c r="W19" s="262"/>
      <c r="X19" s="262"/>
      <c r="Y19" s="262"/>
      <c r="Z19" s="262"/>
      <c r="AA19" s="257"/>
      <c r="AB19" s="255">
        <f t="shared" si="3"/>
        <v>0</v>
      </c>
      <c r="AC19" s="257"/>
      <c r="AD19" s="255">
        <f t="shared" si="4"/>
        <v>0</v>
      </c>
      <c r="AE19" s="257"/>
      <c r="AF19" s="255">
        <f t="shared" si="5"/>
        <v>0</v>
      </c>
      <c r="AG19" s="257"/>
      <c r="AH19" s="255">
        <f t="shared" si="15"/>
        <v>0</v>
      </c>
      <c r="AI19" s="257"/>
      <c r="AJ19" s="255">
        <f t="shared" si="6"/>
        <v>0</v>
      </c>
      <c r="AK19" s="257"/>
      <c r="AL19" s="255"/>
      <c r="AM19" s="257"/>
      <c r="AN19" s="255" t="s">
        <v>36</v>
      </c>
      <c r="AO19" s="257"/>
      <c r="AP19" s="255"/>
      <c r="AQ19" s="257"/>
      <c r="AR19" s="255">
        <f t="shared" si="16"/>
        <v>0</v>
      </c>
      <c r="AS19" s="257"/>
      <c r="AT19" s="255">
        <f t="shared" si="8"/>
        <v>0</v>
      </c>
      <c r="AU19" s="257"/>
      <c r="AV19" s="255"/>
      <c r="AW19" s="257"/>
      <c r="AX19" s="255"/>
      <c r="AY19" s="257"/>
      <c r="AZ19" s="255"/>
      <c r="BA19" s="257"/>
      <c r="BB19" s="255">
        <f t="shared" si="9"/>
        <v>0</v>
      </c>
      <c r="BC19" s="257"/>
      <c r="BD19" s="255"/>
      <c r="BE19" s="257"/>
      <c r="BF19" s="255"/>
      <c r="BG19" s="257"/>
      <c r="BH19" s="255"/>
      <c r="BI19" s="257"/>
      <c r="BJ19" s="255"/>
      <c r="BK19" s="161">
        <f>AA19+AC19+AE19+AG19+AI19+AK19+AM19+AO19+AQ19+AS19+AU19+AW19+AY19+BA19+BC19+BE19+BG19+BI19</f>
        <v>0</v>
      </c>
      <c r="BL19" s="161"/>
      <c r="BM19" s="257"/>
      <c r="BO19" s="257"/>
      <c r="BP19" s="257"/>
      <c r="BQ19" s="257"/>
      <c r="BR19" s="257"/>
      <c r="BS19" s="262">
        <f>BO19+BP19+BQ19+BR19</f>
        <v>0</v>
      </c>
      <c r="BT19" s="257"/>
      <c r="BU19" s="257"/>
      <c r="BV19" s="257">
        <f>BT19+BU19</f>
        <v>0</v>
      </c>
      <c r="BW19" s="262">
        <f t="shared" si="2"/>
        <v>0</v>
      </c>
    </row>
    <row r="20" spans="1:75">
      <c r="A20" s="918"/>
      <c r="B20" s="196"/>
      <c r="C20" s="136"/>
      <c r="D20" s="166" t="s">
        <v>742</v>
      </c>
      <c r="E20" s="159" t="s">
        <v>16</v>
      </c>
      <c r="F20" s="216">
        <v>700000</v>
      </c>
      <c r="G20" s="196">
        <f>BK20</f>
        <v>0</v>
      </c>
      <c r="H20" s="262">
        <f>G20*F20</f>
        <v>0</v>
      </c>
      <c r="I20" s="262">
        <f>H20*0.2</f>
        <v>0</v>
      </c>
      <c r="J20" s="262">
        <f>H20*0.8</f>
        <v>0</v>
      </c>
      <c r="K20" s="262"/>
      <c r="L20" s="262"/>
      <c r="M20" s="262"/>
      <c r="N20" s="262"/>
      <c r="O20" s="262"/>
      <c r="P20" s="262"/>
      <c r="Q20" s="262"/>
      <c r="R20" s="262"/>
      <c r="S20" s="129"/>
      <c r="T20" s="129"/>
      <c r="U20" s="129">
        <f>G20</f>
        <v>0</v>
      </c>
      <c r="V20" s="129"/>
      <c r="W20" s="262">
        <f>S20*F20</f>
        <v>0</v>
      </c>
      <c r="X20" s="262">
        <f>T20*F20</f>
        <v>0</v>
      </c>
      <c r="Y20" s="262">
        <f>U20*F20</f>
        <v>0</v>
      </c>
      <c r="Z20" s="262">
        <f>V20*F20</f>
        <v>0</v>
      </c>
      <c r="AA20" s="257"/>
      <c r="AB20" s="255">
        <f t="shared" si="3"/>
        <v>0</v>
      </c>
      <c r="AC20" s="257"/>
      <c r="AD20" s="255">
        <f t="shared" si="4"/>
        <v>0</v>
      </c>
      <c r="AE20" s="257"/>
      <c r="AF20" s="255">
        <f t="shared" si="5"/>
        <v>0</v>
      </c>
      <c r="AG20" s="257"/>
      <c r="AH20" s="255">
        <f t="shared" si="15"/>
        <v>0</v>
      </c>
      <c r="AI20" s="257"/>
      <c r="AJ20" s="255">
        <f t="shared" si="6"/>
        <v>0</v>
      </c>
      <c r="AK20" s="257"/>
      <c r="AL20" s="255"/>
      <c r="AM20" s="257"/>
      <c r="AN20" s="255">
        <f t="shared" si="7"/>
        <v>0</v>
      </c>
      <c r="AO20" s="257"/>
      <c r="AP20" s="255"/>
      <c r="AQ20" s="257"/>
      <c r="AR20" s="255">
        <f t="shared" si="16"/>
        <v>0</v>
      </c>
      <c r="AS20" s="257"/>
      <c r="AT20" s="255">
        <f t="shared" si="8"/>
        <v>0</v>
      </c>
      <c r="AU20" s="257"/>
      <c r="AV20" s="255"/>
      <c r="AW20" s="257"/>
      <c r="AX20" s="255"/>
      <c r="AY20" s="257"/>
      <c r="AZ20" s="255"/>
      <c r="BA20" s="257"/>
      <c r="BB20" s="255">
        <f t="shared" si="9"/>
        <v>0</v>
      </c>
      <c r="BC20" s="257"/>
      <c r="BD20" s="255"/>
      <c r="BE20" s="257"/>
      <c r="BF20" s="255"/>
      <c r="BG20" s="257"/>
      <c r="BH20" s="255"/>
      <c r="BI20" s="257">
        <v>0</v>
      </c>
      <c r="BJ20" s="255">
        <f>BI20*F20</f>
        <v>0</v>
      </c>
      <c r="BK20" s="161">
        <f>AA20+AC20+AE20+AG20+AI20+AK20+AM20+AO20+AQ20+AS20+AU20+AW20+AY20+BA20+BC20+BE20+BG20+BI20</f>
        <v>0</v>
      </c>
      <c r="BL20" s="161">
        <f>AB20+AD20+AF20+AH20+AJ20+AL20+AN20+AP20+AR20+AT20+AV20+AX20+AZ20+BB20+BD20+BF20+BH20+BJ20</f>
        <v>0</v>
      </c>
      <c r="BM20" s="415" t="s">
        <v>216</v>
      </c>
      <c r="BO20" s="257"/>
      <c r="BP20" s="262">
        <f>H20</f>
        <v>0</v>
      </c>
      <c r="BQ20" s="257"/>
      <c r="BR20" s="257"/>
      <c r="BS20" s="262">
        <f>BO20+BP20+BQ20+BR20</f>
        <v>0</v>
      </c>
      <c r="BT20" s="257"/>
      <c r="BU20" s="257"/>
      <c r="BV20" s="257">
        <f>BT20+BU20</f>
        <v>0</v>
      </c>
      <c r="BW20" s="262">
        <f t="shared" si="2"/>
        <v>0</v>
      </c>
    </row>
    <row r="21" spans="1:75">
      <c r="A21" s="918"/>
      <c r="B21" s="196"/>
      <c r="C21" s="136"/>
      <c r="D21" s="166" t="s">
        <v>147</v>
      </c>
      <c r="E21" s="159" t="s">
        <v>16</v>
      </c>
      <c r="F21" s="135" t="s">
        <v>375</v>
      </c>
      <c r="G21" s="196">
        <f>BK21</f>
        <v>0</v>
      </c>
      <c r="H21" s="262">
        <f>G21*F21</f>
        <v>0</v>
      </c>
      <c r="I21" s="262">
        <f>H21*0.2</f>
        <v>0</v>
      </c>
      <c r="J21" s="262">
        <f>H21*0.8</f>
        <v>0</v>
      </c>
      <c r="K21" s="262"/>
      <c r="L21" s="262"/>
      <c r="M21" s="262"/>
      <c r="N21" s="262"/>
      <c r="O21" s="262"/>
      <c r="P21" s="262"/>
      <c r="Q21" s="262"/>
      <c r="R21" s="262"/>
      <c r="S21" s="129"/>
      <c r="T21" s="129"/>
      <c r="U21" s="129">
        <f>G21</f>
        <v>0</v>
      </c>
      <c r="V21" s="129"/>
      <c r="W21" s="262">
        <f>S21*F21</f>
        <v>0</v>
      </c>
      <c r="X21" s="262">
        <f>T21*F21</f>
        <v>0</v>
      </c>
      <c r="Y21" s="262">
        <f>U21*F21</f>
        <v>0</v>
      </c>
      <c r="Z21" s="262">
        <f>V21*F21</f>
        <v>0</v>
      </c>
      <c r="AA21" s="257"/>
      <c r="AB21" s="255">
        <f t="shared" si="3"/>
        <v>0</v>
      </c>
      <c r="AC21" s="257"/>
      <c r="AD21" s="255">
        <f t="shared" si="4"/>
        <v>0</v>
      </c>
      <c r="AE21" s="257"/>
      <c r="AF21" s="255">
        <f t="shared" si="5"/>
        <v>0</v>
      </c>
      <c r="AG21" s="257"/>
      <c r="AH21" s="255">
        <f t="shared" si="15"/>
        <v>0</v>
      </c>
      <c r="AI21" s="257"/>
      <c r="AJ21" s="255">
        <f t="shared" si="6"/>
        <v>0</v>
      </c>
      <c r="AK21" s="257"/>
      <c r="AL21" s="255"/>
      <c r="AM21" s="257"/>
      <c r="AN21" s="255">
        <f t="shared" si="7"/>
        <v>0</v>
      </c>
      <c r="AO21" s="257"/>
      <c r="AP21" s="255"/>
      <c r="AQ21" s="257"/>
      <c r="AR21" s="255">
        <f t="shared" si="16"/>
        <v>0</v>
      </c>
      <c r="AS21" s="257"/>
      <c r="AT21" s="255">
        <f t="shared" si="8"/>
        <v>0</v>
      </c>
      <c r="AU21" s="257"/>
      <c r="AV21" s="255"/>
      <c r="AW21" s="257"/>
      <c r="AX21" s="255"/>
      <c r="AY21" s="257"/>
      <c r="AZ21" s="255"/>
      <c r="BA21" s="257"/>
      <c r="BB21" s="255">
        <f t="shared" si="9"/>
        <v>0</v>
      </c>
      <c r="BC21" s="257"/>
      <c r="BD21" s="255"/>
      <c r="BE21" s="257"/>
      <c r="BF21" s="255"/>
      <c r="BG21" s="257"/>
      <c r="BH21" s="255"/>
      <c r="BI21" s="257">
        <v>0</v>
      </c>
      <c r="BJ21" s="255">
        <f>BI21*F21</f>
        <v>0</v>
      </c>
      <c r="BK21" s="161">
        <f>AA21+AC21+AE21+AG21+AI21+AK21+AM21+AO21+AQ21+AS21+AU21+AW21+AY21+BA21+BC21+BE21+BG21+BI21</f>
        <v>0</v>
      </c>
      <c r="BL21" s="161">
        <f>AB21+AD21+AF21+AH21+AJ21+AL21+AN21+AP21+AR21+AT21+AV21+AX21+AZ21+BB21+BD21+BF21+BH21+BJ21</f>
        <v>0</v>
      </c>
      <c r="BM21" s="415" t="s">
        <v>216</v>
      </c>
      <c r="BO21" s="257"/>
      <c r="BP21" s="262">
        <f>H21</f>
        <v>0</v>
      </c>
      <c r="BQ21" s="257"/>
      <c r="BR21" s="257"/>
      <c r="BS21" s="262">
        <f>BO21+BP21+BQ21+BR21</f>
        <v>0</v>
      </c>
      <c r="BT21" s="257"/>
      <c r="BU21" s="257"/>
      <c r="BV21" s="257">
        <f>BT21+BU21</f>
        <v>0</v>
      </c>
      <c r="BW21" s="262">
        <f t="shared" si="2"/>
        <v>0</v>
      </c>
    </row>
    <row r="22" spans="1:75" s="265" customFormat="1">
      <c r="A22" s="918"/>
      <c r="B22" s="228"/>
      <c r="C22" s="158" t="s">
        <v>148</v>
      </c>
      <c r="D22" s="176" t="s">
        <v>148</v>
      </c>
      <c r="E22" s="168" t="s">
        <v>115</v>
      </c>
      <c r="F22" s="177" t="s">
        <v>362</v>
      </c>
      <c r="G22" s="307">
        <f t="shared" ref="G22:BR22" si="18">G21+G20</f>
        <v>0</v>
      </c>
      <c r="H22" s="307">
        <f t="shared" si="18"/>
        <v>0</v>
      </c>
      <c r="I22" s="307">
        <f t="shared" si="18"/>
        <v>0</v>
      </c>
      <c r="J22" s="307">
        <f t="shared" si="18"/>
        <v>0</v>
      </c>
      <c r="K22" s="307">
        <f t="shared" si="18"/>
        <v>0</v>
      </c>
      <c r="L22" s="307">
        <f t="shared" si="18"/>
        <v>0</v>
      </c>
      <c r="M22" s="307">
        <f t="shared" si="18"/>
        <v>0</v>
      </c>
      <c r="N22" s="307">
        <f t="shared" si="18"/>
        <v>0</v>
      </c>
      <c r="O22" s="307">
        <f t="shared" si="18"/>
        <v>0</v>
      </c>
      <c r="P22" s="307">
        <f t="shared" si="18"/>
        <v>0</v>
      </c>
      <c r="Q22" s="307">
        <f t="shared" si="18"/>
        <v>0</v>
      </c>
      <c r="R22" s="307">
        <f t="shared" si="18"/>
        <v>0</v>
      </c>
      <c r="S22" s="307">
        <f t="shared" si="18"/>
        <v>0</v>
      </c>
      <c r="T22" s="307">
        <f t="shared" si="18"/>
        <v>0</v>
      </c>
      <c r="U22" s="307">
        <f t="shared" si="18"/>
        <v>0</v>
      </c>
      <c r="V22" s="307">
        <f t="shared" si="18"/>
        <v>0</v>
      </c>
      <c r="W22" s="307">
        <f t="shared" si="18"/>
        <v>0</v>
      </c>
      <c r="X22" s="307">
        <f t="shared" si="18"/>
        <v>0</v>
      </c>
      <c r="Y22" s="307">
        <f t="shared" si="18"/>
        <v>0</v>
      </c>
      <c r="Z22" s="307">
        <f t="shared" si="18"/>
        <v>0</v>
      </c>
      <c r="AA22" s="307">
        <f t="shared" si="18"/>
        <v>0</v>
      </c>
      <c r="AB22" s="307">
        <f t="shared" si="18"/>
        <v>0</v>
      </c>
      <c r="AC22" s="307">
        <f t="shared" si="18"/>
        <v>0</v>
      </c>
      <c r="AD22" s="307">
        <f t="shared" si="18"/>
        <v>0</v>
      </c>
      <c r="AE22" s="307">
        <f t="shared" si="18"/>
        <v>0</v>
      </c>
      <c r="AF22" s="307">
        <f t="shared" si="18"/>
        <v>0</v>
      </c>
      <c r="AG22" s="307">
        <f t="shared" si="18"/>
        <v>0</v>
      </c>
      <c r="AH22" s="307">
        <f t="shared" si="18"/>
        <v>0</v>
      </c>
      <c r="AI22" s="307">
        <f t="shared" si="18"/>
        <v>0</v>
      </c>
      <c r="AJ22" s="307">
        <f t="shared" si="18"/>
        <v>0</v>
      </c>
      <c r="AK22" s="307">
        <f t="shared" si="18"/>
        <v>0</v>
      </c>
      <c r="AL22" s="307">
        <f t="shared" si="18"/>
        <v>0</v>
      </c>
      <c r="AM22" s="307">
        <f t="shared" si="18"/>
        <v>0</v>
      </c>
      <c r="AN22" s="307">
        <f t="shared" si="18"/>
        <v>0</v>
      </c>
      <c r="AO22" s="307">
        <f t="shared" si="18"/>
        <v>0</v>
      </c>
      <c r="AP22" s="307">
        <f t="shared" si="18"/>
        <v>0</v>
      </c>
      <c r="AQ22" s="307">
        <f t="shared" si="18"/>
        <v>0</v>
      </c>
      <c r="AR22" s="307">
        <f t="shared" si="18"/>
        <v>0</v>
      </c>
      <c r="AS22" s="307">
        <f t="shared" si="18"/>
        <v>0</v>
      </c>
      <c r="AT22" s="307">
        <f t="shared" si="18"/>
        <v>0</v>
      </c>
      <c r="AU22" s="307">
        <f t="shared" si="18"/>
        <v>0</v>
      </c>
      <c r="AV22" s="307">
        <f t="shared" si="18"/>
        <v>0</v>
      </c>
      <c r="AW22" s="307">
        <f t="shared" si="18"/>
        <v>0</v>
      </c>
      <c r="AX22" s="307">
        <f t="shared" si="18"/>
        <v>0</v>
      </c>
      <c r="AY22" s="307">
        <f t="shared" si="18"/>
        <v>0</v>
      </c>
      <c r="AZ22" s="307">
        <f t="shared" si="18"/>
        <v>0</v>
      </c>
      <c r="BA22" s="307">
        <f t="shared" si="18"/>
        <v>0</v>
      </c>
      <c r="BB22" s="307">
        <f t="shared" si="18"/>
        <v>0</v>
      </c>
      <c r="BC22" s="307">
        <f t="shared" si="18"/>
        <v>0</v>
      </c>
      <c r="BD22" s="307">
        <f t="shared" si="18"/>
        <v>0</v>
      </c>
      <c r="BE22" s="307">
        <f t="shared" si="18"/>
        <v>0</v>
      </c>
      <c r="BF22" s="307">
        <f t="shared" si="18"/>
        <v>0</v>
      </c>
      <c r="BG22" s="307">
        <f t="shared" si="18"/>
        <v>0</v>
      </c>
      <c r="BH22" s="307">
        <f t="shared" si="18"/>
        <v>0</v>
      </c>
      <c r="BI22" s="307">
        <f t="shared" si="18"/>
        <v>0</v>
      </c>
      <c r="BJ22" s="307">
        <f t="shared" si="18"/>
        <v>0</v>
      </c>
      <c r="BK22" s="307">
        <f t="shared" si="18"/>
        <v>0</v>
      </c>
      <c r="BL22" s="307">
        <f t="shared" si="18"/>
        <v>0</v>
      </c>
      <c r="BM22" s="307"/>
      <c r="BN22" s="307">
        <f t="shared" si="18"/>
        <v>0</v>
      </c>
      <c r="BO22" s="307">
        <f t="shared" si="18"/>
        <v>0</v>
      </c>
      <c r="BP22" s="307">
        <f t="shared" si="18"/>
        <v>0</v>
      </c>
      <c r="BQ22" s="307">
        <f t="shared" si="18"/>
        <v>0</v>
      </c>
      <c r="BR22" s="307">
        <f t="shared" si="18"/>
        <v>0</v>
      </c>
      <c r="BS22" s="307">
        <f>BS21+BS20</f>
        <v>0</v>
      </c>
      <c r="BT22" s="307">
        <f>BT21+BT20</f>
        <v>0</v>
      </c>
      <c r="BU22" s="307">
        <f>BU21+BU20</f>
        <v>0</v>
      </c>
      <c r="BV22" s="307">
        <f>BV21+BV20</f>
        <v>0</v>
      </c>
      <c r="BW22" s="307">
        <f>BW21+BW20</f>
        <v>0</v>
      </c>
    </row>
    <row r="23" spans="1:75" s="265" customFormat="1">
      <c r="A23" s="918"/>
      <c r="B23" s="228"/>
      <c r="C23" s="158" t="s">
        <v>370</v>
      </c>
      <c r="D23" s="176" t="s">
        <v>370</v>
      </c>
      <c r="E23" s="159"/>
      <c r="F23" s="135"/>
      <c r="G23" s="246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0"/>
      <c r="T23" s="300"/>
      <c r="U23" s="300"/>
      <c r="V23" s="300"/>
      <c r="W23" s="307"/>
      <c r="X23" s="307"/>
      <c r="Y23" s="307"/>
      <c r="Z23" s="307"/>
      <c r="AA23" s="257"/>
      <c r="AB23" s="255">
        <f t="shared" si="3"/>
        <v>0</v>
      </c>
      <c r="AC23" s="257"/>
      <c r="AD23" s="255">
        <f t="shared" si="4"/>
        <v>0</v>
      </c>
      <c r="AE23" s="257"/>
      <c r="AF23" s="255">
        <f t="shared" si="5"/>
        <v>0</v>
      </c>
      <c r="AG23" s="257"/>
      <c r="AH23" s="255">
        <f t="shared" si="15"/>
        <v>0</v>
      </c>
      <c r="AI23" s="257"/>
      <c r="AJ23" s="255">
        <f t="shared" si="6"/>
        <v>0</v>
      </c>
      <c r="AK23" s="257"/>
      <c r="AL23" s="255"/>
      <c r="AM23" s="257"/>
      <c r="AN23" s="255">
        <f t="shared" si="7"/>
        <v>0</v>
      </c>
      <c r="AO23" s="257"/>
      <c r="AP23" s="255"/>
      <c r="AQ23" s="257"/>
      <c r="AR23" s="255">
        <f t="shared" si="16"/>
        <v>0</v>
      </c>
      <c r="AS23" s="257"/>
      <c r="AT23" s="255">
        <f t="shared" si="8"/>
        <v>0</v>
      </c>
      <c r="AU23" s="257"/>
      <c r="AV23" s="255"/>
      <c r="AW23" s="257"/>
      <c r="AX23" s="255"/>
      <c r="AY23" s="257"/>
      <c r="AZ23" s="255"/>
      <c r="BA23" s="257"/>
      <c r="BB23" s="255">
        <f t="shared" si="9"/>
        <v>0</v>
      </c>
      <c r="BC23" s="257"/>
      <c r="BD23" s="255"/>
      <c r="BE23" s="257"/>
      <c r="BF23" s="255"/>
      <c r="BG23" s="257"/>
      <c r="BH23" s="255"/>
      <c r="BI23" s="257"/>
      <c r="BJ23" s="255"/>
      <c r="BK23" s="161">
        <f t="shared" ref="BK23:BL26" si="19">AA23+AC23+AE23+AG23+AI23+AK23+AM23+AO23+AQ23+AS23+AU23+AW23+AY23+BA23+BC23+BE23+BG23+BI23</f>
        <v>0</v>
      </c>
      <c r="BL23" s="161">
        <f t="shared" si="19"/>
        <v>0</v>
      </c>
      <c r="BM23" s="245"/>
      <c r="BO23" s="307"/>
      <c r="BP23" s="307"/>
      <c r="BQ23" s="307"/>
      <c r="BR23" s="307"/>
      <c r="BS23" s="307"/>
      <c r="BT23" s="307"/>
      <c r="BU23" s="307"/>
      <c r="BV23" s="307"/>
      <c r="BW23" s="307"/>
    </row>
    <row r="24" spans="1:75">
      <c r="A24" s="918"/>
      <c r="B24" s="196"/>
      <c r="C24" s="136"/>
      <c r="D24" s="166" t="s">
        <v>149</v>
      </c>
      <c r="E24" s="159" t="s">
        <v>16</v>
      </c>
      <c r="F24" s="135">
        <v>100000</v>
      </c>
      <c r="G24" s="196">
        <f>BK24</f>
        <v>0</v>
      </c>
      <c r="H24" s="375">
        <f>G24*F24</f>
        <v>0</v>
      </c>
      <c r="I24" s="375"/>
      <c r="J24" s="375"/>
      <c r="K24" s="375"/>
      <c r="L24" s="375"/>
      <c r="M24" s="375"/>
      <c r="N24" s="375"/>
      <c r="O24" s="375"/>
      <c r="P24" s="375"/>
      <c r="Q24" s="375"/>
      <c r="R24" s="374"/>
      <c r="S24" s="416"/>
      <c r="T24" s="416"/>
      <c r="U24" s="416"/>
      <c r="V24" s="416">
        <f>G24</f>
        <v>0</v>
      </c>
      <c r="W24" s="262"/>
      <c r="X24" s="262"/>
      <c r="Y24" s="262"/>
      <c r="Z24" s="262">
        <f>V24*F24</f>
        <v>0</v>
      </c>
      <c r="AA24" s="257"/>
      <c r="AB24" s="255">
        <f t="shared" si="3"/>
        <v>0</v>
      </c>
      <c r="AC24" s="257"/>
      <c r="AD24" s="255">
        <f t="shared" si="4"/>
        <v>0</v>
      </c>
      <c r="AE24" s="257"/>
      <c r="AF24" s="255">
        <f t="shared" si="5"/>
        <v>0</v>
      </c>
      <c r="AG24" s="257"/>
      <c r="AH24" s="255">
        <f t="shared" si="15"/>
        <v>0</v>
      </c>
      <c r="AI24" s="257"/>
      <c r="AJ24" s="255">
        <f t="shared" si="6"/>
        <v>0</v>
      </c>
      <c r="AK24" s="257"/>
      <c r="AL24" s="255"/>
      <c r="AM24" s="257"/>
      <c r="AN24" s="255">
        <f t="shared" si="7"/>
        <v>0</v>
      </c>
      <c r="AO24" s="257"/>
      <c r="AP24" s="255"/>
      <c r="AQ24" s="257"/>
      <c r="AR24" s="255">
        <f t="shared" si="16"/>
        <v>0</v>
      </c>
      <c r="AS24" s="257"/>
      <c r="AT24" s="255">
        <f t="shared" si="8"/>
        <v>0</v>
      </c>
      <c r="AU24" s="257"/>
      <c r="AV24" s="255"/>
      <c r="AW24" s="257"/>
      <c r="AX24" s="255"/>
      <c r="AY24" s="257"/>
      <c r="AZ24" s="255"/>
      <c r="BA24" s="257"/>
      <c r="BB24" s="255">
        <f t="shared" si="9"/>
        <v>0</v>
      </c>
      <c r="BC24" s="257"/>
      <c r="BD24" s="255"/>
      <c r="BE24" s="257"/>
      <c r="BF24" s="255"/>
      <c r="BG24" s="257"/>
      <c r="BH24" s="255"/>
      <c r="BI24" s="257">
        <v>0</v>
      </c>
      <c r="BJ24" s="255">
        <f>BI24*F24</f>
        <v>0</v>
      </c>
      <c r="BK24" s="161">
        <f t="shared" si="19"/>
        <v>0</v>
      </c>
      <c r="BL24" s="161">
        <f t="shared" si="19"/>
        <v>0</v>
      </c>
      <c r="BM24" s="257"/>
      <c r="BO24" s="257"/>
      <c r="BP24" s="257"/>
      <c r="BQ24" s="257"/>
      <c r="BR24" s="257"/>
      <c r="BS24" s="262">
        <f t="shared" ref="BS24:BS34" si="20">BO24+BP24+BQ24+BR24</f>
        <v>0</v>
      </c>
      <c r="BT24" s="257"/>
      <c r="BU24" s="257"/>
      <c r="BV24" s="257">
        <f t="shared" ref="BV24:BV32" si="21">BT24+BU24</f>
        <v>0</v>
      </c>
      <c r="BW24" s="262">
        <f t="shared" si="2"/>
        <v>0</v>
      </c>
    </row>
    <row r="25" spans="1:75">
      <c r="A25" s="918"/>
      <c r="B25" s="196"/>
      <c r="C25" s="136"/>
      <c r="D25" s="166" t="s">
        <v>150</v>
      </c>
      <c r="E25" s="159" t="s">
        <v>16</v>
      </c>
      <c r="F25" s="135" t="s">
        <v>376</v>
      </c>
      <c r="G25" s="196">
        <f>BK25</f>
        <v>0</v>
      </c>
      <c r="H25" s="375">
        <f>G25*F25</f>
        <v>0</v>
      </c>
      <c r="I25" s="262">
        <f>H25*0.2</f>
        <v>0</v>
      </c>
      <c r="J25" s="262">
        <f>H25*0.8</f>
        <v>0</v>
      </c>
      <c r="K25" s="262"/>
      <c r="L25" s="262"/>
      <c r="M25" s="262"/>
      <c r="N25" s="262"/>
      <c r="O25" s="262"/>
      <c r="P25" s="262"/>
      <c r="Q25" s="262"/>
      <c r="R25" s="262"/>
      <c r="S25" s="129"/>
      <c r="T25" s="129"/>
      <c r="U25" s="129"/>
      <c r="V25" s="416">
        <f>G25</f>
        <v>0</v>
      </c>
      <c r="W25" s="262">
        <f>S25*F25</f>
        <v>0</v>
      </c>
      <c r="X25" s="262">
        <f>T25*F25</f>
        <v>0</v>
      </c>
      <c r="Y25" s="262">
        <f>U25*F25</f>
        <v>0</v>
      </c>
      <c r="Z25" s="262">
        <f>V25*F25</f>
        <v>0</v>
      </c>
      <c r="AA25" s="257"/>
      <c r="AB25" s="255">
        <f t="shared" si="3"/>
        <v>0</v>
      </c>
      <c r="AC25" s="257"/>
      <c r="AD25" s="255">
        <f t="shared" si="4"/>
        <v>0</v>
      </c>
      <c r="AE25" s="257"/>
      <c r="AF25" s="255">
        <f t="shared" si="5"/>
        <v>0</v>
      </c>
      <c r="AG25" s="257"/>
      <c r="AH25" s="255">
        <f t="shared" si="15"/>
        <v>0</v>
      </c>
      <c r="AI25" s="257"/>
      <c r="AJ25" s="255">
        <f t="shared" si="6"/>
        <v>0</v>
      </c>
      <c r="AK25" s="257"/>
      <c r="AL25" s="255"/>
      <c r="AM25" s="257"/>
      <c r="AN25" s="255">
        <f t="shared" si="7"/>
        <v>0</v>
      </c>
      <c r="AO25" s="257"/>
      <c r="AP25" s="255"/>
      <c r="AQ25" s="257"/>
      <c r="AR25" s="255">
        <f t="shared" si="16"/>
        <v>0</v>
      </c>
      <c r="AS25" s="257"/>
      <c r="AT25" s="255">
        <f t="shared" si="8"/>
        <v>0</v>
      </c>
      <c r="AU25" s="257"/>
      <c r="AV25" s="255"/>
      <c r="AW25" s="257"/>
      <c r="AX25" s="255"/>
      <c r="AY25" s="257"/>
      <c r="AZ25" s="255"/>
      <c r="BA25" s="257"/>
      <c r="BB25" s="255">
        <f t="shared" si="9"/>
        <v>0</v>
      </c>
      <c r="BC25" s="257"/>
      <c r="BD25" s="255"/>
      <c r="BE25" s="257"/>
      <c r="BF25" s="255"/>
      <c r="BG25" s="257"/>
      <c r="BH25" s="255"/>
      <c r="BI25" s="257"/>
      <c r="BJ25" s="255">
        <f>BI25*F25</f>
        <v>0</v>
      </c>
      <c r="BK25" s="161">
        <f t="shared" si="19"/>
        <v>0</v>
      </c>
      <c r="BL25" s="161">
        <f t="shared" si="19"/>
        <v>0</v>
      </c>
      <c r="BM25" s="415" t="s">
        <v>216</v>
      </c>
      <c r="BO25" s="257"/>
      <c r="BP25" s="262">
        <f>H25</f>
        <v>0</v>
      </c>
      <c r="BQ25" s="257"/>
      <c r="BR25" s="257"/>
      <c r="BS25" s="262">
        <f t="shared" si="20"/>
        <v>0</v>
      </c>
      <c r="BT25" s="257"/>
      <c r="BU25" s="257"/>
      <c r="BV25" s="257">
        <f t="shared" si="21"/>
        <v>0</v>
      </c>
      <c r="BW25" s="262">
        <f t="shared" si="2"/>
        <v>0</v>
      </c>
    </row>
    <row r="26" spans="1:75">
      <c r="A26" s="918"/>
      <c r="B26" s="196"/>
      <c r="C26" s="136"/>
      <c r="D26" s="166" t="s">
        <v>151</v>
      </c>
      <c r="E26" s="159" t="s">
        <v>16</v>
      </c>
      <c r="F26" s="135">
        <v>100000</v>
      </c>
      <c r="G26" s="196">
        <f>BK26</f>
        <v>0</v>
      </c>
      <c r="H26" s="375">
        <f>G26*F26</f>
        <v>0</v>
      </c>
      <c r="I26" s="262">
        <f>H26*0.2</f>
        <v>0</v>
      </c>
      <c r="J26" s="262">
        <f>H26*0.8</f>
        <v>0</v>
      </c>
      <c r="K26" s="262"/>
      <c r="L26" s="262"/>
      <c r="M26" s="262"/>
      <c r="N26" s="262"/>
      <c r="O26" s="262"/>
      <c r="P26" s="262"/>
      <c r="Q26" s="262"/>
      <c r="R26" s="262"/>
      <c r="S26" s="129"/>
      <c r="T26" s="129"/>
      <c r="U26" s="129"/>
      <c r="V26" s="416">
        <f>G26</f>
        <v>0</v>
      </c>
      <c r="W26" s="262">
        <f>S26*F26</f>
        <v>0</v>
      </c>
      <c r="X26" s="262">
        <f>T26*F26</f>
        <v>0</v>
      </c>
      <c r="Y26" s="262">
        <f>U26*F26</f>
        <v>0</v>
      </c>
      <c r="Z26" s="262">
        <f>V26*F26</f>
        <v>0</v>
      </c>
      <c r="AA26" s="257"/>
      <c r="AB26" s="255">
        <f t="shared" si="3"/>
        <v>0</v>
      </c>
      <c r="AC26" s="257"/>
      <c r="AD26" s="255">
        <f t="shared" si="4"/>
        <v>0</v>
      </c>
      <c r="AE26" s="257"/>
      <c r="AF26" s="255">
        <f t="shared" si="5"/>
        <v>0</v>
      </c>
      <c r="AG26" s="257"/>
      <c r="AH26" s="255">
        <f t="shared" si="15"/>
        <v>0</v>
      </c>
      <c r="AI26" s="257"/>
      <c r="AJ26" s="255">
        <f t="shared" si="6"/>
        <v>0</v>
      </c>
      <c r="AK26" s="257"/>
      <c r="AL26" s="255"/>
      <c r="AM26" s="257"/>
      <c r="AN26" s="255">
        <f t="shared" si="7"/>
        <v>0</v>
      </c>
      <c r="AO26" s="257"/>
      <c r="AP26" s="255"/>
      <c r="AQ26" s="257"/>
      <c r="AR26" s="255">
        <f t="shared" si="16"/>
        <v>0</v>
      </c>
      <c r="AS26" s="257"/>
      <c r="AT26" s="255">
        <f t="shared" si="8"/>
        <v>0</v>
      </c>
      <c r="AU26" s="257"/>
      <c r="AV26" s="255"/>
      <c r="AW26" s="257"/>
      <c r="AX26" s="255"/>
      <c r="AY26" s="257"/>
      <c r="AZ26" s="255"/>
      <c r="BA26" s="257"/>
      <c r="BB26" s="255">
        <f t="shared" si="9"/>
        <v>0</v>
      </c>
      <c r="BC26" s="257"/>
      <c r="BD26" s="255"/>
      <c r="BE26" s="257"/>
      <c r="BF26" s="255"/>
      <c r="BG26" s="257"/>
      <c r="BH26" s="255"/>
      <c r="BI26" s="257">
        <v>0</v>
      </c>
      <c r="BJ26" s="255">
        <f>BI26*F26</f>
        <v>0</v>
      </c>
      <c r="BK26" s="161">
        <f t="shared" si="19"/>
        <v>0</v>
      </c>
      <c r="BL26" s="161">
        <f t="shared" si="19"/>
        <v>0</v>
      </c>
      <c r="BM26" s="415" t="s">
        <v>216</v>
      </c>
      <c r="BO26" s="257"/>
      <c r="BP26" s="262">
        <f>H26</f>
        <v>0</v>
      </c>
      <c r="BQ26" s="257"/>
      <c r="BR26" s="257"/>
      <c r="BS26" s="262">
        <f t="shared" si="20"/>
        <v>0</v>
      </c>
      <c r="BT26" s="257"/>
      <c r="BU26" s="257"/>
      <c r="BV26" s="257">
        <f t="shared" si="21"/>
        <v>0</v>
      </c>
      <c r="BW26" s="262">
        <f t="shared" si="2"/>
        <v>0</v>
      </c>
    </row>
    <row r="27" spans="1:75" s="265" customFormat="1">
      <c r="A27" s="918"/>
      <c r="B27" s="228"/>
      <c r="C27" s="158" t="s">
        <v>152</v>
      </c>
      <c r="D27" s="176" t="s">
        <v>152</v>
      </c>
      <c r="E27" s="159" t="s">
        <v>115</v>
      </c>
      <c r="F27" s="135" t="s">
        <v>377</v>
      </c>
      <c r="G27" s="307">
        <f t="shared" ref="G27:BR27" si="22">G26+G25+G24</f>
        <v>0</v>
      </c>
      <c r="H27" s="307">
        <f t="shared" si="22"/>
        <v>0</v>
      </c>
      <c r="I27" s="307">
        <f t="shared" si="22"/>
        <v>0</v>
      </c>
      <c r="J27" s="307">
        <f t="shared" si="22"/>
        <v>0</v>
      </c>
      <c r="K27" s="307">
        <f t="shared" si="22"/>
        <v>0</v>
      </c>
      <c r="L27" s="307">
        <f t="shared" si="22"/>
        <v>0</v>
      </c>
      <c r="M27" s="307">
        <f t="shared" si="22"/>
        <v>0</v>
      </c>
      <c r="N27" s="307">
        <f t="shared" si="22"/>
        <v>0</v>
      </c>
      <c r="O27" s="307">
        <f t="shared" si="22"/>
        <v>0</v>
      </c>
      <c r="P27" s="307">
        <f t="shared" si="22"/>
        <v>0</v>
      </c>
      <c r="Q27" s="307">
        <f t="shared" si="22"/>
        <v>0</v>
      </c>
      <c r="R27" s="307">
        <f t="shared" si="22"/>
        <v>0</v>
      </c>
      <c r="S27" s="307">
        <f t="shared" si="22"/>
        <v>0</v>
      </c>
      <c r="T27" s="307">
        <f t="shared" si="22"/>
        <v>0</v>
      </c>
      <c r="U27" s="307">
        <f t="shared" si="22"/>
        <v>0</v>
      </c>
      <c r="V27" s="307">
        <f t="shared" si="22"/>
        <v>0</v>
      </c>
      <c r="W27" s="307">
        <f t="shared" si="22"/>
        <v>0</v>
      </c>
      <c r="X27" s="307">
        <f t="shared" si="22"/>
        <v>0</v>
      </c>
      <c r="Y27" s="307">
        <f t="shared" si="22"/>
        <v>0</v>
      </c>
      <c r="Z27" s="307">
        <f t="shared" si="22"/>
        <v>0</v>
      </c>
      <c r="AA27" s="307">
        <f t="shared" si="22"/>
        <v>0</v>
      </c>
      <c r="AB27" s="307">
        <f t="shared" si="22"/>
        <v>0</v>
      </c>
      <c r="AC27" s="307">
        <f t="shared" si="22"/>
        <v>0</v>
      </c>
      <c r="AD27" s="307">
        <f t="shared" si="22"/>
        <v>0</v>
      </c>
      <c r="AE27" s="307">
        <f t="shared" si="22"/>
        <v>0</v>
      </c>
      <c r="AF27" s="307">
        <f t="shared" si="22"/>
        <v>0</v>
      </c>
      <c r="AG27" s="307">
        <f t="shared" si="22"/>
        <v>0</v>
      </c>
      <c r="AH27" s="307">
        <f t="shared" si="22"/>
        <v>0</v>
      </c>
      <c r="AI27" s="307">
        <f t="shared" si="22"/>
        <v>0</v>
      </c>
      <c r="AJ27" s="307">
        <f t="shared" si="22"/>
        <v>0</v>
      </c>
      <c r="AK27" s="307">
        <f t="shared" si="22"/>
        <v>0</v>
      </c>
      <c r="AL27" s="307">
        <f t="shared" si="22"/>
        <v>0</v>
      </c>
      <c r="AM27" s="307">
        <f t="shared" si="22"/>
        <v>0</v>
      </c>
      <c r="AN27" s="307">
        <f t="shared" si="22"/>
        <v>0</v>
      </c>
      <c r="AO27" s="307">
        <f t="shared" si="22"/>
        <v>0</v>
      </c>
      <c r="AP27" s="307">
        <f t="shared" si="22"/>
        <v>0</v>
      </c>
      <c r="AQ27" s="307">
        <f t="shared" si="22"/>
        <v>0</v>
      </c>
      <c r="AR27" s="307">
        <f t="shared" si="22"/>
        <v>0</v>
      </c>
      <c r="AS27" s="307">
        <f t="shared" si="22"/>
        <v>0</v>
      </c>
      <c r="AT27" s="307">
        <f t="shared" si="22"/>
        <v>0</v>
      </c>
      <c r="AU27" s="307">
        <f t="shared" si="22"/>
        <v>0</v>
      </c>
      <c r="AV27" s="307">
        <f t="shared" si="22"/>
        <v>0</v>
      </c>
      <c r="AW27" s="307">
        <f t="shared" si="22"/>
        <v>0</v>
      </c>
      <c r="AX27" s="307">
        <f t="shared" si="22"/>
        <v>0</v>
      </c>
      <c r="AY27" s="307">
        <f t="shared" si="22"/>
        <v>0</v>
      </c>
      <c r="AZ27" s="307">
        <f t="shared" si="22"/>
        <v>0</v>
      </c>
      <c r="BA27" s="307">
        <f t="shared" si="22"/>
        <v>0</v>
      </c>
      <c r="BB27" s="307">
        <f t="shared" si="22"/>
        <v>0</v>
      </c>
      <c r="BC27" s="307">
        <f t="shared" si="22"/>
        <v>0</v>
      </c>
      <c r="BD27" s="307">
        <f t="shared" si="22"/>
        <v>0</v>
      </c>
      <c r="BE27" s="307">
        <f t="shared" si="22"/>
        <v>0</v>
      </c>
      <c r="BF27" s="307">
        <f t="shared" si="22"/>
        <v>0</v>
      </c>
      <c r="BG27" s="307">
        <f t="shared" si="22"/>
        <v>0</v>
      </c>
      <c r="BH27" s="307">
        <f t="shared" si="22"/>
        <v>0</v>
      </c>
      <c r="BI27" s="307">
        <f t="shared" si="22"/>
        <v>0</v>
      </c>
      <c r="BJ27" s="307">
        <f t="shared" si="22"/>
        <v>0</v>
      </c>
      <c r="BK27" s="307">
        <f t="shared" si="22"/>
        <v>0</v>
      </c>
      <c r="BL27" s="307">
        <f t="shared" si="22"/>
        <v>0</v>
      </c>
      <c r="BM27" s="307"/>
      <c r="BN27" s="307">
        <f t="shared" si="22"/>
        <v>0</v>
      </c>
      <c r="BO27" s="307">
        <f t="shared" si="22"/>
        <v>0</v>
      </c>
      <c r="BP27" s="307">
        <f t="shared" si="22"/>
        <v>0</v>
      </c>
      <c r="BQ27" s="307">
        <f t="shared" si="22"/>
        <v>0</v>
      </c>
      <c r="BR27" s="307">
        <f t="shared" si="22"/>
        <v>0</v>
      </c>
      <c r="BS27" s="307">
        <f>BS26+BS25+BS24</f>
        <v>0</v>
      </c>
      <c r="BT27" s="307">
        <f>BT26+BT25+BT24</f>
        <v>0</v>
      </c>
      <c r="BU27" s="307">
        <f>BU26+BU25+BU24</f>
        <v>0</v>
      </c>
      <c r="BV27" s="307">
        <f>BV26+BV25+BV24</f>
        <v>0</v>
      </c>
      <c r="BW27" s="307">
        <f>BW26+BW25+BW24</f>
        <v>0</v>
      </c>
    </row>
    <row r="28" spans="1:75">
      <c r="A28" s="918"/>
      <c r="B28" s="196"/>
      <c r="C28" s="158" t="s">
        <v>371</v>
      </c>
      <c r="D28" s="176" t="s">
        <v>371</v>
      </c>
      <c r="E28" s="159"/>
      <c r="F28" s="135"/>
      <c r="G28" s="196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57"/>
      <c r="S28" s="129"/>
      <c r="T28" s="129" t="s">
        <v>36</v>
      </c>
      <c r="U28" s="129"/>
      <c r="V28" s="129"/>
      <c r="W28" s="262"/>
      <c r="X28" s="262"/>
      <c r="Y28" s="262"/>
      <c r="Z28" s="262"/>
      <c r="AA28" s="257"/>
      <c r="AB28" s="255">
        <f t="shared" si="3"/>
        <v>0</v>
      </c>
      <c r="AC28" s="257"/>
      <c r="AD28" s="255">
        <f t="shared" si="4"/>
        <v>0</v>
      </c>
      <c r="AE28" s="257"/>
      <c r="AF28" s="255">
        <f t="shared" si="5"/>
        <v>0</v>
      </c>
      <c r="AG28" s="257"/>
      <c r="AH28" s="255">
        <f t="shared" si="15"/>
        <v>0</v>
      </c>
      <c r="AI28" s="257"/>
      <c r="AJ28" s="255">
        <f t="shared" si="6"/>
        <v>0</v>
      </c>
      <c r="AK28" s="257"/>
      <c r="AL28" s="255"/>
      <c r="AM28" s="257"/>
      <c r="AN28" s="255">
        <f t="shared" si="7"/>
        <v>0</v>
      </c>
      <c r="AO28" s="257"/>
      <c r="AP28" s="255"/>
      <c r="AQ28" s="257"/>
      <c r="AR28" s="255">
        <f t="shared" si="16"/>
        <v>0</v>
      </c>
      <c r="AS28" s="257"/>
      <c r="AT28" s="255">
        <f t="shared" si="8"/>
        <v>0</v>
      </c>
      <c r="AU28" s="257"/>
      <c r="AV28" s="255"/>
      <c r="AW28" s="257"/>
      <c r="AX28" s="255"/>
      <c r="AY28" s="257"/>
      <c r="AZ28" s="255"/>
      <c r="BA28" s="257"/>
      <c r="BB28" s="255">
        <f t="shared" si="9"/>
        <v>0</v>
      </c>
      <c r="BC28" s="257"/>
      <c r="BD28" s="255"/>
      <c r="BE28" s="257"/>
      <c r="BF28" s="255"/>
      <c r="BG28" s="257"/>
      <c r="BH28" s="255"/>
      <c r="BI28" s="257"/>
      <c r="BJ28" s="255"/>
      <c r="BK28" s="161">
        <f t="shared" ref="BK28:BK33" si="23">AA28+AC28+AE28+AG28+AI28+AK28+AM28+AO28+AQ28+AS28+AU28+AW28+AY28+BA28+BC28+BE28+BG28+BI28</f>
        <v>0</v>
      </c>
      <c r="BL28" s="161">
        <f t="shared" ref="BL28:BL33" si="24">AB28+AD28+AF28+AH28+AJ28+AL28+AN28+AP28+AR28+AT28+AV28+AX28+AZ28+BB28+BD28+BF28+BH28+BJ28</f>
        <v>0</v>
      </c>
      <c r="BM28" s="257"/>
      <c r="BO28" s="257"/>
      <c r="BP28" s="257"/>
      <c r="BQ28" s="257"/>
      <c r="BR28" s="257"/>
      <c r="BS28" s="262">
        <f t="shared" si="20"/>
        <v>0</v>
      </c>
      <c r="BT28" s="257"/>
      <c r="BU28" s="257"/>
      <c r="BV28" s="257">
        <f t="shared" si="21"/>
        <v>0</v>
      </c>
      <c r="BW28" s="262">
        <f t="shared" si="2"/>
        <v>0</v>
      </c>
    </row>
    <row r="29" spans="1:75">
      <c r="A29" s="918"/>
      <c r="B29" s="196"/>
      <c r="C29" s="136"/>
      <c r="D29" s="166" t="s">
        <v>153</v>
      </c>
      <c r="E29" s="159" t="s">
        <v>16</v>
      </c>
      <c r="F29" s="135" t="s">
        <v>356</v>
      </c>
      <c r="G29" s="196">
        <f>BK29</f>
        <v>0</v>
      </c>
      <c r="H29" s="262">
        <f>G29*F29</f>
        <v>0</v>
      </c>
      <c r="I29" s="262">
        <f>H29*0.2</f>
        <v>0</v>
      </c>
      <c r="J29" s="262">
        <f>H29*0.8</f>
        <v>0</v>
      </c>
      <c r="K29" s="262"/>
      <c r="L29" s="262"/>
      <c r="M29" s="262"/>
      <c r="N29" s="262"/>
      <c r="O29" s="262"/>
      <c r="P29" s="262"/>
      <c r="Q29" s="262"/>
      <c r="R29" s="262"/>
      <c r="S29" s="129"/>
      <c r="T29" s="129"/>
      <c r="U29" s="129"/>
      <c r="V29" s="129"/>
      <c r="W29" s="262">
        <f>S29*F29</f>
        <v>0</v>
      </c>
      <c r="X29" s="262">
        <f>T29*F29</f>
        <v>0</v>
      </c>
      <c r="Y29" s="262">
        <f>U29*F29</f>
        <v>0</v>
      </c>
      <c r="Z29" s="262">
        <f>V29*F29</f>
        <v>0</v>
      </c>
      <c r="AA29" s="257"/>
      <c r="AB29" s="255">
        <f t="shared" si="3"/>
        <v>0</v>
      </c>
      <c r="AC29" s="257"/>
      <c r="AD29" s="255">
        <f t="shared" si="4"/>
        <v>0</v>
      </c>
      <c r="AE29" s="257"/>
      <c r="AF29" s="255">
        <f t="shared" si="5"/>
        <v>0</v>
      </c>
      <c r="AG29" s="257"/>
      <c r="AH29" s="255">
        <f t="shared" si="15"/>
        <v>0</v>
      </c>
      <c r="AI29" s="257"/>
      <c r="AJ29" s="255">
        <f t="shared" si="6"/>
        <v>0</v>
      </c>
      <c r="AK29" s="257"/>
      <c r="AL29" s="255"/>
      <c r="AM29" s="257"/>
      <c r="AN29" s="255">
        <f t="shared" si="7"/>
        <v>0</v>
      </c>
      <c r="AO29" s="257"/>
      <c r="AP29" s="255"/>
      <c r="AQ29" s="257"/>
      <c r="AR29" s="255">
        <f t="shared" si="16"/>
        <v>0</v>
      </c>
      <c r="AS29" s="257"/>
      <c r="AT29" s="255">
        <f t="shared" si="8"/>
        <v>0</v>
      </c>
      <c r="AU29" s="257"/>
      <c r="AV29" s="255"/>
      <c r="AW29" s="257"/>
      <c r="AX29" s="255"/>
      <c r="AY29" s="257"/>
      <c r="AZ29" s="255"/>
      <c r="BA29" s="257"/>
      <c r="BB29" s="255">
        <f t="shared" si="9"/>
        <v>0</v>
      </c>
      <c r="BC29" s="257"/>
      <c r="BD29" s="255"/>
      <c r="BE29" s="257"/>
      <c r="BF29" s="255"/>
      <c r="BG29" s="257"/>
      <c r="BH29" s="255"/>
      <c r="BI29" s="257"/>
      <c r="BJ29" s="255"/>
      <c r="BK29" s="161">
        <f t="shared" si="23"/>
        <v>0</v>
      </c>
      <c r="BL29" s="161">
        <f t="shared" si="24"/>
        <v>0</v>
      </c>
      <c r="BM29" s="415" t="s">
        <v>216</v>
      </c>
      <c r="BO29" s="257"/>
      <c r="BP29" s="262"/>
      <c r="BQ29" s="257"/>
      <c r="BR29" s="257"/>
      <c r="BS29" s="262">
        <f t="shared" si="20"/>
        <v>0</v>
      </c>
      <c r="BT29" s="257"/>
      <c r="BU29" s="257"/>
      <c r="BV29" s="257">
        <f t="shared" si="21"/>
        <v>0</v>
      </c>
      <c r="BW29" s="262">
        <f t="shared" si="2"/>
        <v>0</v>
      </c>
    </row>
    <row r="30" spans="1:75" ht="31.5">
      <c r="A30" s="918"/>
      <c r="B30" s="196"/>
      <c r="C30" s="136"/>
      <c r="D30" s="566" t="s">
        <v>372</v>
      </c>
      <c r="E30" s="159" t="s">
        <v>16</v>
      </c>
      <c r="F30" s="135">
        <v>200000</v>
      </c>
      <c r="G30" s="196">
        <f>BK30</f>
        <v>1</v>
      </c>
      <c r="H30" s="262">
        <f>G30*F30</f>
        <v>200000</v>
      </c>
      <c r="I30" s="262">
        <f>H30*0.2</f>
        <v>40000</v>
      </c>
      <c r="J30" s="262">
        <f>H30*0.8</f>
        <v>160000</v>
      </c>
      <c r="K30" s="262"/>
      <c r="L30" s="262"/>
      <c r="M30" s="262"/>
      <c r="N30" s="262"/>
      <c r="O30" s="262"/>
      <c r="P30" s="262"/>
      <c r="Q30" s="262"/>
      <c r="R30" s="262"/>
      <c r="S30" s="129"/>
      <c r="T30" s="129">
        <f>G30</f>
        <v>1</v>
      </c>
      <c r="U30" s="129"/>
      <c r="V30" s="129"/>
      <c r="W30" s="262">
        <f>S30*F30</f>
        <v>0</v>
      </c>
      <c r="X30" s="262">
        <f>T30*F30</f>
        <v>200000</v>
      </c>
      <c r="Y30" s="262">
        <f>U30*F30</f>
        <v>0</v>
      </c>
      <c r="Z30" s="262">
        <f>V30*F30</f>
        <v>0</v>
      </c>
      <c r="AA30" s="257"/>
      <c r="AB30" s="255">
        <f t="shared" si="3"/>
        <v>0</v>
      </c>
      <c r="AC30" s="257"/>
      <c r="AD30" s="255">
        <f t="shared" si="4"/>
        <v>0</v>
      </c>
      <c r="AE30" s="257"/>
      <c r="AF30" s="255">
        <f t="shared" si="5"/>
        <v>0</v>
      </c>
      <c r="AG30" s="257"/>
      <c r="AH30" s="255">
        <f t="shared" si="15"/>
        <v>0</v>
      </c>
      <c r="AI30" s="257"/>
      <c r="AJ30" s="255">
        <f t="shared" si="6"/>
        <v>0</v>
      </c>
      <c r="AK30" s="257"/>
      <c r="AL30" s="255"/>
      <c r="AM30" s="257"/>
      <c r="AN30" s="255">
        <f t="shared" si="7"/>
        <v>0</v>
      </c>
      <c r="AO30" s="257"/>
      <c r="AP30" s="255"/>
      <c r="AQ30" s="257"/>
      <c r="AR30" s="255">
        <f t="shared" si="16"/>
        <v>0</v>
      </c>
      <c r="AS30" s="257"/>
      <c r="AT30" s="255">
        <f t="shared" si="8"/>
        <v>0</v>
      </c>
      <c r="AU30" s="257"/>
      <c r="AV30" s="255"/>
      <c r="AW30" s="257"/>
      <c r="AX30" s="255"/>
      <c r="AY30" s="257"/>
      <c r="AZ30" s="255"/>
      <c r="BA30" s="257"/>
      <c r="BB30" s="255">
        <f t="shared" si="9"/>
        <v>0</v>
      </c>
      <c r="BC30" s="257"/>
      <c r="BD30" s="255"/>
      <c r="BE30" s="257"/>
      <c r="BF30" s="255"/>
      <c r="BG30" s="257"/>
      <c r="BH30" s="255"/>
      <c r="BI30" s="257">
        <v>1</v>
      </c>
      <c r="BJ30" s="255">
        <f>BI30*F30</f>
        <v>200000</v>
      </c>
      <c r="BK30" s="161">
        <f t="shared" si="23"/>
        <v>1</v>
      </c>
      <c r="BL30" s="161">
        <f t="shared" si="24"/>
        <v>200000</v>
      </c>
      <c r="BM30" s="415" t="s">
        <v>216</v>
      </c>
      <c r="BO30" s="257"/>
      <c r="BP30" s="262"/>
      <c r="BQ30" s="262">
        <f>H30</f>
        <v>200000</v>
      </c>
      <c r="BR30" s="257"/>
      <c r="BS30" s="262">
        <f t="shared" si="20"/>
        <v>200000</v>
      </c>
      <c r="BT30" s="257"/>
      <c r="BU30" s="257"/>
      <c r="BV30" s="257">
        <f t="shared" si="21"/>
        <v>0</v>
      </c>
      <c r="BW30" s="262">
        <f t="shared" si="2"/>
        <v>200000</v>
      </c>
    </row>
    <row r="31" spans="1:75" ht="31.5">
      <c r="A31" s="918"/>
      <c r="B31" s="196"/>
      <c r="C31" s="136"/>
      <c r="D31" s="566" t="s">
        <v>614</v>
      </c>
      <c r="E31" s="159" t="s">
        <v>16</v>
      </c>
      <c r="F31" s="135">
        <v>1000000</v>
      </c>
      <c r="G31" s="196">
        <f>BK31</f>
        <v>1</v>
      </c>
      <c r="H31" s="262">
        <f>G31*F31</f>
        <v>1000000</v>
      </c>
      <c r="I31" s="262">
        <f>H31*0.2</f>
        <v>200000</v>
      </c>
      <c r="J31" s="262">
        <f>H31*0.8</f>
        <v>800000</v>
      </c>
      <c r="K31" s="262"/>
      <c r="L31" s="262"/>
      <c r="M31" s="262"/>
      <c r="N31" s="262"/>
      <c r="O31" s="262"/>
      <c r="P31" s="262"/>
      <c r="Q31" s="262"/>
      <c r="R31" s="262"/>
      <c r="S31" s="416"/>
      <c r="T31" s="416">
        <v>1</v>
      </c>
      <c r="U31" s="416"/>
      <c r="V31" s="416"/>
      <c r="W31" s="262">
        <f>S31*F31</f>
        <v>0</v>
      </c>
      <c r="X31" s="262">
        <f>T31*F31</f>
        <v>1000000</v>
      </c>
      <c r="Y31" s="262">
        <f>U31*F31</f>
        <v>0</v>
      </c>
      <c r="Z31" s="262">
        <f>V31*F31</f>
        <v>0</v>
      </c>
      <c r="AA31" s="257"/>
      <c r="AB31" s="255">
        <f t="shared" si="3"/>
        <v>0</v>
      </c>
      <c r="AC31" s="257"/>
      <c r="AD31" s="255">
        <f t="shared" si="4"/>
        <v>0</v>
      </c>
      <c r="AE31" s="257"/>
      <c r="AF31" s="255">
        <f t="shared" si="5"/>
        <v>0</v>
      </c>
      <c r="AG31" s="257"/>
      <c r="AH31" s="255">
        <f t="shared" si="15"/>
        <v>0</v>
      </c>
      <c r="AI31" s="257"/>
      <c r="AJ31" s="255">
        <f t="shared" si="6"/>
        <v>0</v>
      </c>
      <c r="AK31" s="257"/>
      <c r="AL31" s="255"/>
      <c r="AM31" s="257"/>
      <c r="AN31" s="255">
        <f t="shared" si="7"/>
        <v>0</v>
      </c>
      <c r="AO31" s="257"/>
      <c r="AP31" s="255"/>
      <c r="AQ31" s="257"/>
      <c r="AR31" s="255">
        <f t="shared" si="16"/>
        <v>0</v>
      </c>
      <c r="AS31" s="257"/>
      <c r="AT31" s="255">
        <f t="shared" si="8"/>
        <v>0</v>
      </c>
      <c r="AU31" s="257"/>
      <c r="AV31" s="255"/>
      <c r="AW31" s="257"/>
      <c r="AX31" s="255"/>
      <c r="AY31" s="257"/>
      <c r="AZ31" s="255"/>
      <c r="BA31" s="257"/>
      <c r="BB31" s="255">
        <f t="shared" si="9"/>
        <v>0</v>
      </c>
      <c r="BC31" s="257"/>
      <c r="BD31" s="255"/>
      <c r="BE31" s="257"/>
      <c r="BF31" s="255"/>
      <c r="BG31" s="257"/>
      <c r="BH31" s="255"/>
      <c r="BI31" s="257">
        <v>1</v>
      </c>
      <c r="BJ31" s="255">
        <f>BI31*F31</f>
        <v>1000000</v>
      </c>
      <c r="BK31" s="161">
        <f t="shared" si="23"/>
        <v>1</v>
      </c>
      <c r="BL31" s="161">
        <f t="shared" si="24"/>
        <v>1000000</v>
      </c>
      <c r="BM31" s="415" t="s">
        <v>216</v>
      </c>
      <c r="BO31" s="257"/>
      <c r="BP31" s="262"/>
      <c r="BQ31" s="262">
        <f>H31</f>
        <v>1000000</v>
      </c>
      <c r="BR31" s="257"/>
      <c r="BS31" s="262">
        <f t="shared" si="20"/>
        <v>1000000</v>
      </c>
      <c r="BT31" s="257"/>
      <c r="BU31" s="257"/>
      <c r="BV31" s="257">
        <f t="shared" si="21"/>
        <v>0</v>
      </c>
      <c r="BW31" s="262">
        <f t="shared" si="2"/>
        <v>1000000</v>
      </c>
    </row>
    <row r="32" spans="1:75">
      <c r="A32" s="918"/>
      <c r="B32" s="196"/>
      <c r="C32" s="136"/>
      <c r="D32" s="166" t="s">
        <v>154</v>
      </c>
      <c r="E32" s="159" t="s">
        <v>65</v>
      </c>
      <c r="F32" s="312">
        <v>125000</v>
      </c>
      <c r="G32" s="196">
        <f>BK32</f>
        <v>0</v>
      </c>
      <c r="H32" s="262">
        <f>G32*F32</f>
        <v>0</v>
      </c>
      <c r="I32" s="262">
        <f>H32*0.2</f>
        <v>0</v>
      </c>
      <c r="J32" s="262">
        <f>H32*0.8</f>
        <v>0</v>
      </c>
      <c r="K32" s="262"/>
      <c r="L32" s="262"/>
      <c r="M32" s="262"/>
      <c r="N32" s="262"/>
      <c r="O32" s="262"/>
      <c r="P32" s="262"/>
      <c r="Q32" s="262"/>
      <c r="R32" s="262"/>
      <c r="S32" s="129"/>
      <c r="T32" s="129"/>
      <c r="U32" s="129"/>
      <c r="V32" s="129"/>
      <c r="W32" s="262">
        <f>S32*F32</f>
        <v>0</v>
      </c>
      <c r="X32" s="262">
        <f>T32*F32</f>
        <v>0</v>
      </c>
      <c r="Y32" s="262">
        <f>U32*F32</f>
        <v>0</v>
      </c>
      <c r="Z32" s="262">
        <f>V32*F32</f>
        <v>0</v>
      </c>
      <c r="AA32" s="257"/>
      <c r="AB32" s="255">
        <f t="shared" si="3"/>
        <v>0</v>
      </c>
      <c r="AC32" s="257"/>
      <c r="AD32" s="255">
        <f t="shared" si="4"/>
        <v>0</v>
      </c>
      <c r="AE32" s="257"/>
      <c r="AF32" s="255">
        <f t="shared" si="5"/>
        <v>0</v>
      </c>
      <c r="AG32" s="257"/>
      <c r="AH32" s="255">
        <f t="shared" si="15"/>
        <v>0</v>
      </c>
      <c r="AI32" s="257"/>
      <c r="AJ32" s="255">
        <f t="shared" si="6"/>
        <v>0</v>
      </c>
      <c r="AK32" s="257"/>
      <c r="AL32" s="255"/>
      <c r="AM32" s="257"/>
      <c r="AN32" s="255">
        <f t="shared" si="7"/>
        <v>0</v>
      </c>
      <c r="AO32" s="257"/>
      <c r="AP32" s="255"/>
      <c r="AQ32" s="257"/>
      <c r="AR32" s="255">
        <f t="shared" si="16"/>
        <v>0</v>
      </c>
      <c r="AS32" s="257"/>
      <c r="AT32" s="255">
        <f t="shared" si="8"/>
        <v>0</v>
      </c>
      <c r="AU32" s="257"/>
      <c r="AV32" s="255"/>
      <c r="AW32" s="257"/>
      <c r="AX32" s="255"/>
      <c r="AY32" s="257"/>
      <c r="AZ32" s="255"/>
      <c r="BA32" s="257"/>
      <c r="BB32" s="255">
        <f t="shared" si="9"/>
        <v>0</v>
      </c>
      <c r="BC32" s="257"/>
      <c r="BD32" s="255"/>
      <c r="BE32" s="257"/>
      <c r="BF32" s="255"/>
      <c r="BG32" s="257"/>
      <c r="BH32" s="255"/>
      <c r="BI32" s="257"/>
      <c r="BJ32" s="255">
        <f>BI32*F32</f>
        <v>0</v>
      </c>
      <c r="BK32" s="161">
        <f t="shared" si="23"/>
        <v>0</v>
      </c>
      <c r="BL32" s="161">
        <f t="shared" si="24"/>
        <v>0</v>
      </c>
      <c r="BM32" s="415" t="s">
        <v>216</v>
      </c>
      <c r="BO32" s="257"/>
      <c r="BP32" s="257"/>
      <c r="BQ32" s="262">
        <f>H32</f>
        <v>0</v>
      </c>
      <c r="BR32" s="257"/>
      <c r="BS32" s="262">
        <f t="shared" si="20"/>
        <v>0</v>
      </c>
      <c r="BT32" s="257"/>
      <c r="BU32" s="257"/>
      <c r="BV32" s="257">
        <f t="shared" si="21"/>
        <v>0</v>
      </c>
      <c r="BW32" s="262">
        <f t="shared" si="2"/>
        <v>0</v>
      </c>
    </row>
    <row r="33" spans="1:75" s="265" customFormat="1">
      <c r="A33" s="918"/>
      <c r="B33" s="228"/>
      <c r="C33" s="136"/>
      <c r="D33" s="166" t="s">
        <v>155</v>
      </c>
      <c r="E33" s="159" t="s">
        <v>16</v>
      </c>
      <c r="F33" s="253">
        <v>200000</v>
      </c>
      <c r="G33" s="196">
        <f>BK33</f>
        <v>0</v>
      </c>
      <c r="H33" s="262">
        <f>G33*F33</f>
        <v>0</v>
      </c>
      <c r="I33" s="262">
        <f>H33*0.2</f>
        <v>0</v>
      </c>
      <c r="J33" s="262">
        <f>H33*0.8</f>
        <v>0</v>
      </c>
      <c r="K33" s="262"/>
      <c r="L33" s="262"/>
      <c r="M33" s="262"/>
      <c r="N33" s="262"/>
      <c r="O33" s="262"/>
      <c r="P33" s="262"/>
      <c r="Q33" s="262"/>
      <c r="R33" s="262"/>
      <c r="S33" s="129"/>
      <c r="T33" s="129"/>
      <c r="U33" s="129">
        <v>0</v>
      </c>
      <c r="V33" s="129"/>
      <c r="W33" s="262">
        <f>SUM(W29:W32)</f>
        <v>0</v>
      </c>
      <c r="X33" s="262"/>
      <c r="Y33" s="262">
        <f>U33*F33</f>
        <v>0</v>
      </c>
      <c r="Z33" s="262">
        <f>SUM(Z29:Z32)</f>
        <v>0</v>
      </c>
      <c r="AA33" s="257"/>
      <c r="AB33" s="255">
        <f t="shared" si="3"/>
        <v>0</v>
      </c>
      <c r="AC33" s="257"/>
      <c r="AD33" s="255">
        <f t="shared" si="4"/>
        <v>0</v>
      </c>
      <c r="AE33" s="257"/>
      <c r="AF33" s="255">
        <f t="shared" si="5"/>
        <v>0</v>
      </c>
      <c r="AG33" s="257"/>
      <c r="AH33" s="255">
        <f t="shared" si="15"/>
        <v>0</v>
      </c>
      <c r="AI33" s="257"/>
      <c r="AJ33" s="255">
        <f t="shared" si="6"/>
        <v>0</v>
      </c>
      <c r="AK33" s="257"/>
      <c r="AL33" s="255"/>
      <c r="AM33" s="257"/>
      <c r="AN33" s="255">
        <f t="shared" si="7"/>
        <v>0</v>
      </c>
      <c r="AO33" s="257"/>
      <c r="AP33" s="255"/>
      <c r="AQ33" s="257"/>
      <c r="AR33" s="255">
        <f t="shared" si="16"/>
        <v>0</v>
      </c>
      <c r="AS33" s="257"/>
      <c r="AT33" s="255">
        <f t="shared" si="8"/>
        <v>0</v>
      </c>
      <c r="AU33" s="257"/>
      <c r="AV33" s="255"/>
      <c r="AW33" s="257"/>
      <c r="AX33" s="255"/>
      <c r="AY33" s="257"/>
      <c r="AZ33" s="255"/>
      <c r="BA33" s="257"/>
      <c r="BB33" s="255">
        <f t="shared" si="9"/>
        <v>0</v>
      </c>
      <c r="BC33" s="257"/>
      <c r="BD33" s="255"/>
      <c r="BE33" s="257"/>
      <c r="BF33" s="255"/>
      <c r="BG33" s="257"/>
      <c r="BH33" s="255"/>
      <c r="BI33" s="257"/>
      <c r="BJ33" s="255">
        <f>BI33*F33</f>
        <v>0</v>
      </c>
      <c r="BK33" s="161">
        <f t="shared" si="23"/>
        <v>0</v>
      </c>
      <c r="BL33" s="161">
        <f t="shared" si="24"/>
        <v>0</v>
      </c>
      <c r="BM33" s="415" t="s">
        <v>216</v>
      </c>
      <c r="BO33" s="307">
        <f t="shared" ref="BO33:BV33" si="25">SUM(BO29:BO32)</f>
        <v>0</v>
      </c>
      <c r="BP33" s="307"/>
      <c r="BQ33" s="262">
        <f>H33</f>
        <v>0</v>
      </c>
      <c r="BR33" s="307">
        <f t="shared" si="25"/>
        <v>0</v>
      </c>
      <c r="BS33" s="262">
        <f t="shared" si="20"/>
        <v>0</v>
      </c>
      <c r="BT33" s="307">
        <f t="shared" si="25"/>
        <v>0</v>
      </c>
      <c r="BU33" s="307">
        <f t="shared" si="25"/>
        <v>0</v>
      </c>
      <c r="BV33" s="307">
        <f t="shared" si="25"/>
        <v>0</v>
      </c>
      <c r="BW33" s="262">
        <f t="shared" si="2"/>
        <v>0</v>
      </c>
    </row>
    <row r="34" spans="1:75" s="265" customFormat="1">
      <c r="A34" s="918"/>
      <c r="B34" s="228"/>
      <c r="C34" s="158" t="s">
        <v>119</v>
      </c>
      <c r="D34" s="176" t="s">
        <v>119</v>
      </c>
      <c r="E34" s="168" t="s">
        <v>115</v>
      </c>
      <c r="F34" s="407"/>
      <c r="G34" s="362">
        <f t="shared" ref="G34:BR34" si="26">G33+G32+G31+G30+G29</f>
        <v>2</v>
      </c>
      <c r="H34" s="248">
        <f t="shared" si="26"/>
        <v>1200000</v>
      </c>
      <c r="I34" s="248">
        <f t="shared" si="26"/>
        <v>240000</v>
      </c>
      <c r="J34" s="248">
        <f t="shared" si="26"/>
        <v>960000</v>
      </c>
      <c r="K34" s="248">
        <f t="shared" si="26"/>
        <v>0</v>
      </c>
      <c r="L34" s="248">
        <f t="shared" si="26"/>
        <v>0</v>
      </c>
      <c r="M34" s="248">
        <f t="shared" si="26"/>
        <v>0</v>
      </c>
      <c r="N34" s="248">
        <f t="shared" si="26"/>
        <v>0</v>
      </c>
      <c r="O34" s="248">
        <f t="shared" si="26"/>
        <v>0</v>
      </c>
      <c r="P34" s="248">
        <f t="shared" si="26"/>
        <v>0</v>
      </c>
      <c r="Q34" s="248">
        <f t="shared" si="26"/>
        <v>0</v>
      </c>
      <c r="R34" s="248">
        <f t="shared" si="26"/>
        <v>0</v>
      </c>
      <c r="S34" s="248">
        <f t="shared" si="26"/>
        <v>0</v>
      </c>
      <c r="T34" s="248">
        <f t="shared" si="26"/>
        <v>2</v>
      </c>
      <c r="U34" s="248">
        <f t="shared" si="26"/>
        <v>0</v>
      </c>
      <c r="V34" s="248">
        <f t="shared" si="26"/>
        <v>0</v>
      </c>
      <c r="W34" s="248">
        <f t="shared" si="26"/>
        <v>0</v>
      </c>
      <c r="X34" s="248">
        <f t="shared" si="26"/>
        <v>1200000</v>
      </c>
      <c r="Y34" s="248">
        <f t="shared" si="26"/>
        <v>0</v>
      </c>
      <c r="Z34" s="248">
        <f t="shared" si="26"/>
        <v>0</v>
      </c>
      <c r="AA34" s="248">
        <f t="shared" si="26"/>
        <v>0</v>
      </c>
      <c r="AB34" s="248">
        <f t="shared" si="26"/>
        <v>0</v>
      </c>
      <c r="AC34" s="248">
        <f t="shared" si="26"/>
        <v>0</v>
      </c>
      <c r="AD34" s="248">
        <f t="shared" si="26"/>
        <v>0</v>
      </c>
      <c r="AE34" s="248">
        <f t="shared" si="26"/>
        <v>0</v>
      </c>
      <c r="AF34" s="248">
        <f t="shared" si="26"/>
        <v>0</v>
      </c>
      <c r="AG34" s="248">
        <f t="shared" si="26"/>
        <v>0</v>
      </c>
      <c r="AH34" s="248">
        <f t="shared" si="26"/>
        <v>0</v>
      </c>
      <c r="AI34" s="248">
        <f t="shared" si="26"/>
        <v>0</v>
      </c>
      <c r="AJ34" s="248">
        <f t="shared" si="26"/>
        <v>0</v>
      </c>
      <c r="AK34" s="248">
        <f t="shared" si="26"/>
        <v>0</v>
      </c>
      <c r="AL34" s="248">
        <f t="shared" si="26"/>
        <v>0</v>
      </c>
      <c r="AM34" s="248">
        <f t="shared" si="26"/>
        <v>0</v>
      </c>
      <c r="AN34" s="248">
        <f t="shared" si="26"/>
        <v>0</v>
      </c>
      <c r="AO34" s="248">
        <f t="shared" si="26"/>
        <v>0</v>
      </c>
      <c r="AP34" s="248">
        <f t="shared" si="26"/>
        <v>0</v>
      </c>
      <c r="AQ34" s="248">
        <f t="shared" si="26"/>
        <v>0</v>
      </c>
      <c r="AR34" s="248">
        <f t="shared" si="26"/>
        <v>0</v>
      </c>
      <c r="AS34" s="248">
        <f t="shared" si="26"/>
        <v>0</v>
      </c>
      <c r="AT34" s="248">
        <f t="shared" si="26"/>
        <v>0</v>
      </c>
      <c r="AU34" s="248">
        <f t="shared" si="26"/>
        <v>0</v>
      </c>
      <c r="AV34" s="248">
        <f t="shared" si="26"/>
        <v>0</v>
      </c>
      <c r="AW34" s="248">
        <f t="shared" si="26"/>
        <v>0</v>
      </c>
      <c r="AX34" s="248">
        <f t="shared" si="26"/>
        <v>0</v>
      </c>
      <c r="AY34" s="248">
        <f t="shared" si="26"/>
        <v>0</v>
      </c>
      <c r="AZ34" s="248">
        <f t="shared" si="26"/>
        <v>0</v>
      </c>
      <c r="BA34" s="248">
        <f t="shared" si="26"/>
        <v>0</v>
      </c>
      <c r="BB34" s="248">
        <f t="shared" si="26"/>
        <v>0</v>
      </c>
      <c r="BC34" s="248">
        <f t="shared" si="26"/>
        <v>0</v>
      </c>
      <c r="BD34" s="248">
        <f t="shared" si="26"/>
        <v>0</v>
      </c>
      <c r="BE34" s="248">
        <f t="shared" si="26"/>
        <v>0</v>
      </c>
      <c r="BF34" s="248">
        <f t="shared" si="26"/>
        <v>0</v>
      </c>
      <c r="BG34" s="248">
        <f t="shared" si="26"/>
        <v>0</v>
      </c>
      <c r="BH34" s="248">
        <f t="shared" si="26"/>
        <v>0</v>
      </c>
      <c r="BI34" s="248">
        <f t="shared" si="26"/>
        <v>2</v>
      </c>
      <c r="BJ34" s="248">
        <f t="shared" si="26"/>
        <v>1200000</v>
      </c>
      <c r="BK34" s="248">
        <f t="shared" si="26"/>
        <v>2</v>
      </c>
      <c r="BL34" s="248">
        <f t="shared" si="26"/>
        <v>1200000</v>
      </c>
      <c r="BM34" s="248"/>
      <c r="BN34" s="248">
        <f t="shared" si="26"/>
        <v>0</v>
      </c>
      <c r="BO34" s="248">
        <f t="shared" si="26"/>
        <v>0</v>
      </c>
      <c r="BP34" s="248">
        <f t="shared" si="26"/>
        <v>0</v>
      </c>
      <c r="BQ34" s="248">
        <f t="shared" si="26"/>
        <v>1200000</v>
      </c>
      <c r="BR34" s="248">
        <f t="shared" si="26"/>
        <v>0</v>
      </c>
      <c r="BS34" s="262">
        <f t="shared" si="20"/>
        <v>1200000</v>
      </c>
      <c r="BT34" s="248">
        <f>BT33+BT32+BT31+BT30+BT29</f>
        <v>0</v>
      </c>
      <c r="BU34" s="248">
        <f>BU33+BU32+BU31+BU30+BU29</f>
        <v>0</v>
      </c>
      <c r="BV34" s="248">
        <f>BV33+BV32+BV31+BV30+BV29</f>
        <v>0</v>
      </c>
      <c r="BW34" s="262">
        <f t="shared" si="2"/>
        <v>1200000</v>
      </c>
    </row>
    <row r="35" spans="1:75" s="265" customFormat="1">
      <c r="A35" s="918"/>
      <c r="B35" s="228"/>
      <c r="C35" s="417" t="s">
        <v>373</v>
      </c>
      <c r="D35" s="418" t="s">
        <v>346</v>
      </c>
      <c r="E35" s="419" t="s">
        <v>64</v>
      </c>
      <c r="F35" s="420"/>
      <c r="G35" s="307">
        <f t="shared" ref="G35:BR35" si="27">G34+G27+G22+G18+G14</f>
        <v>235</v>
      </c>
      <c r="H35" s="307">
        <f t="shared" si="27"/>
        <v>2408000</v>
      </c>
      <c r="I35" s="307">
        <f t="shared" si="27"/>
        <v>481600</v>
      </c>
      <c r="J35" s="307">
        <f>J34+J27+J22+J18+J14</f>
        <v>1926400</v>
      </c>
      <c r="K35" s="307">
        <f t="shared" si="27"/>
        <v>0</v>
      </c>
      <c r="L35" s="307">
        <f t="shared" si="27"/>
        <v>0</v>
      </c>
      <c r="M35" s="307">
        <f t="shared" si="27"/>
        <v>0</v>
      </c>
      <c r="N35" s="307">
        <f t="shared" si="27"/>
        <v>0</v>
      </c>
      <c r="O35" s="307">
        <f t="shared" si="27"/>
        <v>0</v>
      </c>
      <c r="P35" s="307">
        <f t="shared" si="27"/>
        <v>0</v>
      </c>
      <c r="Q35" s="307">
        <f t="shared" si="27"/>
        <v>0</v>
      </c>
      <c r="R35" s="307">
        <f t="shared" si="27"/>
        <v>0</v>
      </c>
      <c r="S35" s="307">
        <f t="shared" si="27"/>
        <v>58.25</v>
      </c>
      <c r="T35" s="307">
        <f t="shared" si="27"/>
        <v>60.25</v>
      </c>
      <c r="U35" s="307">
        <f t="shared" si="27"/>
        <v>58.25</v>
      </c>
      <c r="V35" s="307">
        <f t="shared" si="27"/>
        <v>58.25</v>
      </c>
      <c r="W35" s="307">
        <f t="shared" si="27"/>
        <v>291500</v>
      </c>
      <c r="X35" s="307">
        <f t="shared" si="27"/>
        <v>1491500</v>
      </c>
      <c r="Y35" s="307">
        <f t="shared" si="27"/>
        <v>291500</v>
      </c>
      <c r="Z35" s="307">
        <f t="shared" si="27"/>
        <v>324500</v>
      </c>
      <c r="AA35" s="307">
        <f t="shared" si="27"/>
        <v>13</v>
      </c>
      <c r="AB35" s="307">
        <f t="shared" si="27"/>
        <v>58000</v>
      </c>
      <c r="AC35" s="307">
        <f t="shared" si="27"/>
        <v>13</v>
      </c>
      <c r="AD35" s="307">
        <f t="shared" si="27"/>
        <v>58000</v>
      </c>
      <c r="AE35" s="307">
        <f t="shared" si="27"/>
        <v>13</v>
      </c>
      <c r="AF35" s="307">
        <f t="shared" si="27"/>
        <v>58000</v>
      </c>
      <c r="AG35" s="307">
        <f t="shared" si="27"/>
        <v>13</v>
      </c>
      <c r="AH35" s="307">
        <f t="shared" si="27"/>
        <v>76000</v>
      </c>
      <c r="AI35" s="307">
        <f t="shared" si="27"/>
        <v>13</v>
      </c>
      <c r="AJ35" s="307">
        <f t="shared" si="27"/>
        <v>58000</v>
      </c>
      <c r="AK35" s="307">
        <f t="shared" si="27"/>
        <v>13</v>
      </c>
      <c r="AL35" s="307">
        <f t="shared" si="27"/>
        <v>58000</v>
      </c>
      <c r="AM35" s="307">
        <f t="shared" si="27"/>
        <v>13</v>
      </c>
      <c r="AN35" s="307">
        <f t="shared" si="27"/>
        <v>58000</v>
      </c>
      <c r="AO35" s="307">
        <f t="shared" si="27"/>
        <v>13</v>
      </c>
      <c r="AP35" s="307">
        <f t="shared" si="27"/>
        <v>58000</v>
      </c>
      <c r="AQ35" s="307">
        <f t="shared" si="27"/>
        <v>13</v>
      </c>
      <c r="AR35" s="307">
        <f t="shared" si="27"/>
        <v>34000</v>
      </c>
      <c r="AS35" s="307">
        <f t="shared" si="27"/>
        <v>13</v>
      </c>
      <c r="AT35" s="307">
        <f t="shared" si="27"/>
        <v>58000</v>
      </c>
      <c r="AU35" s="307">
        <f t="shared" si="27"/>
        <v>13</v>
      </c>
      <c r="AV35" s="307">
        <f t="shared" si="27"/>
        <v>58000</v>
      </c>
      <c r="AW35" s="307">
        <f t="shared" si="27"/>
        <v>13</v>
      </c>
      <c r="AX35" s="307">
        <f t="shared" si="27"/>
        <v>58000</v>
      </c>
      <c r="AY35" s="307">
        <f t="shared" si="27"/>
        <v>13</v>
      </c>
      <c r="AZ35" s="307">
        <f t="shared" si="27"/>
        <v>58000</v>
      </c>
      <c r="BA35" s="307">
        <f t="shared" si="27"/>
        <v>13</v>
      </c>
      <c r="BB35" s="307">
        <f t="shared" si="27"/>
        <v>58000</v>
      </c>
      <c r="BC35" s="307">
        <f t="shared" si="27"/>
        <v>13</v>
      </c>
      <c r="BD35" s="307">
        <f t="shared" si="27"/>
        <v>58000</v>
      </c>
      <c r="BE35" s="307">
        <f t="shared" si="27"/>
        <v>13</v>
      </c>
      <c r="BF35" s="307">
        <f t="shared" si="27"/>
        <v>106000</v>
      </c>
      <c r="BG35" s="307">
        <f t="shared" si="27"/>
        <v>13</v>
      </c>
      <c r="BH35" s="307">
        <f t="shared" si="27"/>
        <v>58000</v>
      </c>
      <c r="BI35" s="307">
        <f t="shared" si="27"/>
        <v>14</v>
      </c>
      <c r="BJ35" s="307">
        <f t="shared" si="27"/>
        <v>1380000</v>
      </c>
      <c r="BK35" s="307">
        <f t="shared" si="27"/>
        <v>235</v>
      </c>
      <c r="BL35" s="307">
        <f t="shared" si="27"/>
        <v>2408000</v>
      </c>
      <c r="BM35" s="307">
        <f t="shared" si="27"/>
        <v>0</v>
      </c>
      <c r="BN35" s="307">
        <f t="shared" si="27"/>
        <v>0</v>
      </c>
      <c r="BO35" s="307">
        <f t="shared" si="27"/>
        <v>0</v>
      </c>
      <c r="BP35" s="307">
        <f t="shared" si="27"/>
        <v>1208000</v>
      </c>
      <c r="BQ35" s="307">
        <f t="shared" si="27"/>
        <v>1200000</v>
      </c>
      <c r="BR35" s="307">
        <f t="shared" si="27"/>
        <v>0</v>
      </c>
      <c r="BS35" s="307">
        <f>BS34+BS27+BS22+BS18+BS14</f>
        <v>2408000</v>
      </c>
      <c r="BT35" s="307">
        <f>BT34+BT27+BT22+BT18+BT14</f>
        <v>0</v>
      </c>
      <c r="BU35" s="307">
        <f>BU34+BU27+BU22+BU18+BU14</f>
        <v>0</v>
      </c>
      <c r="BV35" s="307">
        <f>BV34+BV27+BV22+BV18+BV14</f>
        <v>0</v>
      </c>
      <c r="BW35" s="307">
        <f>BW34+BW27+BW22+BW18+BW14</f>
        <v>2408000</v>
      </c>
    </row>
    <row r="36" spans="1:75">
      <c r="F36" s="421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421"/>
      <c r="S36" s="354"/>
      <c r="T36" s="354"/>
      <c r="U36" s="354"/>
      <c r="V36" s="354"/>
    </row>
  </sheetData>
  <mergeCells count="40">
    <mergeCell ref="BI7:BJ8"/>
    <mergeCell ref="AE7:AF8"/>
    <mergeCell ref="AY7:AZ8"/>
    <mergeCell ref="AM7:AN8"/>
    <mergeCell ref="W7:Z8"/>
    <mergeCell ref="AC7:AD8"/>
    <mergeCell ref="AQ7:AR8"/>
    <mergeCell ref="AA7:AB8"/>
    <mergeCell ref="A10:A35"/>
    <mergeCell ref="AK7:AL8"/>
    <mergeCell ref="BG7:BH8"/>
    <mergeCell ref="G8:G9"/>
    <mergeCell ref="H8:H9"/>
    <mergeCell ref="AU7:AV8"/>
    <mergeCell ref="AW7:AX8"/>
    <mergeCell ref="AG7:AH8"/>
    <mergeCell ref="AI7:AJ8"/>
    <mergeCell ref="BA7:BB8"/>
    <mergeCell ref="AO7:AP8"/>
    <mergeCell ref="A7:C7"/>
    <mergeCell ref="F7:H7"/>
    <mergeCell ref="I7:R7"/>
    <mergeCell ref="BE7:BF8"/>
    <mergeCell ref="A8:A9"/>
    <mergeCell ref="BM7:BM9"/>
    <mergeCell ref="BO8:BS8"/>
    <mergeCell ref="BT8:BV8"/>
    <mergeCell ref="BW8:BW9"/>
    <mergeCell ref="A2:B2"/>
    <mergeCell ref="C2:R2"/>
    <mergeCell ref="A3:B3"/>
    <mergeCell ref="C3:R3"/>
    <mergeCell ref="A4:B4"/>
    <mergeCell ref="C4:R4"/>
    <mergeCell ref="BK7:BL8"/>
    <mergeCell ref="B8:B9"/>
    <mergeCell ref="F8:F9"/>
    <mergeCell ref="AS7:AT8"/>
    <mergeCell ref="S7:V8"/>
    <mergeCell ref="BC7:BD8"/>
  </mergeCells>
  <pageMargins left="0.2" right="0.25" top="0.75" bottom="0.75" header="0.3" footer="0.3"/>
  <pageSetup paperSize="9" scale="1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38"/>
  <sheetViews>
    <sheetView topLeftCell="A22" workbookViewId="0">
      <selection activeCell="D44" sqref="D44"/>
    </sheetView>
  </sheetViews>
  <sheetFormatPr defaultColWidth="31.5703125" defaultRowHeight="15"/>
  <cols>
    <col min="1" max="1" width="31.5703125" customWidth="1"/>
    <col min="2" max="2" width="7.85546875" bestFit="1" customWidth="1"/>
    <col min="3" max="3" width="53.42578125" customWidth="1"/>
    <col min="4" max="4" width="19.28515625" bestFit="1" customWidth="1"/>
    <col min="5" max="5" width="19.28515625" customWidth="1"/>
    <col min="6" max="7" width="15" customWidth="1"/>
    <col min="8" max="8" width="32.42578125" customWidth="1"/>
    <col min="9" max="9" width="15.42578125" bestFit="1" customWidth="1"/>
    <col min="10" max="10" width="16.28515625" customWidth="1"/>
  </cols>
  <sheetData>
    <row r="2" spans="2:11">
      <c r="B2" s="839" t="s">
        <v>700</v>
      </c>
      <c r="C2" s="839"/>
      <c r="D2" s="839"/>
      <c r="E2" s="567"/>
      <c r="F2" s="571"/>
    </row>
    <row r="3" spans="2:11">
      <c r="B3" s="115" t="s">
        <v>58</v>
      </c>
      <c r="C3" s="115" t="s">
        <v>13</v>
      </c>
      <c r="D3" s="115" t="s">
        <v>961</v>
      </c>
      <c r="E3" s="115" t="s">
        <v>964</v>
      </c>
      <c r="F3" s="564" t="s">
        <v>967</v>
      </c>
      <c r="G3" t="str">
        <f>B3</f>
        <v>Sl. No.</v>
      </c>
      <c r="H3" t="str">
        <f>C3</f>
        <v>Component</v>
      </c>
      <c r="I3" t="str">
        <f>D3</f>
        <v xml:space="preserve"> Budegt</v>
      </c>
      <c r="J3" t="s">
        <v>964</v>
      </c>
      <c r="K3" t="s">
        <v>967</v>
      </c>
    </row>
    <row r="4" spans="2:11">
      <c r="B4" s="114">
        <v>1</v>
      </c>
      <c r="C4" s="115" t="s">
        <v>59</v>
      </c>
      <c r="D4" s="108"/>
      <c r="E4" s="108"/>
      <c r="F4" s="571"/>
      <c r="G4">
        <v>1</v>
      </c>
      <c r="H4" t="str">
        <f>C4</f>
        <v>Community Empowerment</v>
      </c>
      <c r="I4" s="463">
        <f>D7</f>
        <v>239795950</v>
      </c>
      <c r="J4" s="463">
        <f>E7</f>
        <v>235561434</v>
      </c>
      <c r="K4" s="463">
        <f>I4-J4</f>
        <v>4234516</v>
      </c>
    </row>
    <row r="5" spans="2:11">
      <c r="B5" s="107">
        <v>1.1000000000000001</v>
      </c>
      <c r="C5" s="108" t="s">
        <v>63</v>
      </c>
      <c r="D5" s="109">
        <v>216518900</v>
      </c>
      <c r="E5" s="109">
        <f>'1.1'!G50</f>
        <v>212870784</v>
      </c>
      <c r="F5" s="572">
        <f>D5-E5</f>
        <v>3648116</v>
      </c>
      <c r="G5">
        <v>2</v>
      </c>
      <c r="H5" t="str">
        <f>C8</f>
        <v>Natural Resources Management and Livelihoods Improvement</v>
      </c>
      <c r="I5" s="463">
        <f>D12</f>
        <v>826922289</v>
      </c>
      <c r="J5" s="463">
        <f>E12</f>
        <v>646951709</v>
      </c>
      <c r="K5" s="463">
        <f>I5-J5</f>
        <v>179970580</v>
      </c>
    </row>
    <row r="6" spans="2:11">
      <c r="B6" s="107">
        <v>1.2</v>
      </c>
      <c r="C6" s="108" t="s">
        <v>68</v>
      </c>
      <c r="D6" s="109">
        <v>23277050</v>
      </c>
      <c r="E6" s="109">
        <f>'1.2'!F66</f>
        <v>22690650</v>
      </c>
      <c r="F6" s="572">
        <f t="shared" ref="F6:F23" si="0">D6-E6</f>
        <v>586400</v>
      </c>
      <c r="G6">
        <v>3</v>
      </c>
      <c r="H6" t="str">
        <f>C13</f>
        <v>Community Infrastructure and Drudgery reduction.</v>
      </c>
      <c r="I6" s="463">
        <f>D16</f>
        <v>184469990</v>
      </c>
      <c r="J6" s="463">
        <f>E16</f>
        <v>70549340</v>
      </c>
      <c r="K6" s="463">
        <f>I6-J6</f>
        <v>113920650</v>
      </c>
    </row>
    <row r="7" spans="2:11">
      <c r="B7" s="108"/>
      <c r="C7" s="115" t="s">
        <v>3</v>
      </c>
      <c r="D7" s="110">
        <v>239795950</v>
      </c>
      <c r="E7" s="110">
        <f>SUM(E5:E6)</f>
        <v>235561434</v>
      </c>
      <c r="F7" s="572">
        <f t="shared" si="0"/>
        <v>4234516</v>
      </c>
      <c r="G7">
        <v>4</v>
      </c>
      <c r="H7" t="str">
        <f>C17</f>
        <v>Programme Management</v>
      </c>
      <c r="I7" s="463">
        <f>D21</f>
        <v>140179000</v>
      </c>
      <c r="J7" s="463">
        <f>E21</f>
        <v>150584961</v>
      </c>
      <c r="K7" s="463">
        <f>I7-J7</f>
        <v>-10405961</v>
      </c>
    </row>
    <row r="8" spans="2:11" ht="30">
      <c r="B8" s="114">
        <v>2</v>
      </c>
      <c r="C8" s="115" t="s">
        <v>91</v>
      </c>
      <c r="D8" s="108"/>
      <c r="E8" s="108"/>
      <c r="F8" s="572"/>
      <c r="H8" t="s">
        <v>17</v>
      </c>
      <c r="I8" s="463">
        <f>SUM(I4:I7)</f>
        <v>1391367229</v>
      </c>
      <c r="J8" s="463">
        <f>SUM(J4:J7)</f>
        <v>1103647444</v>
      </c>
      <c r="K8" s="463">
        <f>I8-J8</f>
        <v>287719785</v>
      </c>
    </row>
    <row r="9" spans="2:11">
      <c r="B9" s="107">
        <v>2.1</v>
      </c>
      <c r="C9" s="108" t="s">
        <v>180</v>
      </c>
      <c r="D9" s="109">
        <v>532462630</v>
      </c>
      <c r="E9" s="109">
        <f>'2.1'!G104</f>
        <v>317239830</v>
      </c>
      <c r="F9" s="572">
        <f t="shared" si="0"/>
        <v>215222800</v>
      </c>
    </row>
    <row r="10" spans="2:11">
      <c r="B10" s="107">
        <v>2.2000000000000002</v>
      </c>
      <c r="C10" s="108" t="s">
        <v>542</v>
      </c>
      <c r="D10" s="109">
        <v>205927659</v>
      </c>
      <c r="E10" s="109">
        <f>'2.2'!H93</f>
        <v>169201791</v>
      </c>
      <c r="F10" s="572">
        <f t="shared" si="0"/>
        <v>36725868</v>
      </c>
    </row>
    <row r="11" spans="2:11">
      <c r="B11" s="107">
        <v>2.2999999999999998</v>
      </c>
      <c r="C11" s="108" t="s">
        <v>541</v>
      </c>
      <c r="D11" s="109">
        <v>88532000</v>
      </c>
      <c r="E11" s="109">
        <f>'2.3'!H62</f>
        <v>160510088</v>
      </c>
      <c r="F11" s="572">
        <f t="shared" si="0"/>
        <v>-71978088</v>
      </c>
    </row>
    <row r="12" spans="2:11">
      <c r="B12" s="108"/>
      <c r="C12" s="115" t="s">
        <v>3</v>
      </c>
      <c r="D12" s="110">
        <v>826922289</v>
      </c>
      <c r="E12" s="110">
        <f>SUM(E9:E11)</f>
        <v>646951709</v>
      </c>
      <c r="F12" s="572">
        <f t="shared" si="0"/>
        <v>179970580</v>
      </c>
    </row>
    <row r="13" spans="2:11" ht="21" customHeight="1">
      <c r="B13" s="114">
        <v>3</v>
      </c>
      <c r="C13" s="115" t="s">
        <v>93</v>
      </c>
      <c r="D13" s="108"/>
      <c r="E13" s="108"/>
      <c r="F13" s="572"/>
    </row>
    <row r="14" spans="2:11">
      <c r="B14" s="107">
        <v>3.1</v>
      </c>
      <c r="C14" s="108" t="s">
        <v>172</v>
      </c>
      <c r="D14" s="109">
        <v>162305000</v>
      </c>
      <c r="E14" s="109">
        <f>'3.1'!H53</f>
        <v>42108882</v>
      </c>
      <c r="F14" s="572">
        <f t="shared" si="0"/>
        <v>120196118</v>
      </c>
    </row>
    <row r="15" spans="2:11">
      <c r="B15" s="107">
        <v>3.2</v>
      </c>
      <c r="C15" s="108" t="s">
        <v>102</v>
      </c>
      <c r="D15" s="109">
        <v>22164990</v>
      </c>
      <c r="E15" s="109">
        <f>'3.2'!F46</f>
        <v>28440458</v>
      </c>
      <c r="F15" s="572">
        <f t="shared" si="0"/>
        <v>-6275468</v>
      </c>
    </row>
    <row r="16" spans="2:11">
      <c r="B16" s="108"/>
      <c r="C16" s="115" t="s">
        <v>3</v>
      </c>
      <c r="D16" s="110">
        <v>184469990</v>
      </c>
      <c r="E16" s="110">
        <f>SUM(E14:E15)</f>
        <v>70549340</v>
      </c>
      <c r="F16" s="572">
        <f t="shared" si="0"/>
        <v>113920650</v>
      </c>
    </row>
    <row r="17" spans="2:7">
      <c r="B17" s="114">
        <v>4</v>
      </c>
      <c r="C17" s="115" t="s">
        <v>164</v>
      </c>
      <c r="D17" s="108"/>
      <c r="E17" s="108"/>
      <c r="F17" s="572"/>
    </row>
    <row r="18" spans="2:7">
      <c r="B18" s="107">
        <v>4.0999999999999996</v>
      </c>
      <c r="C18" s="108" t="s">
        <v>543</v>
      </c>
      <c r="D18" s="109">
        <v>69056000</v>
      </c>
      <c r="E18" s="109">
        <f>'4.1 '!G89</f>
        <v>74629000</v>
      </c>
      <c r="F18" s="572">
        <f t="shared" si="0"/>
        <v>-5573000</v>
      </c>
    </row>
    <row r="19" spans="2:7">
      <c r="B19" s="107">
        <v>4.2</v>
      </c>
      <c r="C19" s="108" t="s">
        <v>544</v>
      </c>
      <c r="D19" s="109">
        <v>67015000</v>
      </c>
      <c r="E19" s="109">
        <f>'4.2'!G56</f>
        <v>73547961</v>
      </c>
      <c r="F19" s="572">
        <f t="shared" si="0"/>
        <v>-6532961</v>
      </c>
    </row>
    <row r="20" spans="2:7">
      <c r="B20" s="107">
        <v>4.3</v>
      </c>
      <c r="C20" s="108" t="s">
        <v>545</v>
      </c>
      <c r="D20" s="109">
        <v>4108000</v>
      </c>
      <c r="E20" s="109">
        <f>'4.3 '!H35</f>
        <v>2408000</v>
      </c>
      <c r="F20" s="572">
        <f t="shared" si="0"/>
        <v>1700000</v>
      </c>
    </row>
    <row r="21" spans="2:7">
      <c r="B21" s="108"/>
      <c r="C21" s="115" t="s">
        <v>3</v>
      </c>
      <c r="D21" s="110">
        <v>140179000</v>
      </c>
      <c r="E21" s="110">
        <f>SUM(E18:E20)</f>
        <v>150584961</v>
      </c>
      <c r="F21" s="572">
        <f t="shared" si="0"/>
        <v>-10405961</v>
      </c>
    </row>
    <row r="22" spans="2:7">
      <c r="B22" s="108"/>
      <c r="C22" s="108"/>
      <c r="D22" s="108"/>
      <c r="E22" s="108"/>
      <c r="F22" s="572"/>
    </row>
    <row r="23" spans="2:7">
      <c r="B23" s="108"/>
      <c r="C23" s="115" t="s">
        <v>4</v>
      </c>
      <c r="D23" s="110">
        <f>SUM(D7+D12+D16+D21)</f>
        <v>1391367229</v>
      </c>
      <c r="E23" s="110">
        <f>SUM(E7+E12+E16+E21)</f>
        <v>1103647444</v>
      </c>
      <c r="F23" s="572">
        <f t="shared" si="0"/>
        <v>287719785</v>
      </c>
    </row>
    <row r="27" spans="2:7">
      <c r="B27" s="839" t="s">
        <v>701</v>
      </c>
      <c r="C27" s="839"/>
      <c r="D27" s="839"/>
      <c r="E27" s="465"/>
    </row>
    <row r="28" spans="2:7">
      <c r="B28" s="106" t="s">
        <v>648</v>
      </c>
      <c r="C28" s="106" t="s">
        <v>649</v>
      </c>
      <c r="D28" s="106" t="s">
        <v>961</v>
      </c>
      <c r="E28" s="115" t="s">
        <v>964</v>
      </c>
      <c r="F28" s="564" t="s">
        <v>967</v>
      </c>
      <c r="G28" s="569"/>
    </row>
    <row r="29" spans="2:7">
      <c r="B29" s="112">
        <v>1</v>
      </c>
      <c r="C29" s="108" t="s">
        <v>314</v>
      </c>
      <c r="D29" s="111">
        <v>144617111.59999999</v>
      </c>
      <c r="E29" s="111">
        <f>'Sum, scheme'!E30</f>
        <v>151872178.90000001</v>
      </c>
      <c r="F29" s="565">
        <f>D29-E29</f>
        <v>-7255067.3000000119</v>
      </c>
      <c r="G29" s="570"/>
    </row>
    <row r="30" spans="2:7">
      <c r="B30" s="112">
        <v>2</v>
      </c>
      <c r="C30" s="108" t="s">
        <v>233</v>
      </c>
      <c r="D30" s="111">
        <v>398410426.39999998</v>
      </c>
      <c r="E30" s="111">
        <f>'Sum, scheme'!F30</f>
        <v>406932418.39999998</v>
      </c>
      <c r="F30" s="565">
        <f t="shared" ref="F30:F38" si="1">D30-E30</f>
        <v>-8521992</v>
      </c>
      <c r="G30" s="570"/>
    </row>
    <row r="31" spans="2:7">
      <c r="B31" s="112">
        <v>3</v>
      </c>
      <c r="C31" s="108" t="s">
        <v>650</v>
      </c>
      <c r="D31" s="111">
        <v>171535000</v>
      </c>
      <c r="E31" s="111">
        <f>'Sum, scheme'!G30</f>
        <v>2871000</v>
      </c>
      <c r="F31" s="565">
        <f t="shared" si="1"/>
        <v>168664000</v>
      </c>
      <c r="G31" s="570"/>
    </row>
    <row r="32" spans="2:7">
      <c r="B32" s="112">
        <v>4</v>
      </c>
      <c r="C32" s="108" t="s">
        <v>651</v>
      </c>
      <c r="D32" s="111">
        <v>59100000</v>
      </c>
      <c r="E32" s="111">
        <f>'Sum, scheme'!H30</f>
        <v>0</v>
      </c>
      <c r="F32" s="565">
        <f t="shared" si="1"/>
        <v>59100000</v>
      </c>
      <c r="G32" s="570"/>
    </row>
    <row r="33" spans="2:7">
      <c r="B33" s="112">
        <v>5</v>
      </c>
      <c r="C33" s="108" t="s">
        <v>652</v>
      </c>
      <c r="D33" s="111">
        <v>211916241</v>
      </c>
      <c r="E33" s="111">
        <f>'Sum, scheme'!I30</f>
        <v>245037982</v>
      </c>
      <c r="F33" s="565">
        <f t="shared" si="1"/>
        <v>-33121741</v>
      </c>
      <c r="G33" s="570"/>
    </row>
    <row r="34" spans="2:7">
      <c r="B34" s="112">
        <v>6</v>
      </c>
      <c r="C34" s="108" t="s">
        <v>653</v>
      </c>
      <c r="D34" s="111">
        <v>320019330</v>
      </c>
      <c r="E34" s="111">
        <f>'Sum, scheme'!J30</f>
        <v>216897130</v>
      </c>
      <c r="F34" s="565">
        <f t="shared" si="1"/>
        <v>103122200</v>
      </c>
      <c r="G34" s="570"/>
    </row>
    <row r="35" spans="2:7">
      <c r="B35" s="112">
        <v>7</v>
      </c>
      <c r="C35" s="108" t="s">
        <v>612</v>
      </c>
      <c r="D35" s="111">
        <v>70022000</v>
      </c>
      <c r="E35" s="111">
        <f>'Sum, scheme'!N30</f>
        <v>0</v>
      </c>
      <c r="F35" s="565">
        <f t="shared" si="1"/>
        <v>70022000</v>
      </c>
      <c r="G35" s="570"/>
    </row>
    <row r="36" spans="2:7">
      <c r="B36" s="112">
        <v>8</v>
      </c>
      <c r="C36" s="108" t="s">
        <v>985</v>
      </c>
      <c r="D36" s="111">
        <v>0</v>
      </c>
      <c r="E36" s="111">
        <f>'Sum, scheme'!K30</f>
        <v>60500000</v>
      </c>
      <c r="F36" s="565">
        <f t="shared" si="1"/>
        <v>-60500000</v>
      </c>
      <c r="G36" s="570"/>
    </row>
    <row r="37" spans="2:7">
      <c r="B37" s="112">
        <v>9</v>
      </c>
      <c r="C37" s="108" t="s">
        <v>646</v>
      </c>
      <c r="D37" s="111">
        <v>17198120</v>
      </c>
      <c r="E37" s="111">
        <f>'Sum, scheme'!M30</f>
        <v>19536734.699999999</v>
      </c>
      <c r="F37" s="565">
        <f t="shared" si="1"/>
        <v>-2338614.6999999993</v>
      </c>
      <c r="G37" s="570"/>
    </row>
    <row r="38" spans="2:7">
      <c r="B38" s="108"/>
      <c r="C38" s="106" t="s">
        <v>17</v>
      </c>
      <c r="D38" s="113">
        <f>SUM(D29:D37)</f>
        <v>1392818229</v>
      </c>
      <c r="E38" s="113">
        <f>SUM(E29:E37)</f>
        <v>1103647444</v>
      </c>
      <c r="F38" s="565">
        <f t="shared" si="1"/>
        <v>289170785</v>
      </c>
      <c r="G38" s="570"/>
    </row>
  </sheetData>
  <mergeCells count="2">
    <mergeCell ref="B2:D2"/>
    <mergeCell ref="B27:D27"/>
  </mergeCells>
  <printOptions horizontalCentered="1" verticalCentered="1"/>
  <pageMargins left="0" right="0" top="0.5" bottom="0.5" header="0.3" footer="0.3"/>
  <pageSetup paperSize="9" scale="3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AR43"/>
  <sheetViews>
    <sheetView view="pageBreakPreview" zoomScale="90" zoomScaleNormal="85" zoomScaleSheetLayoutView="90" workbookViewId="0">
      <pane xSplit="4" ySplit="9" topLeftCell="T25" activePane="bottomRight" state="frozen"/>
      <selection pane="topRight" activeCell="E1" sqref="E1"/>
      <selection pane="bottomLeft" activeCell="A10" sqref="A10"/>
      <selection pane="bottomRight" activeCell="T38" sqref="T38"/>
    </sheetView>
  </sheetViews>
  <sheetFormatPr defaultColWidth="9.140625" defaultRowHeight="15.75"/>
  <cols>
    <col min="1" max="1" width="8.28515625" style="2" customWidth="1"/>
    <col min="2" max="2" width="10.85546875" style="2" bestFit="1" customWidth="1"/>
    <col min="3" max="3" width="33" style="2" customWidth="1"/>
    <col min="4" max="4" width="22.28515625" style="2" bestFit="1" customWidth="1"/>
    <col min="5" max="5" width="13.42578125" style="2" bestFit="1" customWidth="1"/>
    <col min="6" max="6" width="22" style="2" bestFit="1" customWidth="1"/>
    <col min="7" max="7" width="14" style="2" bestFit="1" customWidth="1"/>
    <col min="8" max="8" width="22" style="2" bestFit="1" customWidth="1"/>
    <col min="9" max="9" width="14" style="2" bestFit="1" customWidth="1"/>
    <col min="10" max="10" width="21.5703125" style="2" bestFit="1" customWidth="1"/>
    <col min="11" max="11" width="15.140625" style="2" bestFit="1" customWidth="1"/>
    <col min="12" max="12" width="21.5703125" style="2" bestFit="1" customWidth="1"/>
    <col min="13" max="13" width="14" style="2" bestFit="1" customWidth="1"/>
    <col min="14" max="14" width="22" style="2" bestFit="1" customWidth="1"/>
    <col min="15" max="15" width="14" style="2" bestFit="1" customWidth="1"/>
    <col min="16" max="16" width="21.5703125" style="2" bestFit="1" customWidth="1"/>
    <col min="17" max="17" width="14" style="2" bestFit="1" customWidth="1"/>
    <col min="18" max="18" width="22" style="2" bestFit="1" customWidth="1"/>
    <col min="19" max="19" width="14" style="2" bestFit="1" customWidth="1"/>
    <col min="20" max="20" width="23.28515625" style="2" bestFit="1" customWidth="1"/>
    <col min="21" max="21" width="13.42578125" style="2" bestFit="1" customWidth="1"/>
    <col min="22" max="22" width="22" style="2" bestFit="1" customWidth="1"/>
    <col min="23" max="23" width="13.42578125" style="2" bestFit="1" customWidth="1"/>
    <col min="24" max="24" width="22" style="2" bestFit="1" customWidth="1"/>
    <col min="25" max="25" width="13.42578125" style="2" bestFit="1" customWidth="1"/>
    <col min="26" max="26" width="21.5703125" style="2" bestFit="1" customWidth="1"/>
    <col min="27" max="27" width="14" style="2" bestFit="1" customWidth="1"/>
    <col min="28" max="28" width="22" style="2" bestFit="1" customWidth="1"/>
    <col min="29" max="29" width="14" style="2" bestFit="1" customWidth="1"/>
    <col min="30" max="30" width="22" style="2" bestFit="1" customWidth="1"/>
    <col min="31" max="31" width="14" style="2" bestFit="1" customWidth="1"/>
    <col min="32" max="32" width="22" style="2" bestFit="1" customWidth="1"/>
    <col min="33" max="33" width="14" style="2" bestFit="1" customWidth="1"/>
    <col min="34" max="34" width="22" style="2" bestFit="1" customWidth="1"/>
    <col min="35" max="35" width="14" style="2" bestFit="1" customWidth="1"/>
    <col min="36" max="36" width="21.5703125" style="2" bestFit="1" customWidth="1"/>
    <col min="37" max="37" width="14" style="2" bestFit="1" customWidth="1"/>
    <col min="38" max="38" width="22" style="2" bestFit="1" customWidth="1"/>
    <col min="39" max="39" width="14" style="2" bestFit="1" customWidth="1"/>
    <col min="40" max="40" width="22.28515625" style="2" bestFit="1" customWidth="1"/>
    <col min="41" max="41" width="15.140625" style="2" bestFit="1" customWidth="1"/>
    <col min="42" max="42" width="25.85546875" style="2" bestFit="1" customWidth="1"/>
    <col min="43" max="43" width="9.140625" style="2"/>
    <col min="44" max="44" width="22.7109375" style="2" bestFit="1" customWidth="1"/>
    <col min="45" max="16384" width="9.140625" style="2"/>
  </cols>
  <sheetData>
    <row r="1" spans="1:44" s="127" customFormat="1" ht="13.5" customHeight="1">
      <c r="A1" s="125"/>
      <c r="B1" s="125"/>
      <c r="C1" s="125"/>
      <c r="D1" s="123"/>
      <c r="E1" s="123"/>
    </row>
    <row r="2" spans="1:44" s="127" customFormat="1">
      <c r="A2" s="125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44" s="127" customFormat="1">
      <c r="A3" s="125" t="s">
        <v>949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44" s="127" customFormat="1">
      <c r="A4" s="126" t="s">
        <v>5</v>
      </c>
      <c r="B4" s="126"/>
      <c r="C4" s="126"/>
      <c r="D4" s="124"/>
      <c r="E4" s="124"/>
    </row>
    <row r="5" spans="1:44" s="127" customFormat="1">
      <c r="A5" s="128"/>
      <c r="B5" s="128"/>
      <c r="C5" s="128"/>
      <c r="D5" s="128"/>
      <c r="E5" s="128"/>
    </row>
    <row r="6" spans="1:44" s="19" customFormat="1" ht="22.9" customHeight="1">
      <c r="A6" s="851" t="s">
        <v>58</v>
      </c>
      <c r="B6" s="851" t="s">
        <v>56</v>
      </c>
      <c r="C6" s="853" t="s">
        <v>13</v>
      </c>
      <c r="D6" s="57"/>
      <c r="E6" s="36"/>
    </row>
    <row r="7" spans="1:44" s="20" customFormat="1" ht="54" customHeight="1">
      <c r="A7" s="852"/>
      <c r="B7" s="852"/>
      <c r="C7" s="854"/>
      <c r="D7" s="58" t="s">
        <v>702</v>
      </c>
      <c r="E7" s="849" t="s">
        <v>309</v>
      </c>
      <c r="F7" s="850"/>
      <c r="G7" s="849" t="s">
        <v>310</v>
      </c>
      <c r="H7" s="850"/>
      <c r="I7" s="849" t="s">
        <v>311</v>
      </c>
      <c r="J7" s="850"/>
      <c r="K7" s="849" t="s">
        <v>312</v>
      </c>
      <c r="L7" s="850"/>
      <c r="M7" s="849" t="s">
        <v>188</v>
      </c>
      <c r="N7" s="850"/>
      <c r="O7" s="849" t="s">
        <v>189</v>
      </c>
      <c r="P7" s="850"/>
      <c r="Q7" s="849" t="s">
        <v>190</v>
      </c>
      <c r="R7" s="850"/>
      <c r="S7" s="849" t="s">
        <v>191</v>
      </c>
      <c r="T7" s="850"/>
      <c r="U7" s="849" t="s">
        <v>192</v>
      </c>
      <c r="V7" s="850"/>
      <c r="W7" s="849" t="s">
        <v>193</v>
      </c>
      <c r="X7" s="850"/>
      <c r="Y7" s="849" t="s">
        <v>194</v>
      </c>
      <c r="Z7" s="850"/>
      <c r="AA7" s="849" t="s">
        <v>195</v>
      </c>
      <c r="AB7" s="850"/>
      <c r="AC7" s="849" t="s">
        <v>196</v>
      </c>
      <c r="AD7" s="850"/>
      <c r="AE7" s="849" t="s">
        <v>197</v>
      </c>
      <c r="AF7" s="850"/>
      <c r="AG7" s="849" t="s">
        <v>198</v>
      </c>
      <c r="AH7" s="850"/>
      <c r="AI7" s="849" t="s">
        <v>199</v>
      </c>
      <c r="AJ7" s="850"/>
      <c r="AK7" s="849" t="s">
        <v>200</v>
      </c>
      <c r="AL7" s="850"/>
      <c r="AM7" s="857" t="s">
        <v>201</v>
      </c>
      <c r="AN7" s="858"/>
      <c r="AO7" s="855" t="s">
        <v>37</v>
      </c>
      <c r="AP7" s="856"/>
      <c r="AR7" s="20" t="s">
        <v>643</v>
      </c>
    </row>
    <row r="8" spans="1:44" ht="9.75" customHeight="1">
      <c r="A8" s="841"/>
      <c r="B8" s="842"/>
      <c r="C8" s="842"/>
      <c r="D8" s="59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4" s="55" customFormat="1" ht="18" customHeight="1">
      <c r="A9" s="843">
        <v>1</v>
      </c>
      <c r="B9" s="43">
        <v>10000</v>
      </c>
      <c r="C9" s="44" t="s">
        <v>0</v>
      </c>
      <c r="D9" s="60"/>
      <c r="E9" s="54" t="s">
        <v>14</v>
      </c>
      <c r="F9" s="34" t="s">
        <v>15</v>
      </c>
      <c r="G9" s="54" t="s">
        <v>14</v>
      </c>
      <c r="H9" s="34" t="s">
        <v>15</v>
      </c>
      <c r="I9" s="54" t="s">
        <v>14</v>
      </c>
      <c r="J9" s="34" t="s">
        <v>15</v>
      </c>
      <c r="K9" s="54" t="s">
        <v>14</v>
      </c>
      <c r="L9" s="34" t="s">
        <v>15</v>
      </c>
      <c r="M9" s="54" t="s">
        <v>14</v>
      </c>
      <c r="N9" s="34" t="s">
        <v>15</v>
      </c>
      <c r="O9" s="54" t="s">
        <v>14</v>
      </c>
      <c r="P9" s="34" t="s">
        <v>15</v>
      </c>
      <c r="Q9" s="54" t="s">
        <v>14</v>
      </c>
      <c r="R9" s="34" t="s">
        <v>15</v>
      </c>
      <c r="S9" s="54" t="s">
        <v>14</v>
      </c>
      <c r="T9" s="34" t="s">
        <v>15</v>
      </c>
      <c r="U9" s="54" t="s">
        <v>14</v>
      </c>
      <c r="V9" s="34" t="s">
        <v>15</v>
      </c>
      <c r="W9" s="54" t="s">
        <v>14</v>
      </c>
      <c r="X9" s="34" t="s">
        <v>15</v>
      </c>
      <c r="Y9" s="54" t="s">
        <v>14</v>
      </c>
      <c r="Z9" s="34" t="s">
        <v>15</v>
      </c>
      <c r="AA9" s="54" t="s">
        <v>14</v>
      </c>
      <c r="AB9" s="34" t="s">
        <v>15</v>
      </c>
      <c r="AC9" s="54" t="s">
        <v>14</v>
      </c>
      <c r="AD9" s="34" t="s">
        <v>15</v>
      </c>
      <c r="AE9" s="54" t="s">
        <v>14</v>
      </c>
      <c r="AF9" s="34" t="s">
        <v>15</v>
      </c>
      <c r="AG9" s="54" t="s">
        <v>14</v>
      </c>
      <c r="AH9" s="34" t="s">
        <v>15</v>
      </c>
      <c r="AI9" s="54" t="s">
        <v>14</v>
      </c>
      <c r="AJ9" s="34" t="s">
        <v>15</v>
      </c>
      <c r="AK9" s="54" t="s">
        <v>14</v>
      </c>
      <c r="AL9" s="34" t="s">
        <v>15</v>
      </c>
      <c r="AM9" s="54" t="s">
        <v>14</v>
      </c>
      <c r="AN9" s="34" t="s">
        <v>15</v>
      </c>
      <c r="AO9" s="54" t="s">
        <v>14</v>
      </c>
      <c r="AP9" s="34" t="s">
        <v>15</v>
      </c>
    </row>
    <row r="10" spans="1:44" s="3" customFormat="1" ht="31.5">
      <c r="A10" s="844"/>
      <c r="B10" s="40">
        <v>11000</v>
      </c>
      <c r="C10" s="50" t="s">
        <v>63</v>
      </c>
      <c r="D10" s="63">
        <f>'1.1'!G50</f>
        <v>212870784</v>
      </c>
      <c r="E10" s="37">
        <f>'1.1'!Z50</f>
        <v>1781</v>
      </c>
      <c r="F10" s="37">
        <f>'1.1'!AA50</f>
        <v>11435400</v>
      </c>
      <c r="G10" s="37">
        <f>'1.1'!AB50</f>
        <v>898</v>
      </c>
      <c r="H10" s="37">
        <f>'1.1'!AC50</f>
        <v>9110014</v>
      </c>
      <c r="I10" s="37">
        <f>'1.1'!AD50</f>
        <v>1919</v>
      </c>
      <c r="J10" s="37">
        <f>'1.1'!AE50</f>
        <v>12544600</v>
      </c>
      <c r="K10" s="37">
        <f>'1.1'!AF50</f>
        <v>2432</v>
      </c>
      <c r="L10" s="37">
        <f>'1.1'!AG50</f>
        <v>15109300</v>
      </c>
      <c r="M10" s="37">
        <f>'1.1'!AH50</f>
        <v>1188</v>
      </c>
      <c r="N10" s="37">
        <f>'1.1'!AI50</f>
        <v>10403200</v>
      </c>
      <c r="O10" s="37">
        <f>'1.1'!AJ50</f>
        <v>2024</v>
      </c>
      <c r="P10" s="37">
        <f>'1.1'!AK50</f>
        <v>12021500</v>
      </c>
      <c r="Q10" s="37">
        <f>'1.1'!AL50</f>
        <v>1276</v>
      </c>
      <c r="R10" s="37">
        <f>'1.1'!AM50</f>
        <v>9127800</v>
      </c>
      <c r="S10" s="37">
        <f>'1.1'!AN50</f>
        <v>2642</v>
      </c>
      <c r="T10" s="37">
        <f>'1.1'!AO50</f>
        <v>9907800</v>
      </c>
      <c r="U10" s="37">
        <f>'1.1'!AP50</f>
        <v>486</v>
      </c>
      <c r="V10" s="37">
        <f>'1.1'!AQ50</f>
        <v>5707800</v>
      </c>
      <c r="W10" s="37">
        <f>'1.1'!AR50</f>
        <v>1220</v>
      </c>
      <c r="X10" s="37">
        <f>'1.1'!AS50</f>
        <v>9400800</v>
      </c>
      <c r="Y10" s="37">
        <f>'1.1'!AT50</f>
        <v>1536</v>
      </c>
      <c r="Z10" s="37">
        <f>'1.1'!AU50</f>
        <v>9041400</v>
      </c>
      <c r="AA10" s="37">
        <f>'1.1'!AV50</f>
        <v>1403</v>
      </c>
      <c r="AB10" s="37">
        <f>'1.1'!AW50</f>
        <v>9786400</v>
      </c>
      <c r="AC10" s="37">
        <f>'1.1'!AX50</f>
        <v>1767</v>
      </c>
      <c r="AD10" s="37">
        <f>'1.1'!AY50</f>
        <v>10224000</v>
      </c>
      <c r="AE10" s="37">
        <f>'1.1'!AZ50</f>
        <v>2237</v>
      </c>
      <c r="AF10" s="37">
        <f>'1.1'!BA50</f>
        <v>10633100</v>
      </c>
      <c r="AG10" s="37">
        <f>'1.1'!BB50</f>
        <v>1991</v>
      </c>
      <c r="AH10" s="37">
        <f>'1.1'!BC50</f>
        <v>11862300</v>
      </c>
      <c r="AI10" s="37">
        <f>'1.1'!BD50</f>
        <v>3631</v>
      </c>
      <c r="AJ10" s="37">
        <f>'1.1'!BE50</f>
        <v>16314870</v>
      </c>
      <c r="AK10" s="37">
        <f>'1.1'!BF50</f>
        <v>1950</v>
      </c>
      <c r="AL10" s="37">
        <f>'1.1'!BG50</f>
        <v>9580500</v>
      </c>
      <c r="AM10" s="37">
        <f>'1.1'!BH50</f>
        <v>28</v>
      </c>
      <c r="AN10" s="37">
        <f>'1.1'!BI50</f>
        <v>30660000</v>
      </c>
      <c r="AO10" s="46">
        <f>AM10+AK10+AI10+AG10+AE10+AC10+AA10+Y10+W10+U10+S10+Q10+O10+M10+K10+I10+G10+E10</f>
        <v>30409</v>
      </c>
      <c r="AP10" s="46">
        <f>AN10+AL10+AJ10+AH10+AF10+AD10+AB10+Z10+X10+V10+T10+R10+P10+N10+L10+J10+H10+F10</f>
        <v>212870784</v>
      </c>
      <c r="AR10" s="4">
        <f>D10-AP10</f>
        <v>0</v>
      </c>
    </row>
    <row r="11" spans="1:44" s="3" customFormat="1" ht="29.25" customHeight="1">
      <c r="A11" s="844"/>
      <c r="B11" s="40">
        <v>12000</v>
      </c>
      <c r="C11" s="50" t="s">
        <v>68</v>
      </c>
      <c r="D11" s="63">
        <f>'1.2'!F66</f>
        <v>22690650</v>
      </c>
      <c r="E11" s="38">
        <f>'1.2'!Y66</f>
        <v>477</v>
      </c>
      <c r="F11" s="38">
        <f>'1.2'!Z66</f>
        <v>1070700</v>
      </c>
      <c r="G11" s="38">
        <f>'1.2'!AA66</f>
        <v>387</v>
      </c>
      <c r="H11" s="38">
        <f>'1.2'!AB66</f>
        <v>850900</v>
      </c>
      <c r="I11" s="38">
        <f>'1.2'!AC66</f>
        <v>1064</v>
      </c>
      <c r="J11" s="38">
        <f>'1.2'!AD66</f>
        <v>2326600</v>
      </c>
      <c r="K11" s="38">
        <f>'1.2'!AE66</f>
        <v>1298</v>
      </c>
      <c r="L11" s="38">
        <f>'1.2'!AF66</f>
        <v>986000</v>
      </c>
      <c r="M11" s="38">
        <f>'1.2'!AG66</f>
        <v>402</v>
      </c>
      <c r="N11" s="38">
        <f>'1.2'!AH66</f>
        <v>392200</v>
      </c>
      <c r="O11" s="38">
        <f>'1.2'!AI66</f>
        <v>518</v>
      </c>
      <c r="P11" s="38">
        <f>'1.2'!AJ66</f>
        <v>1067700</v>
      </c>
      <c r="Q11" s="38">
        <f>'1.2'!AK66</f>
        <v>465</v>
      </c>
      <c r="R11" s="38">
        <f>'1.2'!AL66</f>
        <v>245100</v>
      </c>
      <c r="S11" s="38">
        <f>'1.2'!AM66</f>
        <v>978</v>
      </c>
      <c r="T11" s="38">
        <f>'1.2'!AN66</f>
        <v>451600</v>
      </c>
      <c r="U11" s="38">
        <f>'1.2'!AO66</f>
        <v>248</v>
      </c>
      <c r="V11" s="38">
        <f>'1.2'!AP66</f>
        <v>2286250</v>
      </c>
      <c r="W11" s="38">
        <f>'1.2'!AQ66</f>
        <v>437</v>
      </c>
      <c r="X11" s="38">
        <f>'1.2'!AR66</f>
        <v>3071300</v>
      </c>
      <c r="Y11" s="38">
        <f>'1.2'!AS66</f>
        <v>545</v>
      </c>
      <c r="Z11" s="38">
        <f>'1.2'!AT66</f>
        <v>1796000</v>
      </c>
      <c r="AA11" s="38">
        <f>'1.2'!AU66</f>
        <v>640</v>
      </c>
      <c r="AB11" s="38">
        <f>'1.2'!AV66</f>
        <v>2565750</v>
      </c>
      <c r="AC11" s="38">
        <f>'1.2'!AW66</f>
        <v>587</v>
      </c>
      <c r="AD11" s="38">
        <f>'1.2'!AX66</f>
        <v>423200</v>
      </c>
      <c r="AE11" s="38">
        <f>'1.2'!AY66</f>
        <v>711</v>
      </c>
      <c r="AF11" s="38">
        <f>'1.2'!AZ66</f>
        <v>821150</v>
      </c>
      <c r="AG11" s="38">
        <f>'1.2'!BA66</f>
        <v>358</v>
      </c>
      <c r="AH11" s="38">
        <f>'1.2'!BB66</f>
        <v>2633900</v>
      </c>
      <c r="AI11" s="38">
        <f>'1.2'!BC66</f>
        <v>813</v>
      </c>
      <c r="AJ11" s="38">
        <f>'1.2'!BD66</f>
        <v>434200</v>
      </c>
      <c r="AK11" s="38">
        <f>'1.2'!BE66</f>
        <v>568</v>
      </c>
      <c r="AL11" s="38">
        <f>'1.2'!BF66</f>
        <v>1013100</v>
      </c>
      <c r="AM11" s="38">
        <f>'1.2'!BG66</f>
        <v>510</v>
      </c>
      <c r="AN11" s="38">
        <f>'1.2'!BH66</f>
        <v>255000</v>
      </c>
      <c r="AO11" s="46">
        <f>AM11+AK11+AI11+AG11+AE11+AC11+AA11+Y11+W11+U11+S11+Q11+O11+M11+K11+I11+G11+E11</f>
        <v>11006</v>
      </c>
      <c r="AP11" s="46">
        <f>AN11+AL11+AJ11+AH11+AF11+AD11+AB11+Z11+X11+V11+T11+R11+P11+N11+L11+J11+H11+F11</f>
        <v>22690650</v>
      </c>
      <c r="AR11" s="4">
        <f>D11-AP11</f>
        <v>0</v>
      </c>
    </row>
    <row r="12" spans="1:44" s="3" customFormat="1">
      <c r="A12" s="845"/>
      <c r="B12" s="43"/>
      <c r="C12" s="51" t="s">
        <v>3</v>
      </c>
      <c r="D12" s="48">
        <f t="shared" ref="D12:AP12" si="0">SUM(D10:D11)</f>
        <v>235561434</v>
      </c>
      <c r="E12" s="48">
        <f t="shared" si="0"/>
        <v>2258</v>
      </c>
      <c r="F12" s="48">
        <f t="shared" si="0"/>
        <v>12506100</v>
      </c>
      <c r="G12" s="48">
        <f t="shared" si="0"/>
        <v>1285</v>
      </c>
      <c r="H12" s="48">
        <f t="shared" si="0"/>
        <v>9960914</v>
      </c>
      <c r="I12" s="48">
        <f t="shared" si="0"/>
        <v>2983</v>
      </c>
      <c r="J12" s="48">
        <f t="shared" si="0"/>
        <v>14871200</v>
      </c>
      <c r="K12" s="48">
        <f t="shared" si="0"/>
        <v>3730</v>
      </c>
      <c r="L12" s="48">
        <f t="shared" si="0"/>
        <v>16095300</v>
      </c>
      <c r="M12" s="48">
        <f t="shared" si="0"/>
        <v>1590</v>
      </c>
      <c r="N12" s="48">
        <f t="shared" si="0"/>
        <v>10795400</v>
      </c>
      <c r="O12" s="48">
        <f t="shared" si="0"/>
        <v>2542</v>
      </c>
      <c r="P12" s="48">
        <f t="shared" si="0"/>
        <v>13089200</v>
      </c>
      <c r="Q12" s="48">
        <f t="shared" si="0"/>
        <v>1741</v>
      </c>
      <c r="R12" s="48">
        <f t="shared" si="0"/>
        <v>9372900</v>
      </c>
      <c r="S12" s="48">
        <f t="shared" si="0"/>
        <v>3620</v>
      </c>
      <c r="T12" s="48">
        <f t="shared" si="0"/>
        <v>10359400</v>
      </c>
      <c r="U12" s="48">
        <f t="shared" si="0"/>
        <v>734</v>
      </c>
      <c r="V12" s="48">
        <f t="shared" si="0"/>
        <v>7994050</v>
      </c>
      <c r="W12" s="48">
        <f t="shared" si="0"/>
        <v>1657</v>
      </c>
      <c r="X12" s="48">
        <f t="shared" si="0"/>
        <v>12472100</v>
      </c>
      <c r="Y12" s="48">
        <f t="shared" si="0"/>
        <v>2081</v>
      </c>
      <c r="Z12" s="48">
        <f t="shared" si="0"/>
        <v>10837400</v>
      </c>
      <c r="AA12" s="48">
        <f t="shared" si="0"/>
        <v>2043</v>
      </c>
      <c r="AB12" s="48">
        <f t="shared" si="0"/>
        <v>12352150</v>
      </c>
      <c r="AC12" s="48">
        <f t="shared" si="0"/>
        <v>2354</v>
      </c>
      <c r="AD12" s="48">
        <f>SUM(AD10:AD11)</f>
        <v>10647200</v>
      </c>
      <c r="AE12" s="48">
        <f t="shared" si="0"/>
        <v>2948</v>
      </c>
      <c r="AF12" s="48">
        <f t="shared" si="0"/>
        <v>11454250</v>
      </c>
      <c r="AG12" s="48">
        <f t="shared" si="0"/>
        <v>2349</v>
      </c>
      <c r="AH12" s="48">
        <f t="shared" si="0"/>
        <v>14496200</v>
      </c>
      <c r="AI12" s="48">
        <f t="shared" si="0"/>
        <v>4444</v>
      </c>
      <c r="AJ12" s="48">
        <f t="shared" si="0"/>
        <v>16749070</v>
      </c>
      <c r="AK12" s="48">
        <f t="shared" si="0"/>
        <v>2518</v>
      </c>
      <c r="AL12" s="48">
        <f t="shared" si="0"/>
        <v>10593600</v>
      </c>
      <c r="AM12" s="48">
        <f t="shared" si="0"/>
        <v>538</v>
      </c>
      <c r="AN12" s="48">
        <f t="shared" si="0"/>
        <v>30915000</v>
      </c>
      <c r="AO12" s="48">
        <f t="shared" si="0"/>
        <v>41415</v>
      </c>
      <c r="AP12" s="48">
        <f t="shared" si="0"/>
        <v>235561434</v>
      </c>
      <c r="AR12" s="4">
        <f>D12-AP12</f>
        <v>0</v>
      </c>
    </row>
    <row r="13" spans="1:44" s="3" customFormat="1">
      <c r="A13" s="49"/>
      <c r="B13" s="49"/>
      <c r="C13" s="52"/>
      <c r="D13" s="52"/>
      <c r="E13" s="37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35"/>
    </row>
    <row r="14" spans="1:44" s="3" customFormat="1">
      <c r="A14" s="843">
        <v>2</v>
      </c>
      <c r="B14" s="43">
        <v>20000</v>
      </c>
      <c r="C14" s="39" t="s">
        <v>91</v>
      </c>
      <c r="D14" s="61"/>
      <c r="E14" s="37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35"/>
    </row>
    <row r="15" spans="1:44" s="3" customFormat="1">
      <c r="A15" s="844"/>
      <c r="B15" s="40">
        <v>21000</v>
      </c>
      <c r="C15" s="41" t="s">
        <v>180</v>
      </c>
      <c r="D15" s="64">
        <f>'2.1'!G104</f>
        <v>317239830</v>
      </c>
      <c r="E15" s="37">
        <f>'2.1'!Z104</f>
        <v>1621</v>
      </c>
      <c r="F15" s="37">
        <f>'2.1'!AA104</f>
        <v>21177500</v>
      </c>
      <c r="G15" s="37">
        <f>'2.1'!AB104</f>
        <v>5649</v>
      </c>
      <c r="H15" s="37">
        <f>'2.1'!AC104</f>
        <v>10572200</v>
      </c>
      <c r="I15" s="37">
        <f>'2.1'!AD104</f>
        <v>2060</v>
      </c>
      <c r="J15" s="37">
        <f>'2.1'!AE104</f>
        <v>20630800</v>
      </c>
      <c r="K15" s="37">
        <f>'2.1'!AF104</f>
        <v>4895</v>
      </c>
      <c r="L15" s="37">
        <f>'2.1'!AG104</f>
        <v>30552200</v>
      </c>
      <c r="M15" s="37">
        <f>'2.1'!AH104</f>
        <v>4317</v>
      </c>
      <c r="N15" s="37">
        <f>'2.1'!AI104</f>
        <v>22129500</v>
      </c>
      <c r="O15" s="37">
        <f>'2.1'!AJ104</f>
        <v>1295</v>
      </c>
      <c r="P15" s="37">
        <f>'2.1'!AK104</f>
        <v>13502900</v>
      </c>
      <c r="Q15" s="37">
        <f>'2.1'!AL104</f>
        <v>1213</v>
      </c>
      <c r="R15" s="37">
        <f>'2.1'!AM104</f>
        <v>22284500</v>
      </c>
      <c r="S15" s="37">
        <f>'2.1'!AN104</f>
        <v>813</v>
      </c>
      <c r="T15" s="37">
        <f>'2.1'!AO104</f>
        <v>28942000</v>
      </c>
      <c r="U15" s="37">
        <f>'2.1'!AP104</f>
        <v>325</v>
      </c>
      <c r="V15" s="37">
        <f>'2.1'!AQ104</f>
        <v>15693200</v>
      </c>
      <c r="W15" s="37">
        <f>'2.1'!AR104</f>
        <v>992</v>
      </c>
      <c r="X15" s="37">
        <f>'2.1'!AS104</f>
        <v>26358300</v>
      </c>
      <c r="Y15" s="37">
        <f>'2.1'!AT104</f>
        <v>540</v>
      </c>
      <c r="Z15" s="37">
        <f>'2.1'!AU104</f>
        <v>11236530</v>
      </c>
      <c r="AA15" s="37">
        <f>'2.1'!AV104</f>
        <v>1940</v>
      </c>
      <c r="AB15" s="37">
        <f>'2.1'!AW104</f>
        <v>15379300</v>
      </c>
      <c r="AC15" s="37">
        <f>'2.1'!AX104</f>
        <v>905</v>
      </c>
      <c r="AD15" s="37">
        <f>'2.1'!AY104</f>
        <v>8662700</v>
      </c>
      <c r="AE15" s="37">
        <f>'2.1'!AZ104</f>
        <v>6750</v>
      </c>
      <c r="AF15" s="37">
        <f>'2.1'!BA104</f>
        <v>26492300</v>
      </c>
      <c r="AG15" s="37">
        <f>'2.1'!BB104</f>
        <v>1499</v>
      </c>
      <c r="AH15" s="37">
        <f>'2.1'!BC104</f>
        <v>9832100</v>
      </c>
      <c r="AI15" s="37">
        <f>'2.1'!BD104</f>
        <v>1923</v>
      </c>
      <c r="AJ15" s="37">
        <f>'2.1'!BE104</f>
        <v>11921900</v>
      </c>
      <c r="AK15" s="37">
        <f>'2.1'!BF104</f>
        <v>540</v>
      </c>
      <c r="AL15" s="37">
        <f>'2.1'!BG104</f>
        <v>21771900</v>
      </c>
      <c r="AM15" s="37">
        <f>'2.1'!BH104</f>
        <v>1</v>
      </c>
      <c r="AN15" s="37">
        <f>'2.1'!BI104</f>
        <v>100000</v>
      </c>
      <c r="AO15" s="46">
        <f>AM15+AK15+AI15+AG15+AE15+AC15+AA15+Y15+W15+U15+S15+Q15+O15+M15+K15+I15+G15+E15</f>
        <v>37278</v>
      </c>
      <c r="AP15" s="46">
        <f>AN15+AL15+AJ15+AH15+AF15+AD15+AB15+Z15+X15+V15+T15+R15+P15+N15+L15+J15+H15+F15</f>
        <v>317239830</v>
      </c>
      <c r="AR15" s="4">
        <f>D15-AP15</f>
        <v>0</v>
      </c>
    </row>
    <row r="16" spans="1:44" s="3" customFormat="1">
      <c r="A16" s="844"/>
      <c r="B16" s="40">
        <v>22000</v>
      </c>
      <c r="C16" s="41" t="s">
        <v>542</v>
      </c>
      <c r="D16" s="64">
        <f>'2.2'!H93</f>
        <v>169201791</v>
      </c>
      <c r="E16" s="37">
        <f>'2.2'!AA93</f>
        <v>390.5</v>
      </c>
      <c r="F16" s="37">
        <f>'2.2'!AB93</f>
        <v>10935100</v>
      </c>
      <c r="G16" s="37">
        <f>'2.2'!AC93</f>
        <v>404</v>
      </c>
      <c r="H16" s="37">
        <f>'2.2'!AD93</f>
        <v>7787544</v>
      </c>
      <c r="I16" s="37">
        <f>'2.2'!AE93</f>
        <v>507</v>
      </c>
      <c r="J16" s="37">
        <f>'2.2'!AF93</f>
        <v>11389400</v>
      </c>
      <c r="K16" s="37">
        <f>'2.2'!AG93</f>
        <v>594</v>
      </c>
      <c r="L16" s="37">
        <f>'2.2'!AH93</f>
        <v>15252500</v>
      </c>
      <c r="M16" s="37">
        <f>'2.2'!AI93</f>
        <v>419</v>
      </c>
      <c r="N16" s="37">
        <f>'2.2'!AJ93</f>
        <v>9499300</v>
      </c>
      <c r="O16" s="37">
        <f>'2.2'!AK93</f>
        <v>383</v>
      </c>
      <c r="P16" s="37">
        <f>'2.2'!AL93</f>
        <v>7424000</v>
      </c>
      <c r="Q16" s="37">
        <f>'2.2'!AM93</f>
        <v>584.6</v>
      </c>
      <c r="R16" s="37">
        <f>'2.2'!AN93</f>
        <v>15177560</v>
      </c>
      <c r="S16" s="37">
        <f>'2.2'!AO93</f>
        <v>417</v>
      </c>
      <c r="T16" s="37">
        <f>'2.2'!AP93</f>
        <v>8624600</v>
      </c>
      <c r="U16" s="37">
        <f>'2.2'!AQ93</f>
        <v>303</v>
      </c>
      <c r="V16" s="37">
        <f>'2.2'!AR93</f>
        <v>6801900</v>
      </c>
      <c r="W16" s="37">
        <f>'2.2'!AS93</f>
        <v>430</v>
      </c>
      <c r="X16" s="37">
        <f>'2.2'!AT93</f>
        <v>9863487</v>
      </c>
      <c r="Y16" s="37">
        <f>'2.2'!AU93</f>
        <v>447.2</v>
      </c>
      <c r="Z16" s="37">
        <f>'2.2'!AV93</f>
        <v>13492250</v>
      </c>
      <c r="AA16" s="37">
        <f>'2.2'!AW93</f>
        <v>420</v>
      </c>
      <c r="AB16" s="37">
        <f>'2.2'!AX93</f>
        <v>7075000</v>
      </c>
      <c r="AC16" s="37">
        <f>'2.2'!AY93</f>
        <v>304</v>
      </c>
      <c r="AD16" s="37">
        <f>'2.2'!AZ93</f>
        <v>6758900</v>
      </c>
      <c r="AE16" s="37">
        <f>'2.2'!BA93</f>
        <v>602</v>
      </c>
      <c r="AF16" s="37">
        <f>'2.2'!BB93</f>
        <v>11132000</v>
      </c>
      <c r="AG16" s="37">
        <f>'2.2'!BC93</f>
        <v>640.5</v>
      </c>
      <c r="AH16" s="37">
        <f>'2.2'!BD93</f>
        <v>10508450</v>
      </c>
      <c r="AI16" s="37">
        <f>'2.2'!BE93</f>
        <v>529</v>
      </c>
      <c r="AJ16" s="37">
        <f>'2.2'!BF93</f>
        <v>10783600</v>
      </c>
      <c r="AK16" s="37">
        <f>'2.2'!BG93</f>
        <v>446</v>
      </c>
      <c r="AL16" s="37">
        <f>'2.2'!BH93</f>
        <v>6696200</v>
      </c>
      <c r="AM16" s="37">
        <f>'2.2'!BI93</f>
        <v>0</v>
      </c>
      <c r="AN16" s="37">
        <f>'2.2'!BJ93</f>
        <v>0</v>
      </c>
      <c r="AO16" s="46">
        <f t="shared" ref="AO16:AO17" si="1">AM16+AK16+AI16+AG16+AE16+AC16+AA16+Y16+W16+U16+S16+Q16+O16+M16+K16+I16+G16+E16</f>
        <v>7820.8</v>
      </c>
      <c r="AP16" s="46">
        <f>AN16+AL16+AJ16+AH16+AF16+AD16+AB16+Z16+X16+V16+T16+R16+P16+N16+L16+J16+H16+F16</f>
        <v>169201791</v>
      </c>
      <c r="AR16" s="4">
        <f>D16-AP16</f>
        <v>0</v>
      </c>
    </row>
    <row r="17" spans="1:44" s="3" customFormat="1">
      <c r="A17" s="844"/>
      <c r="B17" s="40">
        <v>23000</v>
      </c>
      <c r="C17" s="41" t="s">
        <v>541</v>
      </c>
      <c r="D17" s="64">
        <f>'2.3'!H62</f>
        <v>160510088</v>
      </c>
      <c r="E17" s="37">
        <f>'2.3'!AA62</f>
        <v>1011</v>
      </c>
      <c r="F17" s="37">
        <f>'2.3'!AB62</f>
        <v>6052000</v>
      </c>
      <c r="G17" s="37">
        <f>'2.3'!AC62</f>
        <v>921</v>
      </c>
      <c r="H17" s="37">
        <f>'2.3'!AD62</f>
        <v>6413000</v>
      </c>
      <c r="I17" s="37">
        <f>'2.3'!AE62</f>
        <v>1008</v>
      </c>
      <c r="J17" s="37">
        <f>'2.3'!AF62</f>
        <v>9703200</v>
      </c>
      <c r="K17" s="37">
        <f>'2.3'!AG62</f>
        <v>1029</v>
      </c>
      <c r="L17" s="37">
        <f>'2.3'!AH62</f>
        <v>6488600</v>
      </c>
      <c r="M17" s="37">
        <f>'2.3'!AI62</f>
        <v>485</v>
      </c>
      <c r="N17" s="37">
        <f>'2.3'!AJ62</f>
        <v>3754200</v>
      </c>
      <c r="O17" s="37">
        <f>'2.3'!AK62</f>
        <v>1626</v>
      </c>
      <c r="P17" s="37">
        <f>'2.3'!AL62</f>
        <v>8529400</v>
      </c>
      <c r="Q17" s="37">
        <f>'2.3'!AM62</f>
        <v>624</v>
      </c>
      <c r="R17" s="37">
        <f>'2.3'!AN62</f>
        <v>42736850</v>
      </c>
      <c r="S17" s="37">
        <f>'2.3'!AO62</f>
        <v>997</v>
      </c>
      <c r="T17" s="37">
        <f>'2.3'!AP62</f>
        <v>6431400</v>
      </c>
      <c r="U17" s="37">
        <f>'2.3'!AQ62</f>
        <v>524</v>
      </c>
      <c r="V17" s="37">
        <f>'2.3'!AR62</f>
        <v>4299200</v>
      </c>
      <c r="W17" s="37">
        <f>'2.3'!AS62</f>
        <v>1016</v>
      </c>
      <c r="X17" s="37">
        <f>'2.3'!AT62</f>
        <v>9759263</v>
      </c>
      <c r="Y17" s="37">
        <f>'2.3'!AU62</f>
        <v>1430</v>
      </c>
      <c r="Z17" s="37">
        <f>'2.3'!AV62</f>
        <v>14469500</v>
      </c>
      <c r="AA17" s="37">
        <f>'2.3'!AW62</f>
        <v>926</v>
      </c>
      <c r="AB17" s="37">
        <f>'2.3'!AX62</f>
        <v>7973975</v>
      </c>
      <c r="AC17" s="37">
        <f>'2.3'!AY62</f>
        <v>1038</v>
      </c>
      <c r="AD17" s="37">
        <f>'2.3'!AZ62</f>
        <v>5858800</v>
      </c>
      <c r="AE17" s="37">
        <f>'2.3'!BA62</f>
        <v>1046</v>
      </c>
      <c r="AF17" s="37">
        <f>'2.3'!BB62</f>
        <v>5378200</v>
      </c>
      <c r="AG17" s="37">
        <f>'2.3'!BC62</f>
        <v>1692</v>
      </c>
      <c r="AH17" s="37">
        <f>'2.3'!BD62</f>
        <v>8896700</v>
      </c>
      <c r="AI17" s="37">
        <f>'2.3'!BE62</f>
        <v>1080</v>
      </c>
      <c r="AJ17" s="37">
        <f>'2.3'!BF62</f>
        <v>4722600</v>
      </c>
      <c r="AK17" s="37">
        <f>'2.3'!BG62</f>
        <v>1598</v>
      </c>
      <c r="AL17" s="37">
        <f>'2.3'!BH62</f>
        <v>9043200</v>
      </c>
      <c r="AM17" s="37">
        <f>'2.3'!BI62</f>
        <v>0</v>
      </c>
      <c r="AN17" s="37">
        <f>'2.3'!BJ62</f>
        <v>0</v>
      </c>
      <c r="AO17" s="46">
        <f t="shared" si="1"/>
        <v>18051</v>
      </c>
      <c r="AP17" s="46">
        <f>AN17+AL17+AJ17+AH17+AF17+AD17+AB17+Z17+X17+V17+T17+R17+P17+N17+L17+J17+H17+F17</f>
        <v>160510088</v>
      </c>
      <c r="AR17" s="4">
        <f>D17-AP17</f>
        <v>0</v>
      </c>
    </row>
    <row r="18" spans="1:44" s="3" customFormat="1">
      <c r="A18" s="845"/>
      <c r="B18" s="43"/>
      <c r="C18" s="51" t="s">
        <v>3</v>
      </c>
      <c r="D18" s="48">
        <f t="shared" ref="D18:AP18" si="2">SUM(D15:D17)</f>
        <v>646951709</v>
      </c>
      <c r="E18" s="48">
        <f t="shared" si="2"/>
        <v>3022.5</v>
      </c>
      <c r="F18" s="48">
        <f t="shared" si="2"/>
        <v>38164600</v>
      </c>
      <c r="G18" s="48">
        <f t="shared" si="2"/>
        <v>6974</v>
      </c>
      <c r="H18" s="48">
        <f t="shared" si="2"/>
        <v>24772744</v>
      </c>
      <c r="I18" s="48">
        <f t="shared" si="2"/>
        <v>3575</v>
      </c>
      <c r="J18" s="48">
        <f t="shared" si="2"/>
        <v>41723400</v>
      </c>
      <c r="K18" s="48">
        <f t="shared" si="2"/>
        <v>6518</v>
      </c>
      <c r="L18" s="48">
        <f t="shared" si="2"/>
        <v>52293300</v>
      </c>
      <c r="M18" s="48">
        <f t="shared" si="2"/>
        <v>5221</v>
      </c>
      <c r="N18" s="48">
        <f t="shared" si="2"/>
        <v>35383000</v>
      </c>
      <c r="O18" s="48">
        <f t="shared" si="2"/>
        <v>3304</v>
      </c>
      <c r="P18" s="48">
        <f t="shared" si="2"/>
        <v>29456300</v>
      </c>
      <c r="Q18" s="48">
        <f t="shared" si="2"/>
        <v>2421.6</v>
      </c>
      <c r="R18" s="48">
        <f t="shared" si="2"/>
        <v>80198910</v>
      </c>
      <c r="S18" s="48">
        <f t="shared" si="2"/>
        <v>2227</v>
      </c>
      <c r="T18" s="48">
        <f t="shared" si="2"/>
        <v>43998000</v>
      </c>
      <c r="U18" s="48">
        <f t="shared" si="2"/>
        <v>1152</v>
      </c>
      <c r="V18" s="48">
        <f t="shared" si="2"/>
        <v>26794300</v>
      </c>
      <c r="W18" s="48">
        <f t="shared" si="2"/>
        <v>2438</v>
      </c>
      <c r="X18" s="48">
        <f t="shared" si="2"/>
        <v>45981050</v>
      </c>
      <c r="Y18" s="48">
        <f t="shared" si="2"/>
        <v>2417.1999999999998</v>
      </c>
      <c r="Z18" s="48">
        <f t="shared" si="2"/>
        <v>39198280</v>
      </c>
      <c r="AA18" s="48">
        <f t="shared" si="2"/>
        <v>3286</v>
      </c>
      <c r="AB18" s="48">
        <f t="shared" si="2"/>
        <v>30428275</v>
      </c>
      <c r="AC18" s="48">
        <f t="shared" si="2"/>
        <v>2247</v>
      </c>
      <c r="AD18" s="48">
        <f t="shared" si="2"/>
        <v>21280400</v>
      </c>
      <c r="AE18" s="48">
        <f t="shared" si="2"/>
        <v>8398</v>
      </c>
      <c r="AF18" s="48">
        <f t="shared" si="2"/>
        <v>43002500</v>
      </c>
      <c r="AG18" s="48">
        <f t="shared" si="2"/>
        <v>3831.5</v>
      </c>
      <c r="AH18" s="48">
        <f t="shared" si="2"/>
        <v>29237250</v>
      </c>
      <c r="AI18" s="48">
        <f t="shared" si="2"/>
        <v>3532</v>
      </c>
      <c r="AJ18" s="48">
        <f t="shared" si="2"/>
        <v>27428100</v>
      </c>
      <c r="AK18" s="48">
        <f t="shared" si="2"/>
        <v>2584</v>
      </c>
      <c r="AL18" s="48">
        <f t="shared" si="2"/>
        <v>37511300</v>
      </c>
      <c r="AM18" s="48">
        <f t="shared" si="2"/>
        <v>1</v>
      </c>
      <c r="AN18" s="48">
        <f t="shared" si="2"/>
        <v>100000</v>
      </c>
      <c r="AO18" s="48">
        <f t="shared" si="2"/>
        <v>63149.8</v>
      </c>
      <c r="AP18" s="48">
        <f t="shared" si="2"/>
        <v>646951709</v>
      </c>
      <c r="AR18" s="4">
        <f>D18-AP18</f>
        <v>0</v>
      </c>
    </row>
    <row r="19" spans="1:44" s="3" customFormat="1" ht="13.5" customHeight="1">
      <c r="A19" s="49"/>
      <c r="B19" s="49"/>
      <c r="C19" s="52"/>
      <c r="D19" s="52"/>
      <c r="E19" s="37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35"/>
    </row>
    <row r="20" spans="1:44" s="3" customFormat="1" ht="31.5">
      <c r="A20" s="843">
        <v>3</v>
      </c>
      <c r="B20" s="43">
        <v>30000</v>
      </c>
      <c r="C20" s="53" t="s">
        <v>93</v>
      </c>
      <c r="D20" s="62"/>
      <c r="E20" s="37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35"/>
    </row>
    <row r="21" spans="1:44" s="3" customFormat="1">
      <c r="A21" s="844"/>
      <c r="B21" s="40">
        <v>31000</v>
      </c>
      <c r="C21" s="41" t="s">
        <v>172</v>
      </c>
      <c r="D21" s="64">
        <f>'3.1'!H53</f>
        <v>42108882</v>
      </c>
      <c r="E21" s="37">
        <f>'3.1'!AA53</f>
        <v>9</v>
      </c>
      <c r="F21" s="37">
        <f>'3.1'!AB53</f>
        <v>2590000</v>
      </c>
      <c r="G21" s="37">
        <f>'3.1'!AC53</f>
        <v>115</v>
      </c>
      <c r="H21" s="37">
        <f>'3.1'!AD53</f>
        <v>2165000</v>
      </c>
      <c r="I21" s="37">
        <f>'3.1'!AE53</f>
        <v>132</v>
      </c>
      <c r="J21" s="37">
        <f>'3.1'!AF53</f>
        <v>5440000</v>
      </c>
      <c r="K21" s="37">
        <f>'3.1'!AG53</f>
        <v>32</v>
      </c>
      <c r="L21" s="37">
        <f>'3.1'!AH53</f>
        <v>4055000</v>
      </c>
      <c r="M21" s="37">
        <f>'3.1'!AI53</f>
        <v>61</v>
      </c>
      <c r="N21" s="37">
        <f>'3.1'!AJ53</f>
        <v>3340000</v>
      </c>
      <c r="O21" s="37">
        <f>'3.1'!AK53</f>
        <v>130</v>
      </c>
      <c r="P21" s="37">
        <f>'3.1'!AL53</f>
        <v>2340000</v>
      </c>
      <c r="Q21" s="37">
        <f>'3.1'!AM53</f>
        <v>135</v>
      </c>
      <c r="R21" s="37">
        <f>'3.1'!AN53</f>
        <v>4459000</v>
      </c>
      <c r="S21" s="37">
        <f>'3.1'!AO53</f>
        <v>107</v>
      </c>
      <c r="T21" s="37">
        <f>'3.1'!AP53</f>
        <v>490000</v>
      </c>
      <c r="U21" s="37">
        <f>'3.1'!AQ53</f>
        <v>4</v>
      </c>
      <c r="V21" s="37">
        <f>'3.1'!AR53</f>
        <v>60000</v>
      </c>
      <c r="W21" s="37">
        <f>'3.1'!AS53</f>
        <v>29</v>
      </c>
      <c r="X21" s="37">
        <f>'3.1'!AT53</f>
        <v>2442500</v>
      </c>
      <c r="Y21" s="37">
        <f>'3.1'!AU53</f>
        <v>32</v>
      </c>
      <c r="Z21" s="37">
        <f>'3.1'!AV53</f>
        <v>3707382</v>
      </c>
      <c r="AA21" s="37">
        <f>'3.1'!AW53</f>
        <v>130</v>
      </c>
      <c r="AB21" s="37">
        <f>'3.1'!AX53</f>
        <v>2340000</v>
      </c>
      <c r="AC21" s="37">
        <f>'3.1'!AY53</f>
        <v>129</v>
      </c>
      <c r="AD21" s="37">
        <f>'3.1'!AZ53</f>
        <v>1555000</v>
      </c>
      <c r="AE21" s="37">
        <f>'3.1'!BA53</f>
        <v>9</v>
      </c>
      <c r="AF21" s="37">
        <f>'3.1'!BB53</f>
        <v>1605000</v>
      </c>
      <c r="AG21" s="37">
        <f>'3.1'!BC53</f>
        <v>11</v>
      </c>
      <c r="AH21" s="37">
        <f>'3.1'!BD53</f>
        <v>3940000</v>
      </c>
      <c r="AI21" s="37">
        <f>'3.1'!BE53</f>
        <v>27</v>
      </c>
      <c r="AJ21" s="37">
        <f>'3.1'!BF53</f>
        <v>490000</v>
      </c>
      <c r="AK21" s="37">
        <f>'3.1'!BG53</f>
        <v>19</v>
      </c>
      <c r="AL21" s="37">
        <f>'3.1'!BH53</f>
        <v>1090000</v>
      </c>
      <c r="AM21" s="37">
        <f>'3.1'!BI53</f>
        <v>0</v>
      </c>
      <c r="AN21" s="37">
        <f>'3.1'!BJ53</f>
        <v>0</v>
      </c>
      <c r="AO21" s="46">
        <f>AM21+AK21+AI21+AG21+AE21+AC21+AA21+Y21+W21+U21+S21+Q21+O21+M21+K21+I21+G21+E21</f>
        <v>1111</v>
      </c>
      <c r="AP21" s="46">
        <f>AN21+AL21+AJ21+AH21+AF21+AD21+AB21+Z21+X21+V21+T21+R21+P21+N21+L21+J21+H21+F21</f>
        <v>42108882</v>
      </c>
      <c r="AR21" s="4">
        <f>D21-AP21</f>
        <v>0</v>
      </c>
    </row>
    <row r="22" spans="1:44" s="3" customFormat="1">
      <c r="A22" s="844"/>
      <c r="B22" s="40">
        <v>32000</v>
      </c>
      <c r="C22" s="41" t="s">
        <v>102</v>
      </c>
      <c r="D22" s="64">
        <f>'3.2'!F46</f>
        <v>28440458</v>
      </c>
      <c r="E22" s="37">
        <f>'3.2'!Y46</f>
        <v>1022</v>
      </c>
      <c r="F22" s="37">
        <f>'3.2'!Z46</f>
        <v>1468330</v>
      </c>
      <c r="G22" s="37">
        <f>'3.2'!AA46</f>
        <v>563</v>
      </c>
      <c r="H22" s="37">
        <f>'3.2'!AB46</f>
        <v>2215100</v>
      </c>
      <c r="I22" s="37">
        <f>'3.2'!AC46</f>
        <v>806</v>
      </c>
      <c r="J22" s="37">
        <f>'3.2'!AD46</f>
        <v>1144800</v>
      </c>
      <c r="K22" s="37">
        <f>'3.2'!AE46</f>
        <v>988</v>
      </c>
      <c r="L22" s="37">
        <f>'3.2'!AF46</f>
        <v>1909400</v>
      </c>
      <c r="M22" s="37">
        <f>'3.2'!AG46</f>
        <v>406</v>
      </c>
      <c r="N22" s="37">
        <f>'3.2'!AH46</f>
        <v>987600</v>
      </c>
      <c r="O22" s="37">
        <f>'3.2'!AI46</f>
        <v>796</v>
      </c>
      <c r="P22" s="37">
        <f>'3.2'!AJ46</f>
        <v>1178100</v>
      </c>
      <c r="Q22" s="37">
        <f>'3.2'!AK46</f>
        <v>438</v>
      </c>
      <c r="R22" s="37">
        <f>'3.2'!AL46</f>
        <v>2897176</v>
      </c>
      <c r="S22" s="37">
        <f>'3.2'!AM46</f>
        <v>360</v>
      </c>
      <c r="T22" s="37">
        <f>'3.2'!AN46</f>
        <v>2069700</v>
      </c>
      <c r="U22" s="37">
        <f>'3.2'!AO46</f>
        <v>429</v>
      </c>
      <c r="V22" s="37">
        <f>'3.2'!AP46</f>
        <v>915350</v>
      </c>
      <c r="W22" s="37">
        <f>'3.2'!AQ46</f>
        <v>1328</v>
      </c>
      <c r="X22" s="37">
        <f>'3.2'!AR46</f>
        <v>2223040</v>
      </c>
      <c r="Y22" s="37">
        <f>'3.2'!AS46</f>
        <v>828</v>
      </c>
      <c r="Z22" s="37">
        <f>'3.2'!AT46</f>
        <v>3450382</v>
      </c>
      <c r="AA22" s="37">
        <f>'3.2'!AU46</f>
        <v>685</v>
      </c>
      <c r="AB22" s="37">
        <f>'3.2'!AV46</f>
        <v>1351636</v>
      </c>
      <c r="AC22" s="37">
        <f>'3.2'!AW46</f>
        <v>511</v>
      </c>
      <c r="AD22" s="37">
        <f>'3.2'!AX46</f>
        <v>1035750</v>
      </c>
      <c r="AE22" s="37">
        <f>'3.2'!AY46</f>
        <v>447</v>
      </c>
      <c r="AF22" s="37">
        <f>'3.2'!AZ46</f>
        <v>1609796</v>
      </c>
      <c r="AG22" s="37">
        <f>'3.2'!BA46</f>
        <v>1205</v>
      </c>
      <c r="AH22" s="37">
        <f>'3.2'!BB46</f>
        <v>1770338</v>
      </c>
      <c r="AI22" s="37">
        <f>'3.2'!BC46</f>
        <v>320</v>
      </c>
      <c r="AJ22" s="37">
        <f>'3.2'!BD46</f>
        <v>1027730</v>
      </c>
      <c r="AK22" s="37">
        <f>'3.2'!BE46</f>
        <v>951</v>
      </c>
      <c r="AL22" s="37">
        <f>'3.2'!BF46</f>
        <v>1186230</v>
      </c>
      <c r="AM22" s="37">
        <f>'3.2'!BG46</f>
        <v>0</v>
      </c>
      <c r="AN22" s="37">
        <f>'3.2'!BH46</f>
        <v>0</v>
      </c>
      <c r="AO22" s="46">
        <f>AM22+AK22+AI22+AG22+AE22+AC22+AA22+Y22+W22+U22+S22+Q22+O22+M22+K22+I22+G22+E22</f>
        <v>12083</v>
      </c>
      <c r="AP22" s="46">
        <f>AN22+AL22+AJ22+AH22+AF22+AD22+AB22+Z22+X22+V22+T22+R22+P22+N22+L22+J22+H22+F22</f>
        <v>28440458</v>
      </c>
      <c r="AR22" s="4">
        <f>D22-AP22</f>
        <v>0</v>
      </c>
    </row>
    <row r="23" spans="1:44" s="3" customFormat="1">
      <c r="A23" s="845"/>
      <c r="B23" s="43"/>
      <c r="C23" s="51" t="s">
        <v>3</v>
      </c>
      <c r="D23" s="48">
        <f t="shared" ref="D23:AP23" si="3">SUM(D21:D22)</f>
        <v>70549340</v>
      </c>
      <c r="E23" s="48">
        <f>SUM(E21:E22)</f>
        <v>1031</v>
      </c>
      <c r="F23" s="48">
        <f t="shared" si="3"/>
        <v>4058330</v>
      </c>
      <c r="G23" s="48">
        <f t="shared" si="3"/>
        <v>678</v>
      </c>
      <c r="H23" s="48">
        <f t="shared" si="3"/>
        <v>4380100</v>
      </c>
      <c r="I23" s="48">
        <f t="shared" si="3"/>
        <v>938</v>
      </c>
      <c r="J23" s="48">
        <f t="shared" si="3"/>
        <v>6584800</v>
      </c>
      <c r="K23" s="48">
        <f t="shared" si="3"/>
        <v>1020</v>
      </c>
      <c r="L23" s="48">
        <f t="shared" si="3"/>
        <v>5964400</v>
      </c>
      <c r="M23" s="48">
        <f t="shared" si="3"/>
        <v>467</v>
      </c>
      <c r="N23" s="48">
        <f t="shared" si="3"/>
        <v>4327600</v>
      </c>
      <c r="O23" s="48">
        <f t="shared" si="3"/>
        <v>926</v>
      </c>
      <c r="P23" s="48">
        <f t="shared" si="3"/>
        <v>3518100</v>
      </c>
      <c r="Q23" s="48">
        <f t="shared" si="3"/>
        <v>573</v>
      </c>
      <c r="R23" s="48">
        <f t="shared" si="3"/>
        <v>7356176</v>
      </c>
      <c r="S23" s="48">
        <f t="shared" si="3"/>
        <v>467</v>
      </c>
      <c r="T23" s="48">
        <f t="shared" si="3"/>
        <v>2559700</v>
      </c>
      <c r="U23" s="48">
        <f t="shared" si="3"/>
        <v>433</v>
      </c>
      <c r="V23" s="48">
        <f t="shared" si="3"/>
        <v>975350</v>
      </c>
      <c r="W23" s="48">
        <f t="shared" si="3"/>
        <v>1357</v>
      </c>
      <c r="X23" s="48">
        <f t="shared" si="3"/>
        <v>4665540</v>
      </c>
      <c r="Y23" s="48">
        <f t="shared" si="3"/>
        <v>860</v>
      </c>
      <c r="Z23" s="48">
        <f t="shared" si="3"/>
        <v>7157764</v>
      </c>
      <c r="AA23" s="48">
        <f t="shared" si="3"/>
        <v>815</v>
      </c>
      <c r="AB23" s="48">
        <f t="shared" si="3"/>
        <v>3691636</v>
      </c>
      <c r="AC23" s="48">
        <f t="shared" si="3"/>
        <v>640</v>
      </c>
      <c r="AD23" s="48">
        <f t="shared" si="3"/>
        <v>2590750</v>
      </c>
      <c r="AE23" s="48">
        <f t="shared" si="3"/>
        <v>456</v>
      </c>
      <c r="AF23" s="48">
        <f t="shared" si="3"/>
        <v>3214796</v>
      </c>
      <c r="AG23" s="48">
        <f t="shared" si="3"/>
        <v>1216</v>
      </c>
      <c r="AH23" s="48">
        <f t="shared" si="3"/>
        <v>5710338</v>
      </c>
      <c r="AI23" s="48">
        <f t="shared" si="3"/>
        <v>347</v>
      </c>
      <c r="AJ23" s="48">
        <f t="shared" si="3"/>
        <v>1517730</v>
      </c>
      <c r="AK23" s="48">
        <f t="shared" si="3"/>
        <v>970</v>
      </c>
      <c r="AL23" s="48">
        <f t="shared" si="3"/>
        <v>2276230</v>
      </c>
      <c r="AM23" s="48">
        <f t="shared" si="3"/>
        <v>0</v>
      </c>
      <c r="AN23" s="48">
        <f t="shared" si="3"/>
        <v>0</v>
      </c>
      <c r="AO23" s="48">
        <f t="shared" si="3"/>
        <v>13194</v>
      </c>
      <c r="AP23" s="48">
        <f t="shared" si="3"/>
        <v>70549340</v>
      </c>
      <c r="AR23" s="4">
        <f>D23-AP23</f>
        <v>0</v>
      </c>
    </row>
    <row r="24" spans="1:44" s="3" customFormat="1">
      <c r="A24" s="49"/>
      <c r="B24" s="49"/>
      <c r="C24" s="52"/>
      <c r="D24" s="52"/>
      <c r="E24" s="37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6"/>
    </row>
    <row r="25" spans="1:44" s="3" customFormat="1">
      <c r="A25" s="843">
        <v>4</v>
      </c>
      <c r="B25" s="43">
        <v>40000</v>
      </c>
      <c r="C25" s="53" t="s">
        <v>164</v>
      </c>
      <c r="D25" s="62"/>
      <c r="E25" s="42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6"/>
    </row>
    <row r="26" spans="1:44" s="3" customFormat="1" ht="15.75" customHeight="1">
      <c r="A26" s="844"/>
      <c r="B26" s="40">
        <v>41000</v>
      </c>
      <c r="C26" s="50" t="s">
        <v>543</v>
      </c>
      <c r="D26" s="63">
        <f>'4.1 '!G89</f>
        <v>74629000</v>
      </c>
      <c r="E26" s="38">
        <f>'4.1 '!Z89</f>
        <v>0</v>
      </c>
      <c r="F26" s="38">
        <f>'4.1 '!AA89</f>
        <v>0</v>
      </c>
      <c r="G26" s="38">
        <f>'4.1 '!AB89</f>
        <v>0</v>
      </c>
      <c r="H26" s="38">
        <f>'4.1 '!AC89</f>
        <v>0</v>
      </c>
      <c r="I26" s="38">
        <f>'4.1 '!AD89</f>
        <v>0</v>
      </c>
      <c r="J26" s="38">
        <f>'4.1 '!AE89</f>
        <v>0</v>
      </c>
      <c r="K26" s="38">
        <f>'4.1 '!AF89</f>
        <v>0</v>
      </c>
      <c r="L26" s="38">
        <f>'4.1 '!AG89</f>
        <v>0</v>
      </c>
      <c r="M26" s="38">
        <f>'4.1 '!AH89</f>
        <v>0</v>
      </c>
      <c r="N26" s="38">
        <f>'4.1 '!AI89</f>
        <v>0</v>
      </c>
      <c r="O26" s="38">
        <f>'4.1 '!AJ89</f>
        <v>0</v>
      </c>
      <c r="P26" s="38">
        <f>'4.1 '!AK89</f>
        <v>0</v>
      </c>
      <c r="Q26" s="38">
        <f>'4.1 '!AL89</f>
        <v>0</v>
      </c>
      <c r="R26" s="38">
        <f>'4.1 '!AM89</f>
        <v>0</v>
      </c>
      <c r="S26" s="38">
        <f>'4.1 '!AN89</f>
        <v>0</v>
      </c>
      <c r="T26" s="38">
        <f>'4.1 '!AO89</f>
        <v>0</v>
      </c>
      <c r="U26" s="38">
        <f>'4.1 '!AP89</f>
        <v>0</v>
      </c>
      <c r="V26" s="38">
        <f>'4.1 '!AQ89</f>
        <v>0</v>
      </c>
      <c r="W26" s="38">
        <f>'4.1 '!AR89</f>
        <v>0</v>
      </c>
      <c r="X26" s="38">
        <f>'4.1 '!AS89</f>
        <v>0</v>
      </c>
      <c r="Y26" s="38">
        <f>'4.1 '!AT89</f>
        <v>0</v>
      </c>
      <c r="Z26" s="38">
        <f>'4.1 '!AU89</f>
        <v>0</v>
      </c>
      <c r="AA26" s="38">
        <f>'4.1 '!AV89</f>
        <v>0</v>
      </c>
      <c r="AB26" s="38">
        <f>'4.1 '!AW89</f>
        <v>0</v>
      </c>
      <c r="AC26" s="38">
        <f>'4.1 '!AX89</f>
        <v>0</v>
      </c>
      <c r="AD26" s="38">
        <f>'4.1 '!AY89</f>
        <v>0</v>
      </c>
      <c r="AE26" s="38">
        <f>'4.1 '!AZ89</f>
        <v>0</v>
      </c>
      <c r="AF26" s="38">
        <f>'4.1 '!BA89</f>
        <v>0</v>
      </c>
      <c r="AG26" s="38">
        <f>'4.1 '!BB89</f>
        <v>0</v>
      </c>
      <c r="AH26" s="38">
        <f>'4.1 '!BC89</f>
        <v>0</v>
      </c>
      <c r="AI26" s="38">
        <f>'4.1 '!BD89</f>
        <v>0</v>
      </c>
      <c r="AJ26" s="38">
        <f>'4.1 '!BE89</f>
        <v>0</v>
      </c>
      <c r="AK26" s="38">
        <f>'4.1 '!BF89</f>
        <v>0</v>
      </c>
      <c r="AL26" s="38">
        <f>'4.1 '!BG89</f>
        <v>0</v>
      </c>
      <c r="AM26" s="38">
        <f>'4.1 '!BH89</f>
        <v>1374</v>
      </c>
      <c r="AN26" s="38">
        <f>'4.1 '!BI89</f>
        <v>74629000</v>
      </c>
      <c r="AO26" s="46">
        <f>AM26+AK26+AI26+AG26+AE26+AC26+AA26+Y26+W26+U26+S26+Q26+O26+M26+K26+I26+G26+E26</f>
        <v>1374</v>
      </c>
      <c r="AP26" s="46">
        <f>AN26+AL26+AJ26+AH26+AF26+AD26+AB26+Z26+X26+V26+T26+R26+P26+N26+L26+J26+H26+F26</f>
        <v>74629000</v>
      </c>
      <c r="AR26" s="4">
        <f>D26-AP26</f>
        <v>0</v>
      </c>
    </row>
    <row r="27" spans="1:44" s="3" customFormat="1" ht="15.75" customHeight="1">
      <c r="A27" s="844"/>
      <c r="B27" s="40">
        <v>42000</v>
      </c>
      <c r="C27" s="50" t="s">
        <v>544</v>
      </c>
      <c r="D27" s="63">
        <f>'4.2'!G56</f>
        <v>73547961</v>
      </c>
      <c r="E27" s="38">
        <f>'4.2'!Z56</f>
        <v>188</v>
      </c>
      <c r="F27" s="38">
        <f>'4.2'!AA56</f>
        <v>5218000</v>
      </c>
      <c r="G27" s="38">
        <f>'4.2'!AB56</f>
        <v>187</v>
      </c>
      <c r="H27" s="38">
        <f>'4.2'!AC56</f>
        <v>4263000</v>
      </c>
      <c r="I27" s="38">
        <f>'4.2'!AD56</f>
        <v>187</v>
      </c>
      <c r="J27" s="38">
        <f>'4.2'!AE56</f>
        <v>4103000</v>
      </c>
      <c r="K27" s="38">
        <f>'4.2'!AF56</f>
        <v>226</v>
      </c>
      <c r="L27" s="38">
        <f>'4.2'!AG56</f>
        <v>4411000</v>
      </c>
      <c r="M27" s="38">
        <f>'4.2'!AH56</f>
        <v>188</v>
      </c>
      <c r="N27" s="38">
        <f>'4.2'!AI56</f>
        <v>4263000</v>
      </c>
      <c r="O27" s="38">
        <f>'4.2'!AJ56</f>
        <v>188</v>
      </c>
      <c r="P27" s="38">
        <f>'4.2'!AK56</f>
        <v>4263000</v>
      </c>
      <c r="Q27" s="38">
        <f>'4.2'!AL56</f>
        <v>188</v>
      </c>
      <c r="R27" s="38">
        <f>'4.2'!AM56</f>
        <v>5042000</v>
      </c>
      <c r="S27" s="38">
        <f>'4.2'!AN56</f>
        <v>187</v>
      </c>
      <c r="T27" s="38">
        <f>'4.2'!AO56</f>
        <v>4103000</v>
      </c>
      <c r="U27" s="38">
        <f>'4.2'!AP56</f>
        <v>186</v>
      </c>
      <c r="V27" s="38">
        <f>'4.2'!AQ56</f>
        <v>4103000</v>
      </c>
      <c r="W27" s="38">
        <f>'4.2'!AR56</f>
        <v>186</v>
      </c>
      <c r="X27" s="38">
        <f>'4.2'!AS56</f>
        <v>4103000</v>
      </c>
      <c r="Y27" s="38">
        <f>'4.2'!AT56</f>
        <v>188</v>
      </c>
      <c r="Z27" s="38">
        <f>'4.2'!AU56</f>
        <v>4866124</v>
      </c>
      <c r="AA27" s="38">
        <f>'4.2'!AV56</f>
        <v>188</v>
      </c>
      <c r="AB27" s="38">
        <f>'4.2'!AW56</f>
        <v>4408837</v>
      </c>
      <c r="AC27" s="38">
        <f>'4.2'!AX56</f>
        <v>187</v>
      </c>
      <c r="AD27" s="38">
        <f>'4.2'!AY56</f>
        <v>4153000</v>
      </c>
      <c r="AE27" s="38">
        <f>'4.2'!AZ56</f>
        <v>187</v>
      </c>
      <c r="AF27" s="38">
        <f>'4.2'!BA56</f>
        <v>3903000</v>
      </c>
      <c r="AG27" s="38">
        <f>'4.2'!BB56</f>
        <v>187</v>
      </c>
      <c r="AH27" s="38">
        <f>'4.2'!BC56</f>
        <v>4103000</v>
      </c>
      <c r="AI27" s="38">
        <f>'4.2'!BD56</f>
        <v>198</v>
      </c>
      <c r="AJ27" s="38">
        <f>'4.2'!BE56</f>
        <v>4139000</v>
      </c>
      <c r="AK27" s="38">
        <f>'4.2'!BF56</f>
        <v>186</v>
      </c>
      <c r="AL27" s="38">
        <f>'4.2'!BG56</f>
        <v>4103000</v>
      </c>
      <c r="AM27" s="38">
        <f>'4.2'!BH56</f>
        <v>0</v>
      </c>
      <c r="AN27" s="38">
        <f>'4.2'!BI56</f>
        <v>0</v>
      </c>
      <c r="AO27" s="46">
        <f t="shared" ref="AO27:AO28" si="4">AM27+AK27+AI27+AG27+AE27+AC27+AA27+Y27+W27+U27+S27+Q27+O27+M27+K27+I27+G27+E27</f>
        <v>3232</v>
      </c>
      <c r="AP27" s="46">
        <f>AN27+AL27+AJ27+AH27+AF27+AD27+AB27+Z27+X27+V27+T27+R27+P27+N27+L27+J27+H27+F27</f>
        <v>73547961</v>
      </c>
      <c r="AR27" s="4">
        <f>D27-AP27</f>
        <v>0</v>
      </c>
    </row>
    <row r="28" spans="1:44" s="3" customFormat="1">
      <c r="A28" s="844"/>
      <c r="B28" s="40">
        <v>43000</v>
      </c>
      <c r="C28" s="50" t="s">
        <v>545</v>
      </c>
      <c r="D28" s="63">
        <f>'4.3 '!H35</f>
        <v>2408000</v>
      </c>
      <c r="E28" s="38">
        <f>'4.3 '!AA35</f>
        <v>13</v>
      </c>
      <c r="F28" s="38">
        <f>'4.3 '!AB35</f>
        <v>58000</v>
      </c>
      <c r="G28" s="38">
        <f>'4.3 '!AC35</f>
        <v>13</v>
      </c>
      <c r="H28" s="38">
        <f>'4.3 '!AD35</f>
        <v>58000</v>
      </c>
      <c r="I28" s="38">
        <f>'4.3 '!AE35</f>
        <v>13</v>
      </c>
      <c r="J28" s="38">
        <f>'4.3 '!AF35</f>
        <v>58000</v>
      </c>
      <c r="K28" s="38">
        <f>'4.3 '!AG35</f>
        <v>13</v>
      </c>
      <c r="L28" s="38">
        <f>'4.3 '!AH35</f>
        <v>76000</v>
      </c>
      <c r="M28" s="38">
        <f>'4.3 '!AI35</f>
        <v>13</v>
      </c>
      <c r="N28" s="38">
        <f>'4.3 '!AJ35</f>
        <v>58000</v>
      </c>
      <c r="O28" s="38">
        <f>'4.3 '!AK35</f>
        <v>13</v>
      </c>
      <c r="P28" s="38">
        <f>'4.3 '!AL35</f>
        <v>58000</v>
      </c>
      <c r="Q28" s="38">
        <f>'4.3 '!AM35</f>
        <v>13</v>
      </c>
      <c r="R28" s="38">
        <f>'4.3 '!AN35</f>
        <v>58000</v>
      </c>
      <c r="S28" s="38">
        <f>'4.3 '!AO35</f>
        <v>13</v>
      </c>
      <c r="T28" s="38">
        <f>'4.3 '!AP35</f>
        <v>58000</v>
      </c>
      <c r="U28" s="38">
        <f>'4.3 '!AQ35</f>
        <v>13</v>
      </c>
      <c r="V28" s="38">
        <f>'4.3 '!AR35</f>
        <v>34000</v>
      </c>
      <c r="W28" s="38">
        <f>'4.3 '!AS35</f>
        <v>13</v>
      </c>
      <c r="X28" s="38">
        <f>'4.3 '!AT35</f>
        <v>58000</v>
      </c>
      <c r="Y28" s="38">
        <f>'4.3 '!AU35</f>
        <v>13</v>
      </c>
      <c r="Z28" s="38">
        <f>'4.3 '!AV35</f>
        <v>58000</v>
      </c>
      <c r="AA28" s="38">
        <f>'4.3 '!AW35</f>
        <v>13</v>
      </c>
      <c r="AB28" s="38">
        <f>'4.3 '!AX35</f>
        <v>58000</v>
      </c>
      <c r="AC28" s="38">
        <f>'4.3 '!AY35</f>
        <v>13</v>
      </c>
      <c r="AD28" s="38">
        <f>'4.3 '!AZ35</f>
        <v>58000</v>
      </c>
      <c r="AE28" s="38">
        <f>'4.3 '!BA35</f>
        <v>13</v>
      </c>
      <c r="AF28" s="38">
        <f>'4.3 '!BB35</f>
        <v>58000</v>
      </c>
      <c r="AG28" s="38">
        <f>'4.3 '!BC35</f>
        <v>13</v>
      </c>
      <c r="AH28" s="38">
        <f>'4.3 '!BD35</f>
        <v>58000</v>
      </c>
      <c r="AI28" s="38">
        <f>'4.3 '!BE35</f>
        <v>13</v>
      </c>
      <c r="AJ28" s="38">
        <f>'4.3 '!BF35</f>
        <v>106000</v>
      </c>
      <c r="AK28" s="38">
        <f>'4.3 '!BG35</f>
        <v>13</v>
      </c>
      <c r="AL28" s="38">
        <f>'4.3 '!BH35</f>
        <v>58000</v>
      </c>
      <c r="AM28" s="38">
        <f>'4.3 '!BI35</f>
        <v>14</v>
      </c>
      <c r="AN28" s="38">
        <f>'4.3 '!BJ35</f>
        <v>1380000</v>
      </c>
      <c r="AO28" s="46">
        <f t="shared" si="4"/>
        <v>235</v>
      </c>
      <c r="AP28" s="46">
        <f>AN28+AL28+AJ28+AH28+AF28+AD28+AB28+Z28+X28+V28+T28+R28+P28+N28+L28+J28+H28+F28</f>
        <v>2408000</v>
      </c>
      <c r="AR28" s="4">
        <f>D28-AP28</f>
        <v>0</v>
      </c>
    </row>
    <row r="29" spans="1:44" s="3" customFormat="1">
      <c r="A29" s="845"/>
      <c r="B29" s="43"/>
      <c r="C29" s="47" t="s">
        <v>3</v>
      </c>
      <c r="D29" s="545">
        <f t="shared" ref="D29:AP29" si="5">SUM(D26:D28)</f>
        <v>150584961</v>
      </c>
      <c r="E29" s="21">
        <f>SUM(E26:E28)</f>
        <v>201</v>
      </c>
      <c r="F29" s="21">
        <f t="shared" si="5"/>
        <v>5276000</v>
      </c>
      <c r="G29" s="21">
        <f t="shared" si="5"/>
        <v>200</v>
      </c>
      <c r="H29" s="21">
        <f t="shared" si="5"/>
        <v>4321000</v>
      </c>
      <c r="I29" s="21">
        <f t="shared" si="5"/>
        <v>200</v>
      </c>
      <c r="J29" s="21">
        <f t="shared" si="5"/>
        <v>4161000</v>
      </c>
      <c r="K29" s="21">
        <f t="shared" si="5"/>
        <v>239</v>
      </c>
      <c r="L29" s="21">
        <f t="shared" si="5"/>
        <v>4487000</v>
      </c>
      <c r="M29" s="21">
        <f t="shared" si="5"/>
        <v>201</v>
      </c>
      <c r="N29" s="21">
        <f t="shared" si="5"/>
        <v>4321000</v>
      </c>
      <c r="O29" s="21">
        <f t="shared" si="5"/>
        <v>201</v>
      </c>
      <c r="P29" s="21">
        <f t="shared" si="5"/>
        <v>4321000</v>
      </c>
      <c r="Q29" s="21">
        <f t="shared" si="5"/>
        <v>201</v>
      </c>
      <c r="R29" s="21">
        <f t="shared" si="5"/>
        <v>5100000</v>
      </c>
      <c r="S29" s="21">
        <f t="shared" si="5"/>
        <v>200</v>
      </c>
      <c r="T29" s="21">
        <f t="shared" si="5"/>
        <v>4161000</v>
      </c>
      <c r="U29" s="21">
        <f t="shared" si="5"/>
        <v>199</v>
      </c>
      <c r="V29" s="21">
        <f t="shared" si="5"/>
        <v>4137000</v>
      </c>
      <c r="W29" s="21">
        <f t="shared" si="5"/>
        <v>199</v>
      </c>
      <c r="X29" s="21">
        <f t="shared" si="5"/>
        <v>4161000</v>
      </c>
      <c r="Y29" s="21">
        <f t="shared" si="5"/>
        <v>201</v>
      </c>
      <c r="Z29" s="21">
        <f t="shared" si="5"/>
        <v>4924124</v>
      </c>
      <c r="AA29" s="21">
        <f t="shared" si="5"/>
        <v>201</v>
      </c>
      <c r="AB29" s="21">
        <f t="shared" si="5"/>
        <v>4466837</v>
      </c>
      <c r="AC29" s="21">
        <f t="shared" si="5"/>
        <v>200</v>
      </c>
      <c r="AD29" s="21">
        <f t="shared" si="5"/>
        <v>4211000</v>
      </c>
      <c r="AE29" s="21">
        <f t="shared" si="5"/>
        <v>200</v>
      </c>
      <c r="AF29" s="21">
        <f t="shared" si="5"/>
        <v>3961000</v>
      </c>
      <c r="AG29" s="21">
        <f t="shared" si="5"/>
        <v>200</v>
      </c>
      <c r="AH29" s="21">
        <f t="shared" si="5"/>
        <v>4161000</v>
      </c>
      <c r="AI29" s="21">
        <f t="shared" si="5"/>
        <v>211</v>
      </c>
      <c r="AJ29" s="21">
        <f t="shared" si="5"/>
        <v>4245000</v>
      </c>
      <c r="AK29" s="21">
        <f t="shared" si="5"/>
        <v>199</v>
      </c>
      <c r="AL29" s="21">
        <f t="shared" si="5"/>
        <v>4161000</v>
      </c>
      <c r="AM29" s="21">
        <f t="shared" si="5"/>
        <v>1388</v>
      </c>
      <c r="AN29" s="21">
        <f t="shared" si="5"/>
        <v>76009000</v>
      </c>
      <c r="AO29" s="21">
        <f t="shared" si="5"/>
        <v>4841</v>
      </c>
      <c r="AP29" s="21">
        <f t="shared" si="5"/>
        <v>150584961</v>
      </c>
      <c r="AR29" s="4">
        <f>D29-AP29</f>
        <v>0</v>
      </c>
    </row>
    <row r="30" spans="1:44" s="3" customFormat="1">
      <c r="A30" s="49"/>
      <c r="B30" s="49"/>
      <c r="C30" s="49"/>
      <c r="D30" s="63"/>
      <c r="E30" s="22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6"/>
    </row>
    <row r="31" spans="1:44" s="3" customFormat="1">
      <c r="A31" s="846" t="s">
        <v>4</v>
      </c>
      <c r="B31" s="847"/>
      <c r="C31" s="848"/>
      <c r="D31" s="545">
        <f t="shared" ref="D31:AP31" si="6">D29+D23+D18+D12</f>
        <v>1103647444</v>
      </c>
      <c r="E31" s="21">
        <f>E29+E23+E18+E12</f>
        <v>6512.5</v>
      </c>
      <c r="F31" s="21">
        <f t="shared" si="6"/>
        <v>60005030</v>
      </c>
      <c r="G31" s="21">
        <f t="shared" si="6"/>
        <v>9137</v>
      </c>
      <c r="H31" s="21">
        <f t="shared" si="6"/>
        <v>43434758</v>
      </c>
      <c r="I31" s="21">
        <f t="shared" si="6"/>
        <v>7696</v>
      </c>
      <c r="J31" s="21">
        <f t="shared" si="6"/>
        <v>67340400</v>
      </c>
      <c r="K31" s="21">
        <f t="shared" si="6"/>
        <v>11507</v>
      </c>
      <c r="L31" s="21">
        <f t="shared" si="6"/>
        <v>78840000</v>
      </c>
      <c r="M31" s="21">
        <f t="shared" si="6"/>
        <v>7479</v>
      </c>
      <c r="N31" s="21">
        <f t="shared" si="6"/>
        <v>54827000</v>
      </c>
      <c r="O31" s="21">
        <f t="shared" si="6"/>
        <v>6973</v>
      </c>
      <c r="P31" s="21">
        <f t="shared" si="6"/>
        <v>50384600</v>
      </c>
      <c r="Q31" s="21">
        <f t="shared" si="6"/>
        <v>4936.6000000000004</v>
      </c>
      <c r="R31" s="21">
        <f t="shared" si="6"/>
        <v>102027986</v>
      </c>
      <c r="S31" s="21">
        <f t="shared" si="6"/>
        <v>6514</v>
      </c>
      <c r="T31" s="21">
        <f t="shared" si="6"/>
        <v>61078100</v>
      </c>
      <c r="U31" s="21">
        <f t="shared" si="6"/>
        <v>2518</v>
      </c>
      <c r="V31" s="21">
        <f t="shared" si="6"/>
        <v>39900700</v>
      </c>
      <c r="W31" s="21">
        <f t="shared" si="6"/>
        <v>5651</v>
      </c>
      <c r="X31" s="21">
        <f t="shared" si="6"/>
        <v>67279690</v>
      </c>
      <c r="Y31" s="21">
        <f t="shared" si="6"/>
        <v>5559.2</v>
      </c>
      <c r="Z31" s="21">
        <f t="shared" si="6"/>
        <v>62117568</v>
      </c>
      <c r="AA31" s="21">
        <f t="shared" si="6"/>
        <v>6345</v>
      </c>
      <c r="AB31" s="21">
        <f t="shared" si="6"/>
        <v>50938898</v>
      </c>
      <c r="AC31" s="21">
        <f t="shared" si="6"/>
        <v>5441</v>
      </c>
      <c r="AD31" s="21">
        <f t="shared" si="6"/>
        <v>38729350</v>
      </c>
      <c r="AE31" s="21">
        <f t="shared" si="6"/>
        <v>12002</v>
      </c>
      <c r="AF31" s="21">
        <f t="shared" si="6"/>
        <v>61632546</v>
      </c>
      <c r="AG31" s="21">
        <f t="shared" si="6"/>
        <v>7596.5</v>
      </c>
      <c r="AH31" s="21">
        <f t="shared" si="6"/>
        <v>53604788</v>
      </c>
      <c r="AI31" s="21">
        <f t="shared" si="6"/>
        <v>8534</v>
      </c>
      <c r="AJ31" s="21">
        <f t="shared" si="6"/>
        <v>49939900</v>
      </c>
      <c r="AK31" s="21">
        <f t="shared" si="6"/>
        <v>6271</v>
      </c>
      <c r="AL31" s="21">
        <f t="shared" si="6"/>
        <v>54542130</v>
      </c>
      <c r="AM31" s="21">
        <f t="shared" si="6"/>
        <v>1927</v>
      </c>
      <c r="AN31" s="21">
        <f t="shared" si="6"/>
        <v>107024000</v>
      </c>
      <c r="AO31" s="21">
        <f t="shared" si="6"/>
        <v>122599.8</v>
      </c>
      <c r="AP31" s="21">
        <f t="shared" si="6"/>
        <v>1103647444</v>
      </c>
      <c r="AR31" s="4">
        <f>D31-AP31</f>
        <v>0</v>
      </c>
    </row>
    <row r="32" spans="1:44">
      <c r="A32" s="18"/>
      <c r="B32" s="18"/>
      <c r="C32" s="18"/>
      <c r="D32" s="18"/>
      <c r="E32" s="18"/>
    </row>
    <row r="33" spans="1:40" hidden="1">
      <c r="A33" s="23" t="s">
        <v>203</v>
      </c>
      <c r="B33" s="24"/>
      <c r="C33" s="24"/>
      <c r="D33" s="24"/>
      <c r="E33" s="25"/>
    </row>
    <row r="34" spans="1:40">
      <c r="A34" s="26"/>
      <c r="B34" s="840"/>
      <c r="C34" s="840"/>
      <c r="D34" s="56"/>
      <c r="E34" s="26"/>
    </row>
    <row r="35" spans="1:40">
      <c r="A35" s="26"/>
      <c r="B35" s="26"/>
      <c r="C35" s="26"/>
      <c r="D35" s="26"/>
      <c r="E35" s="26"/>
      <c r="AN35" s="13"/>
    </row>
    <row r="36" spans="1:40">
      <c r="E36" s="27"/>
      <c r="X36" s="13"/>
      <c r="Y36" s="13"/>
      <c r="AJ36" s="13"/>
    </row>
    <row r="37" spans="1:40">
      <c r="X37" s="13"/>
      <c r="Y37" s="13"/>
    </row>
    <row r="38" spans="1:40">
      <c r="E38" s="13"/>
    </row>
    <row r="40" spans="1:40">
      <c r="X40" s="13"/>
      <c r="Y40" s="13"/>
    </row>
    <row r="41" spans="1:40">
      <c r="X41" s="13"/>
      <c r="Y41" s="13"/>
    </row>
    <row r="42" spans="1:40">
      <c r="X42" s="13"/>
      <c r="Y42" s="13"/>
    </row>
    <row r="43" spans="1:40">
      <c r="X43" s="29"/>
      <c r="Y43" s="29"/>
    </row>
  </sheetData>
  <mergeCells count="29">
    <mergeCell ref="S7:T7"/>
    <mergeCell ref="AE7:AF7"/>
    <mergeCell ref="AC7:AD7"/>
    <mergeCell ref="AA7:AB7"/>
    <mergeCell ref="Y7:Z7"/>
    <mergeCell ref="W7:X7"/>
    <mergeCell ref="U7:V7"/>
    <mergeCell ref="AO7:AP7"/>
    <mergeCell ref="AM7:AN7"/>
    <mergeCell ref="AK7:AL7"/>
    <mergeCell ref="AI7:AJ7"/>
    <mergeCell ref="AG7:AH7"/>
    <mergeCell ref="Q7:R7"/>
    <mergeCell ref="O7:P7"/>
    <mergeCell ref="M7:N7"/>
    <mergeCell ref="A6:A7"/>
    <mergeCell ref="B6:B7"/>
    <mergeCell ref="C6:C7"/>
    <mergeCell ref="K7:L7"/>
    <mergeCell ref="I7:J7"/>
    <mergeCell ref="G7:H7"/>
    <mergeCell ref="E7:F7"/>
    <mergeCell ref="B34:C34"/>
    <mergeCell ref="A8:C8"/>
    <mergeCell ref="A9:A12"/>
    <mergeCell ref="A14:A18"/>
    <mergeCell ref="A20:A23"/>
    <mergeCell ref="A25:A29"/>
    <mergeCell ref="A31:C31"/>
  </mergeCells>
  <pageMargins left="0.25" right="0.25" top="0.75" bottom="0.75" header="0.3" footer="0.3"/>
  <pageSetup paperSize="9" scale="68" fitToHeight="0" orientation="landscape" r:id="rId1"/>
  <colBreaks count="4" manualBreakCount="4">
    <brk id="10" max="33" man="1"/>
    <brk id="18" max="33" man="1"/>
    <brk id="26" max="33" man="1"/>
    <brk id="34" max="3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29"/>
  <sheetViews>
    <sheetView zoomScale="85" zoomScaleNormal="85" workbookViewId="0">
      <selection activeCell="I21" sqref="I21"/>
    </sheetView>
  </sheetViews>
  <sheetFormatPr defaultRowHeight="15"/>
  <cols>
    <col min="1" max="1" width="6" bestFit="1" customWidth="1"/>
    <col min="2" max="2" width="19.28515625" bestFit="1" customWidth="1"/>
    <col min="3" max="3" width="23.85546875" customWidth="1"/>
    <col min="4" max="4" width="11.28515625" customWidth="1"/>
    <col min="5" max="14" width="15.42578125" customWidth="1"/>
    <col min="15" max="30" width="6.5703125" customWidth="1"/>
  </cols>
  <sheetData>
    <row r="1" spans="1:4" s="2" customFormat="1" ht="15.75">
      <c r="A1" s="859" t="s">
        <v>698</v>
      </c>
      <c r="B1" s="859"/>
      <c r="C1" s="859"/>
      <c r="D1" s="859"/>
    </row>
    <row r="2" spans="1:4" s="2" customFormat="1" ht="47.25">
      <c r="A2" s="16" t="s">
        <v>305</v>
      </c>
      <c r="B2" s="16" t="s">
        <v>306</v>
      </c>
      <c r="C2" s="16" t="s">
        <v>577</v>
      </c>
      <c r="D2" s="28" t="s">
        <v>598</v>
      </c>
    </row>
    <row r="3" spans="1:4" s="2" customFormat="1" ht="15.75">
      <c r="A3" s="8">
        <v>1</v>
      </c>
      <c r="B3" s="14" t="s">
        <v>184</v>
      </c>
      <c r="C3" s="7">
        <f>'Sum , MPA'!F31</f>
        <v>60005030</v>
      </c>
      <c r="D3" s="7">
        <f>C3/10000000</f>
        <v>6.0005030000000001</v>
      </c>
    </row>
    <row r="4" spans="1:4" s="2" customFormat="1" ht="15.75">
      <c r="A4" s="8">
        <v>2</v>
      </c>
      <c r="B4" s="14" t="s">
        <v>185</v>
      </c>
      <c r="C4" s="7">
        <f>'Sum , MPA'!H31</f>
        <v>43434758</v>
      </c>
      <c r="D4" s="7">
        <f t="shared" ref="D4:D21" si="0">C4/10000000</f>
        <v>4.3434758000000002</v>
      </c>
    </row>
    <row r="5" spans="1:4" s="2" customFormat="1" ht="13.5" customHeight="1">
      <c r="A5" s="8">
        <v>3</v>
      </c>
      <c r="B5" s="14" t="s">
        <v>186</v>
      </c>
      <c r="C5" s="7">
        <f>'Sum , MPA'!J31</f>
        <v>67340400</v>
      </c>
      <c r="D5" s="7">
        <f t="shared" si="0"/>
        <v>6.7340400000000002</v>
      </c>
    </row>
    <row r="6" spans="1:4" s="2" customFormat="1" ht="15.75">
      <c r="A6" s="8">
        <v>4</v>
      </c>
      <c r="B6" s="14" t="s">
        <v>187</v>
      </c>
      <c r="C6" s="7">
        <f>'Sum , MPA'!L31</f>
        <v>78840000</v>
      </c>
      <c r="D6" s="7">
        <f t="shared" si="0"/>
        <v>7.8840000000000003</v>
      </c>
    </row>
    <row r="7" spans="1:4" s="2" customFormat="1" ht="15.75">
      <c r="A7" s="8">
        <v>5</v>
      </c>
      <c r="B7" s="14" t="s">
        <v>188</v>
      </c>
      <c r="C7" s="7">
        <f>'Sum , MPA'!N31</f>
        <v>54827000</v>
      </c>
      <c r="D7" s="7">
        <f t="shared" si="0"/>
        <v>5.4827000000000004</v>
      </c>
    </row>
    <row r="8" spans="1:4" s="2" customFormat="1" ht="15.75">
      <c r="A8" s="8">
        <v>6</v>
      </c>
      <c r="B8" s="14" t="s">
        <v>189</v>
      </c>
      <c r="C8" s="7">
        <f>'Sum , MPA'!P31</f>
        <v>50384600</v>
      </c>
      <c r="D8" s="7">
        <f t="shared" si="0"/>
        <v>5.0384599999999997</v>
      </c>
    </row>
    <row r="9" spans="1:4" s="2" customFormat="1" ht="15.75">
      <c r="A9" s="8">
        <v>7</v>
      </c>
      <c r="B9" s="14" t="s">
        <v>190</v>
      </c>
      <c r="C9" s="7">
        <f>'Sum , MPA'!R31</f>
        <v>102027986</v>
      </c>
      <c r="D9" s="7">
        <f t="shared" si="0"/>
        <v>10.202798599999999</v>
      </c>
    </row>
    <row r="10" spans="1:4" s="2" customFormat="1" ht="15.75">
      <c r="A10" s="8">
        <v>8</v>
      </c>
      <c r="B10" s="14" t="s">
        <v>191</v>
      </c>
      <c r="C10" s="7">
        <f>'Sum , MPA'!T31</f>
        <v>61078100</v>
      </c>
      <c r="D10" s="7">
        <f t="shared" si="0"/>
        <v>6.1078099999999997</v>
      </c>
    </row>
    <row r="11" spans="1:4" s="2" customFormat="1" ht="15.75">
      <c r="A11" s="8">
        <v>9</v>
      </c>
      <c r="B11" s="14" t="s">
        <v>192</v>
      </c>
      <c r="C11" s="7">
        <f>'Sum , MPA'!V31</f>
        <v>39900700</v>
      </c>
      <c r="D11" s="7">
        <f t="shared" si="0"/>
        <v>3.9900699999999998</v>
      </c>
    </row>
    <row r="12" spans="1:4" s="2" customFormat="1" ht="15.75">
      <c r="A12" s="8">
        <v>10</v>
      </c>
      <c r="B12" s="14" t="s">
        <v>193</v>
      </c>
      <c r="C12" s="7">
        <f>'Sum , MPA'!X31</f>
        <v>67279690</v>
      </c>
      <c r="D12" s="7">
        <f t="shared" si="0"/>
        <v>6.7279689999999999</v>
      </c>
    </row>
    <row r="13" spans="1:4" s="2" customFormat="1" ht="15.75">
      <c r="A13" s="8">
        <v>11</v>
      </c>
      <c r="B13" s="14" t="s">
        <v>194</v>
      </c>
      <c r="C13" s="7">
        <f>'Sum , MPA'!Z31</f>
        <v>62117568</v>
      </c>
      <c r="D13" s="7">
        <f t="shared" si="0"/>
        <v>6.2117567999999999</v>
      </c>
    </row>
    <row r="14" spans="1:4" s="2" customFormat="1" ht="15.75">
      <c r="A14" s="8">
        <v>12</v>
      </c>
      <c r="B14" s="14" t="s">
        <v>195</v>
      </c>
      <c r="C14" s="7">
        <f>'Sum , MPA'!AB31</f>
        <v>50938898</v>
      </c>
      <c r="D14" s="7">
        <f t="shared" si="0"/>
        <v>5.0938898000000004</v>
      </c>
    </row>
    <row r="15" spans="1:4" s="2" customFormat="1" ht="15.75">
      <c r="A15" s="8">
        <v>13</v>
      </c>
      <c r="B15" s="14" t="s">
        <v>196</v>
      </c>
      <c r="C15" s="7">
        <f>'Sum , MPA'!AD31</f>
        <v>38729350</v>
      </c>
      <c r="D15" s="7">
        <f t="shared" si="0"/>
        <v>3.872935</v>
      </c>
    </row>
    <row r="16" spans="1:4" s="2" customFormat="1" ht="15.75">
      <c r="A16" s="8">
        <v>14</v>
      </c>
      <c r="B16" s="14" t="s">
        <v>197</v>
      </c>
      <c r="C16" s="7">
        <f>'Sum , MPA'!AF31</f>
        <v>61632546</v>
      </c>
      <c r="D16" s="7">
        <f t="shared" si="0"/>
        <v>6.1632546000000001</v>
      </c>
    </row>
    <row r="17" spans="1:30" s="2" customFormat="1" ht="15.75">
      <c r="A17" s="8">
        <v>15</v>
      </c>
      <c r="B17" s="14" t="s">
        <v>198</v>
      </c>
      <c r="C17" s="7">
        <f>'Sum , MPA'!AH31</f>
        <v>53604788</v>
      </c>
      <c r="D17" s="7">
        <f t="shared" si="0"/>
        <v>5.3604788000000001</v>
      </c>
    </row>
    <row r="18" spans="1:30" s="139" customFormat="1" ht="15.75">
      <c r="A18" s="8">
        <v>16</v>
      </c>
      <c r="B18" s="14" t="s">
        <v>199</v>
      </c>
      <c r="C18" s="7">
        <f>'Sum , MPA'!AJ31</f>
        <v>49939900</v>
      </c>
      <c r="D18" s="7">
        <f t="shared" si="0"/>
        <v>4.9939900000000002</v>
      </c>
    </row>
    <row r="19" spans="1:30" s="2" customFormat="1" ht="15.75">
      <c r="A19" s="8">
        <v>17</v>
      </c>
      <c r="B19" s="14" t="s">
        <v>200</v>
      </c>
      <c r="C19" s="7">
        <f>'Sum , MPA'!AL31</f>
        <v>54542130</v>
      </c>
      <c r="D19" s="7">
        <f t="shared" si="0"/>
        <v>5.4542130000000002</v>
      </c>
    </row>
    <row r="20" spans="1:30" s="2" customFormat="1" ht="15.75">
      <c r="A20" s="8">
        <v>18</v>
      </c>
      <c r="B20" s="15" t="s">
        <v>201</v>
      </c>
      <c r="C20" s="7">
        <f>'Sum , MPA'!AN31</f>
        <v>107024000</v>
      </c>
      <c r="D20" s="7">
        <f t="shared" si="0"/>
        <v>10.702400000000001</v>
      </c>
    </row>
    <row r="21" spans="1:30" s="5" customFormat="1" ht="15.75">
      <c r="A21" s="16"/>
      <c r="B21" s="17" t="s">
        <v>37</v>
      </c>
      <c r="C21" s="11">
        <f>SUM(C3:C20)</f>
        <v>1103647444</v>
      </c>
      <c r="D21" s="7">
        <f t="shared" si="0"/>
        <v>110.36474440000001</v>
      </c>
    </row>
    <row r="27" spans="1:30" ht="0.75" customHeight="1">
      <c r="E27" s="9"/>
      <c r="G27" s="9"/>
      <c r="I27" s="9"/>
      <c r="K27" s="9"/>
      <c r="M27" s="9"/>
      <c r="O27" s="9"/>
      <c r="Q27" s="9"/>
      <c r="S27" s="9"/>
      <c r="U27" s="9"/>
      <c r="W27" s="9"/>
      <c r="Y27" s="9"/>
      <c r="AA27" s="9"/>
      <c r="AC27" s="9"/>
    </row>
    <row r="28" spans="1:30" ht="15.75" hidden="1">
      <c r="C28" s="9">
        <v>48</v>
      </c>
      <c r="D28" s="9"/>
      <c r="E28" s="9"/>
      <c r="F28" s="9">
        <v>43</v>
      </c>
      <c r="G28" s="9"/>
      <c r="H28" s="9">
        <v>75</v>
      </c>
      <c r="I28" s="9"/>
      <c r="J28" s="9">
        <v>41</v>
      </c>
      <c r="K28" s="9"/>
      <c r="L28" s="9">
        <v>101</v>
      </c>
      <c r="M28" s="9"/>
      <c r="N28" s="9">
        <v>8</v>
      </c>
      <c r="O28" s="9"/>
      <c r="P28" s="9">
        <v>33</v>
      </c>
      <c r="Q28" s="9"/>
      <c r="R28" s="9">
        <v>53</v>
      </c>
      <c r="S28" s="9"/>
      <c r="T28" s="9">
        <v>52</v>
      </c>
      <c r="U28" s="9"/>
      <c r="V28" s="9">
        <v>76</v>
      </c>
      <c r="W28" s="9"/>
      <c r="X28" s="9">
        <v>82</v>
      </c>
      <c r="Y28" s="9"/>
      <c r="Z28" s="9">
        <v>104</v>
      </c>
      <c r="AA28" s="9"/>
      <c r="AB28" s="9">
        <v>147</v>
      </c>
      <c r="AC28" s="9"/>
      <c r="AD28" s="9">
        <v>54</v>
      </c>
    </row>
    <row r="29" spans="1:30" ht="15.75" hidden="1">
      <c r="E29" s="10">
        <f>E28/1125*100</f>
        <v>0</v>
      </c>
      <c r="G29" s="10">
        <f>G28/1125*100</f>
        <v>0</v>
      </c>
      <c r="I29" s="10">
        <f>I28/1125*100</f>
        <v>0</v>
      </c>
      <c r="K29" s="10">
        <f>K28/1125*100</f>
        <v>0</v>
      </c>
      <c r="M29" s="10">
        <f>M28/1125*100</f>
        <v>0</v>
      </c>
      <c r="O29" s="10">
        <f>O28/1125*100</f>
        <v>0</v>
      </c>
      <c r="Q29" s="10">
        <f>Q28/1125*100</f>
        <v>0</v>
      </c>
      <c r="S29" s="10">
        <f>S28/1125*100</f>
        <v>0</v>
      </c>
      <c r="U29" s="10">
        <f>U28/1125*100</f>
        <v>0</v>
      </c>
      <c r="W29" s="10">
        <f>W28/1125*100</f>
        <v>0</v>
      </c>
      <c r="Y29" s="10">
        <f>Y28/1125*100</f>
        <v>0</v>
      </c>
      <c r="AA29" s="10">
        <f>AA28/1125*100</f>
        <v>0</v>
      </c>
      <c r="AC29" s="10">
        <f>AC28/1125*100</f>
        <v>0</v>
      </c>
    </row>
  </sheetData>
  <mergeCells count="1">
    <mergeCell ref="A1:D1"/>
  </mergeCells>
  <pageMargins left="1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0">
    <tabColor rgb="FF00B0F0"/>
    <pageSetUpPr fitToPage="1"/>
  </sheetPr>
  <dimension ref="A1:BV62"/>
  <sheetViews>
    <sheetView tabSelected="1" zoomScale="70" zoomScaleNormal="70" workbookViewId="0">
      <pane xSplit="7" ySplit="8" topLeftCell="H45" activePane="bottomRight" state="frozen"/>
      <selection activeCell="B7" sqref="B7"/>
      <selection pane="topRight" activeCell="H7" sqref="H7"/>
      <selection pane="bottomLeft" activeCell="B9" sqref="B9"/>
      <selection pane="bottomRight" activeCell="I63" sqref="I63"/>
    </sheetView>
  </sheetViews>
  <sheetFormatPr defaultColWidth="9.140625" defaultRowHeight="24" customHeight="1"/>
  <cols>
    <col min="1" max="1" width="6" style="65" customWidth="1"/>
    <col min="2" max="2" width="10.85546875" style="65" customWidth="1"/>
    <col min="3" max="3" width="46.7109375" style="65" customWidth="1"/>
    <col min="4" max="4" width="12.7109375" style="65" bestFit="1" customWidth="1"/>
    <col min="5" max="5" width="15.7109375" style="133" customWidth="1"/>
    <col min="6" max="6" width="12.7109375" style="65" customWidth="1"/>
    <col min="7" max="7" width="17.42578125" style="422" customWidth="1"/>
    <col min="8" max="8" width="15.42578125" style="422" bestFit="1" customWidth="1"/>
    <col min="9" max="9" width="16.85546875" style="422" bestFit="1" customWidth="1"/>
    <col min="10" max="10" width="11.7109375" style="422" customWidth="1"/>
    <col min="11" max="11" width="15.140625" style="422" customWidth="1"/>
    <col min="12" max="12" width="12.5703125" style="422" customWidth="1"/>
    <col min="13" max="13" width="11.7109375" style="422" customWidth="1"/>
    <col min="14" max="14" width="5.7109375" style="422" customWidth="1"/>
    <col min="15" max="15" width="7.42578125" style="65" customWidth="1"/>
    <col min="16" max="16" width="12.28515625" style="65" customWidth="1"/>
    <col min="17" max="17" width="8.42578125" style="65" customWidth="1"/>
    <col min="18" max="21" width="9.85546875" style="65" customWidth="1"/>
    <col min="22" max="22" width="16.5703125" style="65" customWidth="1"/>
    <col min="23" max="23" width="16" style="65" customWidth="1"/>
    <col min="24" max="24" width="18.140625" style="65" customWidth="1"/>
    <col min="25" max="25" width="17.140625" style="65" customWidth="1"/>
    <col min="26" max="26" width="12.28515625" style="65" customWidth="1"/>
    <col min="27" max="27" width="16.7109375" style="422" customWidth="1"/>
    <col min="28" max="28" width="8.28515625" style="65" customWidth="1"/>
    <col min="29" max="29" width="14.28515625" style="65" customWidth="1"/>
    <col min="30" max="30" width="10" style="65" bestFit="1" customWidth="1"/>
    <col min="31" max="31" width="15.5703125" style="65" customWidth="1"/>
    <col min="32" max="32" width="12" style="65" customWidth="1"/>
    <col min="33" max="33" width="14" style="65" customWidth="1"/>
    <col min="34" max="34" width="7.85546875" style="65" customWidth="1"/>
    <col min="35" max="35" width="15.5703125" style="65" customWidth="1"/>
    <col min="36" max="36" width="11.85546875" style="65" customWidth="1"/>
    <col min="37" max="37" width="15.28515625" style="65" customWidth="1"/>
    <col min="38" max="38" width="8.42578125" style="65" customWidth="1"/>
    <col min="39" max="39" width="15.5703125" style="65" customWidth="1"/>
    <col min="40" max="40" width="10.28515625" style="65" customWidth="1"/>
    <col min="41" max="41" width="17" style="65" customWidth="1"/>
    <col min="42" max="42" width="9.42578125" style="65" customWidth="1"/>
    <col min="43" max="43" width="14.28515625" style="65" customWidth="1"/>
    <col min="44" max="44" width="9.5703125" style="65" customWidth="1"/>
    <col min="45" max="45" width="13.85546875" style="65" customWidth="1"/>
    <col min="46" max="46" width="9.5703125" style="65" customWidth="1"/>
    <col min="47" max="47" width="14.7109375" style="65" customWidth="1"/>
    <col min="48" max="48" width="9.5703125" style="65" customWidth="1"/>
    <col min="49" max="49" width="17.28515625" style="65" customWidth="1"/>
    <col min="50" max="50" width="10" style="65" bestFit="1" customWidth="1"/>
    <col min="51" max="51" width="15.5703125" style="65" customWidth="1"/>
    <col min="52" max="52" width="9.28515625" style="65" customWidth="1"/>
    <col min="53" max="53" width="15" style="65" customWidth="1"/>
    <col min="54" max="54" width="9.5703125" style="65" customWidth="1"/>
    <col min="55" max="55" width="15.5703125" style="65" customWidth="1"/>
    <col min="56" max="56" width="9.7109375" style="65" customWidth="1"/>
    <col min="57" max="57" width="16.5703125" style="65" customWidth="1"/>
    <col min="58" max="58" width="10.42578125" style="65" customWidth="1"/>
    <col min="59" max="59" width="15.5703125" style="65" customWidth="1"/>
    <col min="60" max="60" width="11.42578125" style="65" customWidth="1"/>
    <col min="61" max="61" width="16.7109375" style="65" customWidth="1"/>
    <col min="62" max="62" width="15" style="65" customWidth="1"/>
    <col min="63" max="63" width="17.28515625" style="65" customWidth="1"/>
    <col min="64" max="64" width="18.42578125" style="423" customWidth="1"/>
    <col min="65" max="65" width="0.140625" style="65" hidden="1" customWidth="1"/>
    <col min="66" max="66" width="6.7109375" style="65" bestFit="1" customWidth="1"/>
    <col min="67" max="67" width="16.85546875" style="65" customWidth="1"/>
    <col min="68" max="68" width="18.140625" style="65" bestFit="1" customWidth="1"/>
    <col min="69" max="69" width="9.85546875" style="65" customWidth="1"/>
    <col min="70" max="70" width="18.140625" style="65" bestFit="1" customWidth="1"/>
    <col min="71" max="71" width="13.140625" style="65" customWidth="1"/>
    <col min="72" max="72" width="13.85546875" style="65" customWidth="1"/>
    <col min="73" max="73" width="19" style="65" customWidth="1"/>
    <col min="74" max="74" width="18.140625" style="65" customWidth="1"/>
    <col min="75" max="77" width="9.140625" style="65" customWidth="1"/>
    <col min="78" max="16384" width="9.140625" style="65"/>
  </cols>
  <sheetData>
    <row r="1" spans="1:74" ht="15.75">
      <c r="A1" s="862"/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</row>
    <row r="2" spans="1:74" ht="15.75">
      <c r="A2" s="863" t="s">
        <v>163</v>
      </c>
      <c r="B2" s="863"/>
      <c r="C2" s="863" t="s">
        <v>157</v>
      </c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  <c r="Q2" s="863"/>
      <c r="R2" s="423"/>
      <c r="S2" s="423"/>
      <c r="T2" s="423"/>
      <c r="U2" s="423"/>
      <c r="V2" s="423"/>
      <c r="W2" s="423"/>
      <c r="X2" s="423"/>
      <c r="Y2" s="423"/>
      <c r="Z2" s="65" t="s">
        <v>299</v>
      </c>
      <c r="AA2" s="65">
        <v>8.34</v>
      </c>
      <c r="AC2" s="65">
        <v>2.85</v>
      </c>
      <c r="AE2" s="65">
        <v>8.3800000000000008</v>
      </c>
      <c r="AG2" s="65">
        <v>7.49</v>
      </c>
      <c r="AI2" s="65">
        <v>3.33</v>
      </c>
      <c r="AK2" s="65">
        <v>6.64</v>
      </c>
      <c r="AM2" s="65">
        <v>3.67</v>
      </c>
      <c r="AO2" s="65">
        <v>5.0599999999999996</v>
      </c>
      <c r="AQ2" s="65">
        <v>5.94</v>
      </c>
      <c r="AS2" s="65">
        <v>6.85</v>
      </c>
      <c r="AU2" s="65">
        <v>7.45</v>
      </c>
      <c r="AW2" s="65">
        <v>5.13</v>
      </c>
      <c r="AY2" s="65">
        <v>4.8600000000000003</v>
      </c>
      <c r="BA2" s="65">
        <v>5.79</v>
      </c>
      <c r="BC2" s="65">
        <v>5.3</v>
      </c>
      <c r="BE2" s="65">
        <v>3.47</v>
      </c>
      <c r="BG2" s="65">
        <v>9.42</v>
      </c>
    </row>
    <row r="3" spans="1:74" ht="15.75">
      <c r="A3" s="863" t="s">
        <v>159</v>
      </c>
      <c r="B3" s="863"/>
      <c r="C3" s="863" t="s">
        <v>158</v>
      </c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863"/>
      <c r="O3" s="863"/>
      <c r="P3" s="863"/>
      <c r="Q3" s="863"/>
      <c r="R3" s="423"/>
      <c r="S3" s="423"/>
      <c r="T3" s="423"/>
      <c r="U3" s="423"/>
      <c r="V3" s="423"/>
      <c r="W3" s="423"/>
      <c r="X3" s="423"/>
      <c r="Y3" s="423"/>
      <c r="Z3" s="65" t="s">
        <v>297</v>
      </c>
      <c r="AA3" s="65">
        <v>48</v>
      </c>
      <c r="AC3" s="65">
        <v>23</v>
      </c>
      <c r="AE3" s="65">
        <v>80</v>
      </c>
      <c r="AG3" s="65">
        <v>105</v>
      </c>
      <c r="AI3" s="65">
        <v>43</v>
      </c>
      <c r="AK3" s="65">
        <v>75</v>
      </c>
      <c r="AM3" s="65">
        <v>41</v>
      </c>
      <c r="AO3" s="65">
        <v>101</v>
      </c>
      <c r="AQ3" s="65">
        <v>8</v>
      </c>
      <c r="AS3" s="65">
        <v>33</v>
      </c>
      <c r="AU3" s="65">
        <v>53</v>
      </c>
      <c r="AW3" s="65">
        <v>52</v>
      </c>
      <c r="AY3" s="65">
        <v>76</v>
      </c>
      <c r="BA3" s="65">
        <v>82</v>
      </c>
      <c r="BC3" s="65">
        <v>104</v>
      </c>
      <c r="BE3" s="65">
        <v>147</v>
      </c>
      <c r="BG3" s="65">
        <v>54</v>
      </c>
    </row>
    <row r="4" spans="1:74" ht="15.75">
      <c r="A4" s="863" t="s">
        <v>160</v>
      </c>
      <c r="B4" s="863"/>
      <c r="C4" s="863" t="s">
        <v>950</v>
      </c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863"/>
      <c r="Q4" s="863"/>
      <c r="R4" s="423"/>
      <c r="S4" s="423"/>
      <c r="T4" s="423"/>
      <c r="U4" s="423"/>
      <c r="V4" s="423"/>
      <c r="W4" s="423"/>
      <c r="X4" s="423"/>
      <c r="Y4" s="423"/>
      <c r="Z4" s="65" t="s">
        <v>298</v>
      </c>
      <c r="AA4" s="443">
        <f>AA3/1125*100</f>
        <v>4.2666666666666666</v>
      </c>
      <c r="AB4" s="443">
        <f t="shared" ref="AB4:BG4" si="0">AB3/1125*100</f>
        <v>0</v>
      </c>
      <c r="AC4" s="443">
        <f t="shared" si="0"/>
        <v>2.0444444444444447</v>
      </c>
      <c r="AD4" s="443">
        <f t="shared" si="0"/>
        <v>0</v>
      </c>
      <c r="AE4" s="443">
        <f t="shared" si="0"/>
        <v>7.1111111111111107</v>
      </c>
      <c r="AF4" s="443">
        <f t="shared" si="0"/>
        <v>0</v>
      </c>
      <c r="AG4" s="443">
        <f t="shared" si="0"/>
        <v>9.3333333333333339</v>
      </c>
      <c r="AH4" s="443">
        <f t="shared" si="0"/>
        <v>0</v>
      </c>
      <c r="AI4" s="443">
        <f t="shared" si="0"/>
        <v>3.822222222222222</v>
      </c>
      <c r="AJ4" s="443">
        <f t="shared" si="0"/>
        <v>0</v>
      </c>
      <c r="AK4" s="443">
        <f t="shared" si="0"/>
        <v>6.666666666666667</v>
      </c>
      <c r="AL4" s="443">
        <f t="shared" si="0"/>
        <v>0</v>
      </c>
      <c r="AM4" s="443">
        <f t="shared" si="0"/>
        <v>3.6444444444444448</v>
      </c>
      <c r="AN4" s="443">
        <f t="shared" si="0"/>
        <v>0</v>
      </c>
      <c r="AO4" s="443">
        <f t="shared" si="0"/>
        <v>8.9777777777777779</v>
      </c>
      <c r="AP4" s="443">
        <f t="shared" si="0"/>
        <v>0</v>
      </c>
      <c r="AQ4" s="443">
        <f t="shared" si="0"/>
        <v>0.71111111111111114</v>
      </c>
      <c r="AR4" s="443">
        <f t="shared" si="0"/>
        <v>0</v>
      </c>
      <c r="AS4" s="443">
        <f t="shared" si="0"/>
        <v>2.9333333333333331</v>
      </c>
      <c r="AT4" s="443">
        <f t="shared" si="0"/>
        <v>0</v>
      </c>
      <c r="AU4" s="443">
        <f t="shared" si="0"/>
        <v>4.7111111111111112</v>
      </c>
      <c r="AV4" s="443">
        <f t="shared" si="0"/>
        <v>0</v>
      </c>
      <c r="AW4" s="443">
        <f t="shared" si="0"/>
        <v>4.6222222222222218</v>
      </c>
      <c r="AX4" s="443">
        <f t="shared" si="0"/>
        <v>0</v>
      </c>
      <c r="AY4" s="443">
        <f t="shared" si="0"/>
        <v>6.7555555555555546</v>
      </c>
      <c r="AZ4" s="443">
        <f t="shared" si="0"/>
        <v>0</v>
      </c>
      <c r="BA4" s="443">
        <f t="shared" si="0"/>
        <v>7.2888888888888896</v>
      </c>
      <c r="BB4" s="443">
        <f t="shared" si="0"/>
        <v>0</v>
      </c>
      <c r="BC4" s="443">
        <f t="shared" si="0"/>
        <v>9.2444444444444436</v>
      </c>
      <c r="BD4" s="443">
        <f t="shared" si="0"/>
        <v>0</v>
      </c>
      <c r="BE4" s="443">
        <f t="shared" si="0"/>
        <v>13.066666666666665</v>
      </c>
      <c r="BF4" s="443">
        <f t="shared" si="0"/>
        <v>0</v>
      </c>
      <c r="BG4" s="443">
        <f t="shared" si="0"/>
        <v>4.8</v>
      </c>
    </row>
    <row r="5" spans="1:74" ht="15.75">
      <c r="A5" s="863" t="s">
        <v>161</v>
      </c>
      <c r="B5" s="863"/>
      <c r="C5" s="863" t="s">
        <v>0</v>
      </c>
      <c r="D5" s="863"/>
      <c r="E5" s="863"/>
      <c r="F5" s="863"/>
      <c r="G5" s="863"/>
      <c r="H5" s="863"/>
      <c r="I5" s="863"/>
      <c r="J5" s="863"/>
      <c r="K5" s="863"/>
      <c r="L5" s="863"/>
      <c r="M5" s="863"/>
      <c r="N5" s="863"/>
      <c r="O5" s="863"/>
      <c r="P5" s="863"/>
      <c r="Q5" s="863"/>
      <c r="R5" s="423"/>
      <c r="S5" s="423"/>
      <c r="T5" s="423"/>
      <c r="U5" s="423"/>
      <c r="V5" s="423"/>
      <c r="W5" s="423"/>
      <c r="X5" s="423"/>
      <c r="Y5" s="423"/>
      <c r="AA5" s="65"/>
    </row>
    <row r="6" spans="1:74" ht="15.75">
      <c r="A6" s="863" t="s">
        <v>162</v>
      </c>
      <c r="B6" s="863"/>
      <c r="C6" s="863" t="s">
        <v>63</v>
      </c>
      <c r="D6" s="863"/>
      <c r="E6" s="863"/>
      <c r="F6" s="863"/>
      <c r="G6" s="863"/>
      <c r="H6" s="863"/>
      <c r="I6" s="863"/>
      <c r="J6" s="863"/>
      <c r="K6" s="863"/>
      <c r="L6" s="863"/>
      <c r="M6" s="863"/>
      <c r="N6" s="863"/>
      <c r="O6" s="863"/>
      <c r="P6" s="863"/>
      <c r="Q6" s="863"/>
      <c r="R6" s="423"/>
      <c r="S6" s="423"/>
      <c r="T6" s="423"/>
      <c r="U6" s="423"/>
      <c r="V6" s="423"/>
      <c r="W6" s="423"/>
      <c r="X6" s="423"/>
      <c r="Y6" s="423"/>
    </row>
    <row r="7" spans="1:74" ht="33.75" customHeight="1">
      <c r="A7" s="868"/>
      <c r="B7" s="869"/>
      <c r="C7" s="869"/>
      <c r="D7" s="869"/>
      <c r="E7" s="870"/>
      <c r="F7" s="872" t="s">
        <v>11</v>
      </c>
      <c r="G7" s="873"/>
      <c r="H7" s="868" t="s">
        <v>156</v>
      </c>
      <c r="I7" s="869"/>
      <c r="J7" s="869"/>
      <c r="K7" s="869"/>
      <c r="L7" s="869"/>
      <c r="M7" s="869"/>
      <c r="N7" s="869"/>
      <c r="O7" s="869"/>
      <c r="P7" s="869"/>
      <c r="Q7" s="870"/>
      <c r="R7" s="868" t="s">
        <v>60</v>
      </c>
      <c r="S7" s="869"/>
      <c r="T7" s="869"/>
      <c r="U7" s="870"/>
      <c r="V7" s="868" t="s">
        <v>6</v>
      </c>
      <c r="W7" s="869"/>
      <c r="X7" s="869"/>
      <c r="Y7" s="870"/>
      <c r="Z7" s="866" t="s">
        <v>184</v>
      </c>
      <c r="AA7" s="867"/>
      <c r="AB7" s="866" t="s">
        <v>185</v>
      </c>
      <c r="AC7" s="867"/>
      <c r="AD7" s="866" t="s">
        <v>186</v>
      </c>
      <c r="AE7" s="867"/>
      <c r="AF7" s="866" t="s">
        <v>187</v>
      </c>
      <c r="AG7" s="867"/>
      <c r="AH7" s="866" t="s">
        <v>188</v>
      </c>
      <c r="AI7" s="867"/>
      <c r="AJ7" s="866" t="s">
        <v>189</v>
      </c>
      <c r="AK7" s="867"/>
      <c r="AL7" s="866" t="s">
        <v>190</v>
      </c>
      <c r="AM7" s="867"/>
      <c r="AN7" s="866" t="s">
        <v>191</v>
      </c>
      <c r="AO7" s="867"/>
      <c r="AP7" s="866" t="s">
        <v>192</v>
      </c>
      <c r="AQ7" s="867"/>
      <c r="AR7" s="866" t="s">
        <v>193</v>
      </c>
      <c r="AS7" s="867"/>
      <c r="AT7" s="866" t="s">
        <v>194</v>
      </c>
      <c r="AU7" s="867"/>
      <c r="AV7" s="866" t="s">
        <v>195</v>
      </c>
      <c r="AW7" s="867"/>
      <c r="AX7" s="866" t="s">
        <v>196</v>
      </c>
      <c r="AY7" s="867"/>
      <c r="AZ7" s="866" t="s">
        <v>197</v>
      </c>
      <c r="BA7" s="867"/>
      <c r="BB7" s="866" t="s">
        <v>198</v>
      </c>
      <c r="BC7" s="867"/>
      <c r="BD7" s="866" t="s">
        <v>199</v>
      </c>
      <c r="BE7" s="867"/>
      <c r="BF7" s="864" t="s">
        <v>200</v>
      </c>
      <c r="BG7" s="864"/>
      <c r="BH7" s="865" t="s">
        <v>201</v>
      </c>
      <c r="BI7" s="865"/>
      <c r="BJ7" s="865" t="s">
        <v>17</v>
      </c>
      <c r="BK7" s="865"/>
      <c r="BL7" s="32" t="s">
        <v>223</v>
      </c>
      <c r="BN7" s="871" t="s">
        <v>234</v>
      </c>
      <c r="BO7" s="871"/>
      <c r="BP7" s="871"/>
      <c r="BQ7" s="871"/>
      <c r="BR7" s="871"/>
      <c r="BS7" s="871" t="s">
        <v>235</v>
      </c>
      <c r="BT7" s="871"/>
      <c r="BU7" s="871"/>
      <c r="BV7" s="871" t="s">
        <v>17</v>
      </c>
    </row>
    <row r="8" spans="1:74" ht="53.25" customHeight="1">
      <c r="A8" s="137" t="s">
        <v>41</v>
      </c>
      <c r="B8" s="137" t="s">
        <v>20</v>
      </c>
      <c r="C8" s="425" t="s">
        <v>12</v>
      </c>
      <c r="D8" s="425" t="s">
        <v>14</v>
      </c>
      <c r="E8" s="424" t="s">
        <v>18</v>
      </c>
      <c r="F8" s="137" t="s">
        <v>19</v>
      </c>
      <c r="G8" s="137" t="s">
        <v>15</v>
      </c>
      <c r="H8" s="425" t="s">
        <v>204</v>
      </c>
      <c r="I8" s="425" t="s">
        <v>205</v>
      </c>
      <c r="J8" s="425" t="s">
        <v>206</v>
      </c>
      <c r="K8" s="425" t="s">
        <v>207</v>
      </c>
      <c r="L8" s="425" t="s">
        <v>208</v>
      </c>
      <c r="M8" s="425" t="s">
        <v>209</v>
      </c>
      <c r="N8" s="425" t="s">
        <v>210</v>
      </c>
      <c r="O8" s="425" t="s">
        <v>211</v>
      </c>
      <c r="P8" s="425" t="s">
        <v>212</v>
      </c>
      <c r="Q8" s="425" t="s">
        <v>818</v>
      </c>
      <c r="R8" s="425" t="s">
        <v>7</v>
      </c>
      <c r="S8" s="425" t="s">
        <v>8</v>
      </c>
      <c r="T8" s="425" t="s">
        <v>9</v>
      </c>
      <c r="U8" s="425" t="s">
        <v>10</v>
      </c>
      <c r="V8" s="425" t="s">
        <v>7</v>
      </c>
      <c r="W8" s="425" t="s">
        <v>8</v>
      </c>
      <c r="X8" s="425" t="s">
        <v>9</v>
      </c>
      <c r="Y8" s="425" t="s">
        <v>10</v>
      </c>
      <c r="Z8" s="425" t="s">
        <v>14</v>
      </c>
      <c r="AA8" s="425" t="s">
        <v>15</v>
      </c>
      <c r="AB8" s="425" t="s">
        <v>14</v>
      </c>
      <c r="AC8" s="425" t="s">
        <v>15</v>
      </c>
      <c r="AD8" s="425" t="s">
        <v>14</v>
      </c>
      <c r="AE8" s="425" t="s">
        <v>15</v>
      </c>
      <c r="AF8" s="425" t="s">
        <v>14</v>
      </c>
      <c r="AG8" s="425" t="s">
        <v>15</v>
      </c>
      <c r="AH8" s="425" t="s">
        <v>14</v>
      </c>
      <c r="AI8" s="425" t="s">
        <v>15</v>
      </c>
      <c r="AJ8" s="425" t="s">
        <v>14</v>
      </c>
      <c r="AK8" s="425" t="s">
        <v>15</v>
      </c>
      <c r="AL8" s="425" t="s">
        <v>14</v>
      </c>
      <c r="AM8" s="425" t="s">
        <v>15</v>
      </c>
      <c r="AN8" s="425" t="s">
        <v>14</v>
      </c>
      <c r="AO8" s="425" t="s">
        <v>15</v>
      </c>
      <c r="AP8" s="425" t="s">
        <v>14</v>
      </c>
      <c r="AQ8" s="425" t="s">
        <v>15</v>
      </c>
      <c r="AR8" s="425" t="s">
        <v>14</v>
      </c>
      <c r="AS8" s="425" t="s">
        <v>15</v>
      </c>
      <c r="AT8" s="425" t="s">
        <v>14</v>
      </c>
      <c r="AU8" s="425" t="s">
        <v>15</v>
      </c>
      <c r="AV8" s="425" t="s">
        <v>14</v>
      </c>
      <c r="AW8" s="425" t="s">
        <v>15</v>
      </c>
      <c r="AX8" s="425" t="s">
        <v>14</v>
      </c>
      <c r="AY8" s="425" t="s">
        <v>15</v>
      </c>
      <c r="AZ8" s="425" t="s">
        <v>14</v>
      </c>
      <c r="BA8" s="425" t="s">
        <v>15</v>
      </c>
      <c r="BB8" s="425" t="s">
        <v>14</v>
      </c>
      <c r="BC8" s="425" t="s">
        <v>15</v>
      </c>
      <c r="BD8" s="425" t="s">
        <v>14</v>
      </c>
      <c r="BE8" s="425" t="s">
        <v>15</v>
      </c>
      <c r="BF8" s="425" t="s">
        <v>14</v>
      </c>
      <c r="BG8" s="425" t="s">
        <v>15</v>
      </c>
      <c r="BH8" s="425" t="s">
        <v>14</v>
      </c>
      <c r="BI8" s="425" t="s">
        <v>15</v>
      </c>
      <c r="BJ8" s="425" t="s">
        <v>14</v>
      </c>
      <c r="BK8" s="425" t="s">
        <v>15</v>
      </c>
      <c r="BL8" s="426"/>
      <c r="BN8" s="238" t="s">
        <v>225</v>
      </c>
      <c r="BO8" s="239" t="s">
        <v>226</v>
      </c>
      <c r="BP8" s="239" t="s">
        <v>227</v>
      </c>
      <c r="BQ8" s="238" t="s">
        <v>228</v>
      </c>
      <c r="BR8" s="239" t="s">
        <v>229</v>
      </c>
      <c r="BS8" s="239" t="s">
        <v>230</v>
      </c>
      <c r="BT8" s="239" t="s">
        <v>231</v>
      </c>
      <c r="BU8" s="239" t="s">
        <v>232</v>
      </c>
      <c r="BV8" s="871"/>
    </row>
    <row r="9" spans="1:74" ht="30.75" customHeight="1">
      <c r="A9" s="860" t="s">
        <v>59</v>
      </c>
      <c r="B9" s="444"/>
      <c r="C9" s="427" t="s">
        <v>327</v>
      </c>
      <c r="D9" s="445"/>
      <c r="E9" s="132"/>
      <c r="F9" s="445"/>
      <c r="G9" s="6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32"/>
      <c r="S9" s="32"/>
      <c r="T9" s="32"/>
      <c r="U9" s="32"/>
      <c r="V9" s="32"/>
      <c r="W9" s="32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445"/>
      <c r="BN9" s="66"/>
      <c r="BO9" s="66"/>
      <c r="BP9" s="66"/>
      <c r="BQ9" s="66"/>
      <c r="BR9" s="66"/>
      <c r="BS9" s="66"/>
      <c r="BT9" s="66"/>
      <c r="BU9" s="66"/>
      <c r="BV9" s="429">
        <f>BR9+BU9</f>
        <v>0</v>
      </c>
    </row>
    <row r="10" spans="1:74" s="423" customFormat="1" ht="25.35" customHeight="1">
      <c r="A10" s="861"/>
      <c r="B10" s="446" t="s">
        <v>743</v>
      </c>
      <c r="C10" s="427" t="s">
        <v>493</v>
      </c>
      <c r="D10" s="447" t="s">
        <v>64</v>
      </c>
      <c r="E10" s="430">
        <v>6300000</v>
      </c>
      <c r="F10" s="448">
        <f>BJ10</f>
        <v>17</v>
      </c>
      <c r="G10" s="32">
        <f>BK10</f>
        <v>110352000</v>
      </c>
      <c r="H10" s="32">
        <f>G10*0.5</f>
        <v>55176000</v>
      </c>
      <c r="I10" s="32">
        <f>G10*0.5</f>
        <v>55176000</v>
      </c>
      <c r="J10" s="32"/>
      <c r="K10" s="32"/>
      <c r="L10" s="32"/>
      <c r="M10" s="32"/>
      <c r="N10" s="32"/>
      <c r="O10" s="32"/>
      <c r="P10" s="32"/>
      <c r="Q10" s="32"/>
      <c r="R10" s="32">
        <v>4</v>
      </c>
      <c r="S10" s="32">
        <v>4</v>
      </c>
      <c r="T10" s="32">
        <v>4</v>
      </c>
      <c r="U10" s="32">
        <v>5</v>
      </c>
      <c r="V10" s="32">
        <f>R10*E10</f>
        <v>25200000</v>
      </c>
      <c r="W10" s="32">
        <f>S10*E10</f>
        <v>25200000</v>
      </c>
      <c r="X10" s="32">
        <f>T10*E10</f>
        <v>25200000</v>
      </c>
      <c r="Y10" s="32">
        <f>U10*E10+3000000</f>
        <v>34500000</v>
      </c>
      <c r="Z10" s="32">
        <v>1</v>
      </c>
      <c r="AA10" s="32">
        <f>Z10*E10</f>
        <v>6300000</v>
      </c>
      <c r="AB10" s="32">
        <v>1</v>
      </c>
      <c r="AC10" s="32">
        <f>AB10*E10</f>
        <v>6300000</v>
      </c>
      <c r="AD10" s="32">
        <v>1</v>
      </c>
      <c r="AE10" s="32">
        <f>AD10*E10</f>
        <v>6300000</v>
      </c>
      <c r="AF10" s="484">
        <v>1</v>
      </c>
      <c r="AG10" s="484">
        <v>8052000</v>
      </c>
      <c r="AH10" s="32">
        <v>1</v>
      </c>
      <c r="AI10" s="32">
        <f>AH10*E10</f>
        <v>6300000</v>
      </c>
      <c r="AJ10" s="32">
        <v>1</v>
      </c>
      <c r="AK10" s="32">
        <f>AJ10*E10</f>
        <v>6300000</v>
      </c>
      <c r="AL10" s="32">
        <v>1</v>
      </c>
      <c r="AM10" s="32">
        <f>AL10*E10</f>
        <v>6300000</v>
      </c>
      <c r="AN10" s="32">
        <v>1</v>
      </c>
      <c r="AO10" s="32">
        <f>AN10*E10</f>
        <v>6300000</v>
      </c>
      <c r="AP10" s="484">
        <v>1</v>
      </c>
      <c r="AQ10" s="484">
        <f>(AP10*E10)-1500000</f>
        <v>4800000</v>
      </c>
      <c r="AR10" s="32">
        <v>1</v>
      </c>
      <c r="AS10" s="32">
        <f>AR10*E10</f>
        <v>6300000</v>
      </c>
      <c r="AT10" s="32">
        <v>1</v>
      </c>
      <c r="AU10" s="32">
        <f>AT10*E10</f>
        <v>6300000</v>
      </c>
      <c r="AV10" s="32">
        <v>1</v>
      </c>
      <c r="AW10" s="32">
        <f>AV10*E10</f>
        <v>6300000</v>
      </c>
      <c r="AX10" s="32">
        <v>1</v>
      </c>
      <c r="AY10" s="32">
        <f>AX10*E10</f>
        <v>6300000</v>
      </c>
      <c r="AZ10" s="32">
        <v>1</v>
      </c>
      <c r="BA10" s="32">
        <f>AZ10*E10</f>
        <v>6300000</v>
      </c>
      <c r="BB10" s="32">
        <v>1</v>
      </c>
      <c r="BC10" s="32">
        <f>BB10*E10</f>
        <v>6300000</v>
      </c>
      <c r="BD10" s="32">
        <v>1</v>
      </c>
      <c r="BE10" s="32">
        <f>BD10*E10+3000000</f>
        <v>9300000</v>
      </c>
      <c r="BF10" s="32">
        <v>1</v>
      </c>
      <c r="BG10" s="32">
        <f>BF10*E10</f>
        <v>6300000</v>
      </c>
      <c r="BH10" s="431"/>
      <c r="BI10" s="32">
        <f>BH10*E10</f>
        <v>0</v>
      </c>
      <c r="BJ10" s="32">
        <f>Z10+AB10+AD10+AF10+AH10+AJ10+AL10+AN10+AP10+AR10+AT10+AV10+AX10+AZ10+BB10+BD10+BF10+BH10</f>
        <v>17</v>
      </c>
      <c r="BK10" s="32">
        <f>AA10+AC10+AE10+AG10+AI10+AK10+AM10+AO10+AQ10+AS10+AU10+AW10+AY10+BA10+BC10+BE10+BG10+BI10</f>
        <v>110352000</v>
      </c>
      <c r="BL10" s="447" t="s">
        <v>218</v>
      </c>
      <c r="BN10" s="432"/>
      <c r="BO10" s="432"/>
      <c r="BP10" s="66">
        <f>G10</f>
        <v>110352000</v>
      </c>
      <c r="BQ10" s="66"/>
      <c r="BR10" s="66">
        <f>BN10+BO10+BP10+BQ10</f>
        <v>110352000</v>
      </c>
      <c r="BS10" s="66"/>
      <c r="BT10" s="66"/>
      <c r="BU10" s="66">
        <f>BS10+BT10</f>
        <v>0</v>
      </c>
      <c r="BV10" s="433">
        <f t="shared" ref="BV10:BV33" si="1">BR10+BU10</f>
        <v>110352000</v>
      </c>
    </row>
    <row r="11" spans="1:74" s="423" customFormat="1" ht="15.75">
      <c r="A11" s="861"/>
      <c r="B11" s="444"/>
      <c r="C11" s="427" t="s">
        <v>494</v>
      </c>
      <c r="D11" s="445"/>
      <c r="E11" s="132"/>
      <c r="F11" s="445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445"/>
      <c r="BN11" s="434"/>
      <c r="BO11" s="434"/>
      <c r="BP11" s="434"/>
      <c r="BQ11" s="434"/>
      <c r="BR11" s="434"/>
      <c r="BS11" s="434"/>
      <c r="BT11" s="434"/>
      <c r="BU11" s="434"/>
      <c r="BV11" s="434"/>
    </row>
    <row r="12" spans="1:74" s="487" customFormat="1" ht="32.25" customHeight="1">
      <c r="A12" s="861"/>
      <c r="B12" s="478" t="s">
        <v>744</v>
      </c>
      <c r="C12" s="479" t="s">
        <v>495</v>
      </c>
      <c r="D12" s="480" t="s">
        <v>16</v>
      </c>
      <c r="E12" s="481">
        <v>500000</v>
      </c>
      <c r="F12" s="482">
        <f>BJ12</f>
        <v>1</v>
      </c>
      <c r="G12" s="483">
        <f>E12*F12</f>
        <v>500000</v>
      </c>
      <c r="H12" s="483">
        <f>G12*0.2</f>
        <v>100000</v>
      </c>
      <c r="I12" s="483">
        <f>G12*0.8</f>
        <v>400000</v>
      </c>
      <c r="J12" s="483"/>
      <c r="K12" s="483"/>
      <c r="L12" s="483"/>
      <c r="M12" s="483"/>
      <c r="N12" s="483"/>
      <c r="O12" s="484"/>
      <c r="P12" s="484"/>
      <c r="Q12" s="484"/>
      <c r="R12" s="483">
        <f>F12*0.25</f>
        <v>0.25</v>
      </c>
      <c r="S12" s="483">
        <f>F12*0.25</f>
        <v>0.25</v>
      </c>
      <c r="T12" s="483">
        <f>F12*0.25</f>
        <v>0.25</v>
      </c>
      <c r="U12" s="483">
        <f>F12*0.25</f>
        <v>0.25</v>
      </c>
      <c r="V12" s="483">
        <f>R12*E12</f>
        <v>125000</v>
      </c>
      <c r="W12" s="483">
        <f>S12*E12</f>
        <v>125000</v>
      </c>
      <c r="X12" s="485">
        <f>T12*E12</f>
        <v>125000</v>
      </c>
      <c r="Y12" s="485">
        <f>U12*E12</f>
        <v>125000</v>
      </c>
      <c r="Z12" s="483">
        <f>SUM(Z11)</f>
        <v>0</v>
      </c>
      <c r="AA12" s="483">
        <f>Z12*E12</f>
        <v>0</v>
      </c>
      <c r="AB12" s="483"/>
      <c r="AC12" s="483">
        <f>AB12*E12</f>
        <v>0</v>
      </c>
      <c r="AD12" s="483"/>
      <c r="AE12" s="483">
        <f>AD12*E12</f>
        <v>0</v>
      </c>
      <c r="AF12" s="483"/>
      <c r="AG12" s="483">
        <f>AF12*E12</f>
        <v>0</v>
      </c>
      <c r="AH12" s="483"/>
      <c r="AI12" s="483">
        <f>AH12*E12</f>
        <v>0</v>
      </c>
      <c r="AJ12" s="483"/>
      <c r="AK12" s="483">
        <f>AJ12*E12</f>
        <v>0</v>
      </c>
      <c r="AL12" s="483"/>
      <c r="AM12" s="483">
        <f>AL12*E12</f>
        <v>0</v>
      </c>
      <c r="AN12" s="483"/>
      <c r="AO12" s="483">
        <f>AN12*E12</f>
        <v>0</v>
      </c>
      <c r="AP12" s="483"/>
      <c r="AQ12" s="483">
        <f>AP12*E12</f>
        <v>0</v>
      </c>
      <c r="AR12" s="483"/>
      <c r="AS12" s="483">
        <f>AR12*E12</f>
        <v>0</v>
      </c>
      <c r="AT12" s="483"/>
      <c r="AU12" s="483">
        <f>AT12*E12</f>
        <v>0</v>
      </c>
      <c r="AV12" s="483"/>
      <c r="AW12" s="483">
        <f>AV12*E12</f>
        <v>0</v>
      </c>
      <c r="AX12" s="483"/>
      <c r="AY12" s="483">
        <f>AX12*E12</f>
        <v>0</v>
      </c>
      <c r="AZ12" s="483"/>
      <c r="BA12" s="483">
        <f>AZ12*E12</f>
        <v>0</v>
      </c>
      <c r="BB12" s="483"/>
      <c r="BC12" s="483">
        <f>BB12*E12</f>
        <v>0</v>
      </c>
      <c r="BD12" s="483"/>
      <c r="BE12" s="483">
        <f>BD12*E12</f>
        <v>0</v>
      </c>
      <c r="BF12" s="483"/>
      <c r="BG12" s="483">
        <f>BF12*E12</f>
        <v>0</v>
      </c>
      <c r="BH12" s="486">
        <v>1</v>
      </c>
      <c r="BI12" s="483">
        <f t="shared" ref="BI12:BI48" si="2">BH12*E12</f>
        <v>500000</v>
      </c>
      <c r="BJ12" s="483">
        <f t="shared" ref="BJ12:BK14" si="3">Z12+AB12+AD12+AF12+AH12+AJ12+AL12+AN12+AP12+AR12+AT12+AV12+AX12+AZ12+BB12+BD12+BF12+BH12</f>
        <v>1</v>
      </c>
      <c r="BK12" s="483">
        <f t="shared" si="3"/>
        <v>500000</v>
      </c>
      <c r="BL12" s="480" t="s">
        <v>216</v>
      </c>
      <c r="BN12" s="488"/>
      <c r="BO12" s="488">
        <f>BK12</f>
        <v>500000</v>
      </c>
      <c r="BP12" s="488"/>
      <c r="BQ12" s="488"/>
      <c r="BR12" s="488">
        <f>BN12+BO12+BP12+BQ12</f>
        <v>500000</v>
      </c>
      <c r="BS12" s="488"/>
      <c r="BT12" s="488"/>
      <c r="BU12" s="488"/>
      <c r="BV12" s="489">
        <f t="shared" si="1"/>
        <v>500000</v>
      </c>
    </row>
    <row r="13" spans="1:74" s="466" customFormat="1" ht="48" customHeight="1">
      <c r="A13" s="861"/>
      <c r="B13" s="451" t="s">
        <v>745</v>
      </c>
      <c r="C13" s="131" t="s">
        <v>496</v>
      </c>
      <c r="D13" s="445" t="s">
        <v>66</v>
      </c>
      <c r="E13" s="132">
        <v>700</v>
      </c>
      <c r="F13" s="450">
        <f>BJ13</f>
        <v>0</v>
      </c>
      <c r="G13" s="6">
        <f>E13*F13</f>
        <v>0</v>
      </c>
      <c r="H13" s="6">
        <f>G13*0.2</f>
        <v>0</v>
      </c>
      <c r="I13" s="6">
        <f>G13*0.8</f>
        <v>0</v>
      </c>
      <c r="J13" s="6"/>
      <c r="K13" s="6"/>
      <c r="L13" s="6"/>
      <c r="M13" s="6"/>
      <c r="N13" s="6"/>
      <c r="O13" s="6"/>
      <c r="P13" s="6"/>
      <c r="Q13" s="6"/>
      <c r="R13" s="6">
        <f>F13*0.25</f>
        <v>0</v>
      </c>
      <c r="S13" s="30">
        <f>F13*0.25</f>
        <v>0</v>
      </c>
      <c r="T13" s="30">
        <f>F13*0.25</f>
        <v>0</v>
      </c>
      <c r="U13" s="30">
        <f>F13*0.25</f>
        <v>0</v>
      </c>
      <c r="V13" s="6">
        <f>R13*E13</f>
        <v>0</v>
      </c>
      <c r="W13" s="6">
        <f>S13*E13</f>
        <v>0</v>
      </c>
      <c r="X13" s="6">
        <f>T13*E13</f>
        <v>0</v>
      </c>
      <c r="Y13" s="6">
        <f>U13*E13</f>
        <v>0</v>
      </c>
      <c r="Z13" s="6">
        <f>SUM(Z12)</f>
        <v>0</v>
      </c>
      <c r="AA13" s="6">
        <f>Z13*E13</f>
        <v>0</v>
      </c>
      <c r="AB13" s="6"/>
      <c r="AC13" s="6">
        <f>AB13*E13</f>
        <v>0</v>
      </c>
      <c r="AD13" s="6"/>
      <c r="AE13" s="6">
        <f>AD13*E13</f>
        <v>0</v>
      </c>
      <c r="AF13" s="6"/>
      <c r="AG13" s="6">
        <f>AF13*E13</f>
        <v>0</v>
      </c>
      <c r="AH13" s="6"/>
      <c r="AI13" s="6">
        <f>AH13*E13</f>
        <v>0</v>
      </c>
      <c r="AJ13" s="6"/>
      <c r="AK13" s="6">
        <f>AJ13*E13</f>
        <v>0</v>
      </c>
      <c r="AL13" s="6"/>
      <c r="AM13" s="6">
        <f>AL13*E13</f>
        <v>0</v>
      </c>
      <c r="AN13" s="6"/>
      <c r="AO13" s="6">
        <f>AN13*E13</f>
        <v>0</v>
      </c>
      <c r="AP13" s="6"/>
      <c r="AQ13" s="6">
        <f>AP13*E13</f>
        <v>0</v>
      </c>
      <c r="AR13" s="6"/>
      <c r="AS13" s="6">
        <f>AR13*E13</f>
        <v>0</v>
      </c>
      <c r="AT13" s="6"/>
      <c r="AU13" s="6">
        <f>AT13*E13</f>
        <v>0</v>
      </c>
      <c r="AV13" s="6"/>
      <c r="AW13" s="6">
        <f>AV13*E13</f>
        <v>0</v>
      </c>
      <c r="AX13" s="6"/>
      <c r="AY13" s="6">
        <f>AX13*E13</f>
        <v>0</v>
      </c>
      <c r="AZ13" s="6"/>
      <c r="BA13" s="6">
        <f>AZ13*E13</f>
        <v>0</v>
      </c>
      <c r="BB13" s="6"/>
      <c r="BC13" s="6">
        <f>BB13*E13</f>
        <v>0</v>
      </c>
      <c r="BD13" s="6"/>
      <c r="BE13" s="6">
        <f>BD13*E13</f>
        <v>0</v>
      </c>
      <c r="BF13" s="6"/>
      <c r="BG13" s="6">
        <f>BF13*E13</f>
        <v>0</v>
      </c>
      <c r="BH13" s="30">
        <v>0</v>
      </c>
      <c r="BI13" s="6">
        <f t="shared" si="2"/>
        <v>0</v>
      </c>
      <c r="BJ13" s="6">
        <f t="shared" si="3"/>
        <v>0</v>
      </c>
      <c r="BK13" s="6">
        <f t="shared" si="3"/>
        <v>0</v>
      </c>
      <c r="BL13" s="445" t="s">
        <v>512</v>
      </c>
      <c r="BN13" s="66"/>
      <c r="BO13" s="66">
        <f>BK13</f>
        <v>0</v>
      </c>
      <c r="BP13" s="66"/>
      <c r="BQ13" s="66"/>
      <c r="BR13" s="66">
        <f>BN13+BO13+BP13+BQ13</f>
        <v>0</v>
      </c>
      <c r="BS13" s="66"/>
      <c r="BT13" s="66"/>
      <c r="BU13" s="66">
        <f>BS13+BT13</f>
        <v>0</v>
      </c>
      <c r="BV13" s="429">
        <f t="shared" si="1"/>
        <v>0</v>
      </c>
    </row>
    <row r="14" spans="1:74" s="487" customFormat="1" ht="48" customHeight="1">
      <c r="A14" s="861"/>
      <c r="B14" s="490" t="s">
        <v>746</v>
      </c>
      <c r="C14" s="479" t="s">
        <v>697</v>
      </c>
      <c r="D14" s="480" t="s">
        <v>16</v>
      </c>
      <c r="E14" s="481">
        <v>2500000</v>
      </c>
      <c r="F14" s="482">
        <f>BJ14</f>
        <v>1</v>
      </c>
      <c r="G14" s="483">
        <f>F14*E14</f>
        <v>2500000</v>
      </c>
      <c r="H14" s="483">
        <f>G14*0.2</f>
        <v>500000</v>
      </c>
      <c r="I14" s="483">
        <f>G14*0.8</f>
        <v>2000000</v>
      </c>
      <c r="J14" s="483"/>
      <c r="K14" s="483"/>
      <c r="L14" s="483"/>
      <c r="M14" s="483"/>
      <c r="N14" s="483"/>
      <c r="O14" s="483"/>
      <c r="P14" s="483"/>
      <c r="Q14" s="483"/>
      <c r="R14" s="483">
        <f>F14*0.25</f>
        <v>0.25</v>
      </c>
      <c r="S14" s="486">
        <f>F14*0.25</f>
        <v>0.25</v>
      </c>
      <c r="T14" s="486">
        <f>F14*0.25</f>
        <v>0.25</v>
      </c>
      <c r="U14" s="486">
        <f>F14*0.25</f>
        <v>0.25</v>
      </c>
      <c r="V14" s="483">
        <f>R14*E14</f>
        <v>625000</v>
      </c>
      <c r="W14" s="483">
        <f>S14*E14</f>
        <v>625000</v>
      </c>
      <c r="X14" s="483">
        <f>T14*E14</f>
        <v>625000</v>
      </c>
      <c r="Y14" s="483">
        <f>U14*E14</f>
        <v>625000</v>
      </c>
      <c r="Z14" s="483">
        <f>SUM(Z13)</f>
        <v>0</v>
      </c>
      <c r="AA14" s="483">
        <f>Z14*E14</f>
        <v>0</v>
      </c>
      <c r="AB14" s="483"/>
      <c r="AC14" s="483">
        <f>AB14*E14</f>
        <v>0</v>
      </c>
      <c r="AD14" s="483"/>
      <c r="AE14" s="483">
        <f>AD14*E14</f>
        <v>0</v>
      </c>
      <c r="AF14" s="483"/>
      <c r="AG14" s="483">
        <f>AF14*E14</f>
        <v>0</v>
      </c>
      <c r="AH14" s="483"/>
      <c r="AI14" s="483">
        <f>AH14*E14</f>
        <v>0</v>
      </c>
      <c r="AJ14" s="483"/>
      <c r="AK14" s="483">
        <f>AJ14*E14</f>
        <v>0</v>
      </c>
      <c r="AL14" s="483"/>
      <c r="AM14" s="483">
        <f>AL14*E14</f>
        <v>0</v>
      </c>
      <c r="AN14" s="483"/>
      <c r="AO14" s="483">
        <f>AN14*E14</f>
        <v>0</v>
      </c>
      <c r="AP14" s="483"/>
      <c r="AQ14" s="483">
        <f>AP14*E14</f>
        <v>0</v>
      </c>
      <c r="AR14" s="483"/>
      <c r="AS14" s="483">
        <f>AR14*E14</f>
        <v>0</v>
      </c>
      <c r="AT14" s="483"/>
      <c r="AU14" s="483">
        <f>AT14*E14</f>
        <v>0</v>
      </c>
      <c r="AV14" s="483">
        <v>0</v>
      </c>
      <c r="AW14" s="483">
        <f>AV14*E14</f>
        <v>0</v>
      </c>
      <c r="AX14" s="483"/>
      <c r="AY14" s="483">
        <f>AX14*E14</f>
        <v>0</v>
      </c>
      <c r="AZ14" s="483"/>
      <c r="BA14" s="483">
        <f>AZ14*E14</f>
        <v>0</v>
      </c>
      <c r="BB14" s="483"/>
      <c r="BC14" s="483">
        <f>BB14*E14</f>
        <v>0</v>
      </c>
      <c r="BD14" s="483"/>
      <c r="BE14" s="483">
        <f>BD14*E14</f>
        <v>0</v>
      </c>
      <c r="BF14" s="483"/>
      <c r="BG14" s="483">
        <f>BF14*E14</f>
        <v>0</v>
      </c>
      <c r="BH14" s="486">
        <v>1</v>
      </c>
      <c r="BI14" s="483">
        <f t="shared" si="2"/>
        <v>2500000</v>
      </c>
      <c r="BJ14" s="483">
        <f t="shared" si="3"/>
        <v>1</v>
      </c>
      <c r="BK14" s="483">
        <f t="shared" si="3"/>
        <v>2500000</v>
      </c>
      <c r="BL14" s="480" t="s">
        <v>512</v>
      </c>
      <c r="BN14" s="488"/>
      <c r="BO14" s="488">
        <f>BK14</f>
        <v>2500000</v>
      </c>
      <c r="BP14" s="488"/>
      <c r="BQ14" s="488"/>
      <c r="BR14" s="488">
        <f>BN14+BO14+BP14+BQ14</f>
        <v>2500000</v>
      </c>
      <c r="BS14" s="488"/>
      <c r="BT14" s="488"/>
      <c r="BU14" s="488"/>
      <c r="BV14" s="489">
        <f t="shared" si="1"/>
        <v>2500000</v>
      </c>
    </row>
    <row r="15" spans="1:74" s="423" customFormat="1" ht="15.75">
      <c r="A15" s="861"/>
      <c r="B15" s="449"/>
      <c r="C15" s="427" t="s">
        <v>497</v>
      </c>
      <c r="D15" s="447" t="s">
        <v>115</v>
      </c>
      <c r="E15" s="436" t="s">
        <v>115</v>
      </c>
      <c r="F15" s="32">
        <f t="shared" ref="F15:Y15" si="4">SUM(F12:F14)</f>
        <v>2</v>
      </c>
      <c r="G15" s="32">
        <f t="shared" si="4"/>
        <v>3000000</v>
      </c>
      <c r="H15" s="32">
        <f t="shared" si="4"/>
        <v>600000</v>
      </c>
      <c r="I15" s="32">
        <f t="shared" si="4"/>
        <v>2400000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32">
        <f t="shared" si="4"/>
        <v>0</v>
      </c>
      <c r="P15" s="32">
        <f t="shared" si="4"/>
        <v>0</v>
      </c>
      <c r="Q15" s="32">
        <f t="shared" si="4"/>
        <v>0</v>
      </c>
      <c r="R15" s="32">
        <f t="shared" si="4"/>
        <v>0.5</v>
      </c>
      <c r="S15" s="32">
        <f t="shared" si="4"/>
        <v>0.5</v>
      </c>
      <c r="T15" s="32">
        <f t="shared" si="4"/>
        <v>0.5</v>
      </c>
      <c r="U15" s="32">
        <f t="shared" si="4"/>
        <v>0.5</v>
      </c>
      <c r="V15" s="32">
        <f t="shared" si="4"/>
        <v>750000</v>
      </c>
      <c r="W15" s="32">
        <f t="shared" si="4"/>
        <v>750000</v>
      </c>
      <c r="X15" s="32">
        <f t="shared" si="4"/>
        <v>750000</v>
      </c>
      <c r="Y15" s="32">
        <f t="shared" si="4"/>
        <v>750000</v>
      </c>
      <c r="Z15" s="32">
        <f>SUM(Z12:Z14)</f>
        <v>0</v>
      </c>
      <c r="AA15" s="32">
        <f t="shared" ref="AA15:BV15" si="5">SUM(AA12:AA14)</f>
        <v>0</v>
      </c>
      <c r="AB15" s="32">
        <f t="shared" si="5"/>
        <v>0</v>
      </c>
      <c r="AC15" s="32">
        <f t="shared" si="5"/>
        <v>0</v>
      </c>
      <c r="AD15" s="32">
        <f t="shared" si="5"/>
        <v>0</v>
      </c>
      <c r="AE15" s="32">
        <f t="shared" si="5"/>
        <v>0</v>
      </c>
      <c r="AF15" s="32">
        <f t="shared" si="5"/>
        <v>0</v>
      </c>
      <c r="AG15" s="32">
        <f t="shared" si="5"/>
        <v>0</v>
      </c>
      <c r="AH15" s="32">
        <f t="shared" si="5"/>
        <v>0</v>
      </c>
      <c r="AI15" s="32">
        <f t="shared" si="5"/>
        <v>0</v>
      </c>
      <c r="AJ15" s="32">
        <f t="shared" si="5"/>
        <v>0</v>
      </c>
      <c r="AK15" s="32">
        <f t="shared" si="5"/>
        <v>0</v>
      </c>
      <c r="AL15" s="32">
        <f t="shared" si="5"/>
        <v>0</v>
      </c>
      <c r="AM15" s="32">
        <f t="shared" si="5"/>
        <v>0</v>
      </c>
      <c r="AN15" s="32">
        <f t="shared" si="5"/>
        <v>0</v>
      </c>
      <c r="AO15" s="32">
        <f t="shared" si="5"/>
        <v>0</v>
      </c>
      <c r="AP15" s="32">
        <f t="shared" si="5"/>
        <v>0</v>
      </c>
      <c r="AQ15" s="32">
        <f t="shared" si="5"/>
        <v>0</v>
      </c>
      <c r="AR15" s="32">
        <f t="shared" si="5"/>
        <v>0</v>
      </c>
      <c r="AS15" s="32">
        <f t="shared" si="5"/>
        <v>0</v>
      </c>
      <c r="AT15" s="32">
        <f t="shared" si="5"/>
        <v>0</v>
      </c>
      <c r="AU15" s="32">
        <f t="shared" si="5"/>
        <v>0</v>
      </c>
      <c r="AV15" s="32">
        <f t="shared" si="5"/>
        <v>0</v>
      </c>
      <c r="AW15" s="32">
        <f t="shared" si="5"/>
        <v>0</v>
      </c>
      <c r="AX15" s="32">
        <f t="shared" si="5"/>
        <v>0</v>
      </c>
      <c r="AY15" s="32">
        <f t="shared" si="5"/>
        <v>0</v>
      </c>
      <c r="AZ15" s="32">
        <f t="shared" si="5"/>
        <v>0</v>
      </c>
      <c r="BA15" s="32">
        <f t="shared" si="5"/>
        <v>0</v>
      </c>
      <c r="BB15" s="32">
        <f t="shared" si="5"/>
        <v>0</v>
      </c>
      <c r="BC15" s="32">
        <f t="shared" si="5"/>
        <v>0</v>
      </c>
      <c r="BD15" s="32">
        <f t="shared" si="5"/>
        <v>0</v>
      </c>
      <c r="BE15" s="32">
        <f t="shared" si="5"/>
        <v>0</v>
      </c>
      <c r="BF15" s="32">
        <f t="shared" si="5"/>
        <v>0</v>
      </c>
      <c r="BG15" s="32">
        <f t="shared" si="5"/>
        <v>0</v>
      </c>
      <c r="BH15" s="32">
        <f t="shared" si="5"/>
        <v>2</v>
      </c>
      <c r="BI15" s="32">
        <f t="shared" si="5"/>
        <v>3000000</v>
      </c>
      <c r="BJ15" s="32">
        <f t="shared" si="5"/>
        <v>2</v>
      </c>
      <c r="BK15" s="32">
        <f t="shared" si="5"/>
        <v>3000000</v>
      </c>
      <c r="BL15" s="32">
        <f t="shared" si="5"/>
        <v>0</v>
      </c>
      <c r="BM15" s="32">
        <f t="shared" si="5"/>
        <v>0</v>
      </c>
      <c r="BN15" s="32">
        <f t="shared" si="5"/>
        <v>0</v>
      </c>
      <c r="BO15" s="32">
        <f t="shared" si="5"/>
        <v>3000000</v>
      </c>
      <c r="BP15" s="32">
        <f t="shared" si="5"/>
        <v>0</v>
      </c>
      <c r="BQ15" s="32">
        <f t="shared" si="5"/>
        <v>0</v>
      </c>
      <c r="BR15" s="32">
        <f t="shared" si="5"/>
        <v>3000000</v>
      </c>
      <c r="BS15" s="32">
        <f t="shared" si="5"/>
        <v>0</v>
      </c>
      <c r="BT15" s="32">
        <f t="shared" si="5"/>
        <v>0</v>
      </c>
      <c r="BU15" s="32">
        <f t="shared" si="5"/>
        <v>0</v>
      </c>
      <c r="BV15" s="32">
        <f t="shared" si="5"/>
        <v>3000000</v>
      </c>
    </row>
    <row r="16" spans="1:74" s="423" customFormat="1" ht="33.75" customHeight="1">
      <c r="A16" s="861"/>
      <c r="B16" s="444"/>
      <c r="C16" s="427" t="s">
        <v>634</v>
      </c>
      <c r="D16" s="445"/>
      <c r="E16" s="132"/>
      <c r="F16" s="44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431"/>
      <c r="S16" s="431"/>
      <c r="T16" s="431"/>
      <c r="U16" s="431"/>
      <c r="V16" s="32"/>
      <c r="W16" s="32"/>
      <c r="X16" s="32"/>
      <c r="Y16" s="32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30"/>
      <c r="BI16" s="6"/>
      <c r="BJ16" s="6"/>
      <c r="BK16" s="6"/>
      <c r="BL16" s="445"/>
      <c r="BN16" s="32"/>
      <c r="BO16" s="32"/>
      <c r="BP16" s="32"/>
      <c r="BQ16" s="32"/>
      <c r="BR16" s="32"/>
      <c r="BS16" s="32"/>
      <c r="BT16" s="32"/>
      <c r="BU16" s="32"/>
      <c r="BV16" s="32"/>
    </row>
    <row r="17" spans="1:74" s="467" customFormat="1" ht="49.5" customHeight="1">
      <c r="A17" s="861"/>
      <c r="B17" s="451" t="s">
        <v>748</v>
      </c>
      <c r="C17" s="131" t="s">
        <v>683</v>
      </c>
      <c r="D17" s="445" t="s">
        <v>66</v>
      </c>
      <c r="E17" s="132">
        <v>800</v>
      </c>
      <c r="F17" s="450">
        <f>BJ17</f>
        <v>2838</v>
      </c>
      <c r="G17" s="6">
        <f>E17*F17</f>
        <v>2270400</v>
      </c>
      <c r="H17" s="6">
        <f t="shared" ref="H17:H24" si="6">G17*0.2</f>
        <v>454080</v>
      </c>
      <c r="I17" s="6">
        <f t="shared" ref="I17:I24" si="7">G17*0.8</f>
        <v>1816320</v>
      </c>
      <c r="J17" s="6"/>
      <c r="K17" s="6"/>
      <c r="L17" s="6"/>
      <c r="M17" s="6"/>
      <c r="N17" s="6"/>
      <c r="O17" s="6"/>
      <c r="P17" s="6"/>
      <c r="Q17" s="6"/>
      <c r="R17" s="6">
        <v>0</v>
      </c>
      <c r="S17" s="6">
        <v>0</v>
      </c>
      <c r="T17" s="6">
        <v>0</v>
      </c>
      <c r="U17" s="6">
        <v>671</v>
      </c>
      <c r="V17" s="6">
        <f>R17*E17</f>
        <v>0</v>
      </c>
      <c r="W17" s="6">
        <f>S17*E17</f>
        <v>0</v>
      </c>
      <c r="X17" s="435">
        <f>T17*E17</f>
        <v>0</v>
      </c>
      <c r="Y17" s="435">
        <f>G17</f>
        <v>2270400</v>
      </c>
      <c r="Z17" s="6">
        <v>180</v>
      </c>
      <c r="AA17" s="6">
        <f>Z17*E17</f>
        <v>144000</v>
      </c>
      <c r="AB17" s="6">
        <v>70</v>
      </c>
      <c r="AC17" s="6">
        <f>AB17*E17</f>
        <v>56000</v>
      </c>
      <c r="AD17" s="6">
        <v>200</v>
      </c>
      <c r="AE17" s="6">
        <f>AD17*E17</f>
        <v>160000</v>
      </c>
      <c r="AF17" s="6">
        <v>170</v>
      </c>
      <c r="AG17" s="6">
        <f>AF17*E17</f>
        <v>136000</v>
      </c>
      <c r="AH17" s="483">
        <v>30</v>
      </c>
      <c r="AI17" s="483">
        <f>AH17*E17</f>
        <v>24000</v>
      </c>
      <c r="AJ17" s="6">
        <v>250</v>
      </c>
      <c r="AK17" s="6">
        <f>AJ17*E17</f>
        <v>200000</v>
      </c>
      <c r="AL17" s="6">
        <v>100</v>
      </c>
      <c r="AM17" s="6">
        <f>AL17*E17</f>
        <v>80000</v>
      </c>
      <c r="AN17" s="6">
        <v>350</v>
      </c>
      <c r="AO17" s="6">
        <f>AN17*E17</f>
        <v>280000</v>
      </c>
      <c r="AP17" s="6">
        <f>8*3*2</f>
        <v>48</v>
      </c>
      <c r="AQ17" s="6">
        <f>AP17*E17</f>
        <v>38400</v>
      </c>
      <c r="AR17" s="6">
        <v>100</v>
      </c>
      <c r="AS17" s="6">
        <f>AR17*E17</f>
        <v>80000</v>
      </c>
      <c r="AT17" s="6">
        <v>150</v>
      </c>
      <c r="AU17" s="6">
        <f>AT17*E17</f>
        <v>120000</v>
      </c>
      <c r="AV17" s="6">
        <v>150</v>
      </c>
      <c r="AW17" s="6">
        <f>AV17*E17</f>
        <v>120000</v>
      </c>
      <c r="AX17" s="6">
        <v>200</v>
      </c>
      <c r="AY17" s="6">
        <f>AX17*E17</f>
        <v>160000</v>
      </c>
      <c r="AZ17" s="6">
        <v>200</v>
      </c>
      <c r="BA17" s="6">
        <f>AZ17*E17</f>
        <v>160000</v>
      </c>
      <c r="BB17" s="483">
        <v>50</v>
      </c>
      <c r="BC17" s="6">
        <f>BB17*E17</f>
        <v>40000</v>
      </c>
      <c r="BD17" s="6">
        <v>400</v>
      </c>
      <c r="BE17" s="6">
        <f>BD17*E17</f>
        <v>320000</v>
      </c>
      <c r="BF17" s="6">
        <v>190</v>
      </c>
      <c r="BG17" s="6">
        <f>BF17*E17</f>
        <v>152000</v>
      </c>
      <c r="BH17" s="30"/>
      <c r="BI17" s="6">
        <f t="shared" si="2"/>
        <v>0</v>
      </c>
      <c r="BJ17" s="6">
        <f t="shared" ref="BJ17:BK21" si="8">Z17+AB17+AD17+AF17+AH17+AJ17+AL17+AN17+AP17+AR17+AT17+AV17+AX17+AZ17+BB17+BD17+BF17+BH17</f>
        <v>2838</v>
      </c>
      <c r="BK17" s="6">
        <f t="shared" si="8"/>
        <v>2270400</v>
      </c>
      <c r="BL17" s="445" t="s">
        <v>216</v>
      </c>
      <c r="BN17" s="66"/>
      <c r="BO17" s="66">
        <f>BK17</f>
        <v>2270400</v>
      </c>
      <c r="BP17" s="66"/>
      <c r="BQ17" s="66"/>
      <c r="BR17" s="66">
        <f>BN17+BO17+BP17+BQ17</f>
        <v>2270400</v>
      </c>
      <c r="BS17" s="66"/>
      <c r="BT17" s="66"/>
      <c r="BU17" s="66"/>
      <c r="BV17" s="429">
        <f t="shared" si="1"/>
        <v>2270400</v>
      </c>
    </row>
    <row r="18" spans="1:74" s="487" customFormat="1" ht="35.25" customHeight="1">
      <c r="A18" s="861"/>
      <c r="B18" s="490" t="s">
        <v>749</v>
      </c>
      <c r="C18" s="479" t="s">
        <v>965</v>
      </c>
      <c r="D18" s="480" t="s">
        <v>16</v>
      </c>
      <c r="E18" s="481">
        <v>95000</v>
      </c>
      <c r="F18" s="482">
        <f t="shared" ref="F18:G21" si="9">BJ18</f>
        <v>4</v>
      </c>
      <c r="G18" s="483">
        <f t="shared" si="9"/>
        <v>380000</v>
      </c>
      <c r="H18" s="483">
        <f t="shared" si="6"/>
        <v>76000</v>
      </c>
      <c r="I18" s="483">
        <f t="shared" si="7"/>
        <v>304000</v>
      </c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5"/>
      <c r="Y18" s="485"/>
      <c r="Z18" s="483">
        <v>1</v>
      </c>
      <c r="AA18" s="483">
        <f>Z18*E18</f>
        <v>95000</v>
      </c>
      <c r="AB18" s="483">
        <v>0</v>
      </c>
      <c r="AC18" s="483">
        <f>AB18*E18</f>
        <v>0</v>
      </c>
      <c r="AD18" s="483">
        <v>1</v>
      </c>
      <c r="AE18" s="483">
        <f>AD18*E18</f>
        <v>95000</v>
      </c>
      <c r="AF18" s="483">
        <v>1</v>
      </c>
      <c r="AG18" s="483">
        <f>AF18*E18</f>
        <v>95000</v>
      </c>
      <c r="AH18" s="483">
        <v>0</v>
      </c>
      <c r="AI18" s="483">
        <f>AH18*E18</f>
        <v>0</v>
      </c>
      <c r="AJ18" s="483">
        <v>0</v>
      </c>
      <c r="AK18" s="483">
        <f>AJ18*E18</f>
        <v>0</v>
      </c>
      <c r="AL18" s="483">
        <v>1</v>
      </c>
      <c r="AM18" s="483">
        <f>AL18*E18</f>
        <v>95000</v>
      </c>
      <c r="AN18" s="483">
        <v>0</v>
      </c>
      <c r="AO18" s="483">
        <f>AN18*E18</f>
        <v>0</v>
      </c>
      <c r="AP18" s="483">
        <v>0</v>
      </c>
      <c r="AQ18" s="483">
        <f>AP18*E18</f>
        <v>0</v>
      </c>
      <c r="AR18" s="483">
        <v>0</v>
      </c>
      <c r="AS18" s="483">
        <f>AR18*E18</f>
        <v>0</v>
      </c>
      <c r="AT18" s="483">
        <v>0</v>
      </c>
      <c r="AU18" s="483">
        <f>AT18*E18</f>
        <v>0</v>
      </c>
      <c r="AV18" s="483">
        <v>0</v>
      </c>
      <c r="AW18" s="483">
        <f>AV18*E18</f>
        <v>0</v>
      </c>
      <c r="AX18" s="483">
        <v>0</v>
      </c>
      <c r="AY18" s="483">
        <f>AX18*E18</f>
        <v>0</v>
      </c>
      <c r="AZ18" s="483">
        <v>0</v>
      </c>
      <c r="BA18" s="483">
        <f>AZ18*E18</f>
        <v>0</v>
      </c>
      <c r="BB18" s="483">
        <v>0</v>
      </c>
      <c r="BC18" s="483">
        <f>BB18*E18</f>
        <v>0</v>
      </c>
      <c r="BD18" s="483">
        <v>0</v>
      </c>
      <c r="BE18" s="483">
        <f>BD18*E18</f>
        <v>0</v>
      </c>
      <c r="BF18" s="483">
        <v>0</v>
      </c>
      <c r="BG18" s="483">
        <f>BF18*E18</f>
        <v>0</v>
      </c>
      <c r="BH18" s="486">
        <v>0</v>
      </c>
      <c r="BI18" s="483">
        <f>BH18*E18</f>
        <v>0</v>
      </c>
      <c r="BJ18" s="483">
        <f t="shared" si="8"/>
        <v>4</v>
      </c>
      <c r="BK18" s="483">
        <f t="shared" si="8"/>
        <v>380000</v>
      </c>
      <c r="BL18" s="480" t="s">
        <v>216</v>
      </c>
      <c r="BN18" s="488"/>
      <c r="BO18" s="488"/>
      <c r="BP18" s="488"/>
      <c r="BQ18" s="488"/>
      <c r="BR18" s="488"/>
      <c r="BS18" s="488"/>
      <c r="BT18" s="488"/>
      <c r="BU18" s="488"/>
      <c r="BV18" s="489"/>
    </row>
    <row r="19" spans="1:74" s="487" customFormat="1" ht="32.25" customHeight="1">
      <c r="A19" s="861"/>
      <c r="B19" s="490" t="s">
        <v>750</v>
      </c>
      <c r="C19" s="479" t="s">
        <v>1014</v>
      </c>
      <c r="D19" s="480" t="s">
        <v>514</v>
      </c>
      <c r="E19" s="481">
        <v>300</v>
      </c>
      <c r="F19" s="482">
        <f t="shared" si="9"/>
        <v>3520</v>
      </c>
      <c r="G19" s="483">
        <f t="shared" si="9"/>
        <v>1056000</v>
      </c>
      <c r="H19" s="483">
        <f t="shared" si="6"/>
        <v>211200</v>
      </c>
      <c r="I19" s="483">
        <f t="shared" si="7"/>
        <v>844800</v>
      </c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5"/>
      <c r="Y19" s="485"/>
      <c r="Z19" s="483">
        <f>(9*2+18)*11</f>
        <v>396</v>
      </c>
      <c r="AA19" s="483">
        <f>Z19*E19</f>
        <v>118800</v>
      </c>
      <c r="AB19" s="483">
        <f>(3*2+6)*11</f>
        <v>132</v>
      </c>
      <c r="AC19" s="483">
        <f>AB19*E19</f>
        <v>39600</v>
      </c>
      <c r="AD19" s="483">
        <f>(7*2+14)*11</f>
        <v>308</v>
      </c>
      <c r="AE19" s="483">
        <f>AD19*E19</f>
        <v>92400</v>
      </c>
      <c r="AF19" s="483">
        <f>(12*2+12)*11</f>
        <v>396</v>
      </c>
      <c r="AG19" s="483">
        <f>AF19*E19</f>
        <v>118800</v>
      </c>
      <c r="AH19" s="483">
        <f>(2*2+12)*11</f>
        <v>176</v>
      </c>
      <c r="AI19" s="483">
        <f>AH19*E19</f>
        <v>52800</v>
      </c>
      <c r="AJ19" s="483">
        <f>(1*2+8)*11</f>
        <v>110</v>
      </c>
      <c r="AK19" s="483">
        <f>AJ19*E19</f>
        <v>33000</v>
      </c>
      <c r="AL19" s="483">
        <f>(8*2+16)*11</f>
        <v>352</v>
      </c>
      <c r="AM19" s="483">
        <f>AL19*E19</f>
        <v>105600</v>
      </c>
      <c r="AN19" s="483">
        <f>(2*2+12)*11</f>
        <v>176</v>
      </c>
      <c r="AO19" s="483">
        <f>AN19*E19</f>
        <v>52800</v>
      </c>
      <c r="AP19" s="483">
        <f>(2*2+12)*11</f>
        <v>176</v>
      </c>
      <c r="AQ19" s="483">
        <f>AP19*E19</f>
        <v>52800</v>
      </c>
      <c r="AR19" s="483">
        <f>(3*2+12)*11</f>
        <v>198</v>
      </c>
      <c r="AS19" s="483">
        <f>AR19*E19</f>
        <v>59400</v>
      </c>
      <c r="AT19" s="483">
        <f>(2*2+12)*11</f>
        <v>176</v>
      </c>
      <c r="AU19" s="483">
        <f>AT19*E19</f>
        <v>52800</v>
      </c>
      <c r="AV19" s="483">
        <f>(1*2+8)*11</f>
        <v>110</v>
      </c>
      <c r="AW19" s="483">
        <f>AV19*E19</f>
        <v>33000</v>
      </c>
      <c r="AX19" s="483">
        <f>(2*2+12)*11</f>
        <v>176</v>
      </c>
      <c r="AY19" s="483">
        <f>AX19*E19</f>
        <v>52800</v>
      </c>
      <c r="AZ19" s="483">
        <f>(2*2+12)*11</f>
        <v>176</v>
      </c>
      <c r="BA19" s="483">
        <f>AZ19*E19</f>
        <v>52800</v>
      </c>
      <c r="BB19" s="483">
        <f>(1*2+8)*11</f>
        <v>110</v>
      </c>
      <c r="BC19" s="483">
        <f>BB19*E19</f>
        <v>33000</v>
      </c>
      <c r="BD19" s="483">
        <f>(2*2+12)*11</f>
        <v>176</v>
      </c>
      <c r="BE19" s="483">
        <f>BD19*E19</f>
        <v>52800</v>
      </c>
      <c r="BF19" s="483">
        <f>(2*2+12)*11</f>
        <v>176</v>
      </c>
      <c r="BG19" s="483">
        <f>BF19*E19</f>
        <v>52800</v>
      </c>
      <c r="BH19" s="486">
        <v>0</v>
      </c>
      <c r="BI19" s="483">
        <f>BH19*E19</f>
        <v>0</v>
      </c>
      <c r="BJ19" s="483">
        <f t="shared" si="8"/>
        <v>3520</v>
      </c>
      <c r="BK19" s="483">
        <f t="shared" si="8"/>
        <v>1056000</v>
      </c>
      <c r="BL19" s="480" t="s">
        <v>216</v>
      </c>
      <c r="BN19" s="488"/>
      <c r="BO19" s="488"/>
      <c r="BP19" s="488"/>
      <c r="BQ19" s="488"/>
      <c r="BR19" s="488"/>
      <c r="BS19" s="488"/>
      <c r="BT19" s="488"/>
      <c r="BU19" s="488"/>
      <c r="BV19" s="489"/>
    </row>
    <row r="20" spans="1:74" s="487" customFormat="1" ht="47.25" customHeight="1">
      <c r="A20" s="861"/>
      <c r="B20" s="490" t="s">
        <v>751</v>
      </c>
      <c r="C20" s="479" t="s">
        <v>971</v>
      </c>
      <c r="D20" s="480" t="s">
        <v>514</v>
      </c>
      <c r="E20" s="481">
        <v>0</v>
      </c>
      <c r="F20" s="482">
        <f t="shared" si="9"/>
        <v>114</v>
      </c>
      <c r="G20" s="483">
        <f t="shared" si="9"/>
        <v>576800</v>
      </c>
      <c r="H20" s="483">
        <f t="shared" si="6"/>
        <v>115360</v>
      </c>
      <c r="I20" s="483">
        <f t="shared" si="7"/>
        <v>461440</v>
      </c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5"/>
      <c r="Y20" s="485"/>
      <c r="Z20" s="483">
        <v>0</v>
      </c>
      <c r="AA20" s="483">
        <v>0</v>
      </c>
      <c r="AB20" s="483">
        <v>0</v>
      </c>
      <c r="AC20" s="483">
        <v>0</v>
      </c>
      <c r="AD20" s="483">
        <v>0</v>
      </c>
      <c r="AE20" s="483">
        <v>0</v>
      </c>
      <c r="AF20" s="483">
        <v>1</v>
      </c>
      <c r="AG20" s="483">
        <f>98700+60000</f>
        <v>158700</v>
      </c>
      <c r="AH20" s="483"/>
      <c r="AI20" s="483"/>
      <c r="AJ20" s="483">
        <v>0</v>
      </c>
      <c r="AK20" s="483">
        <v>0</v>
      </c>
      <c r="AL20" s="483"/>
      <c r="AM20" s="483"/>
      <c r="AN20" s="483">
        <v>0</v>
      </c>
      <c r="AO20" s="483">
        <v>0</v>
      </c>
      <c r="AP20" s="483"/>
      <c r="AQ20" s="483"/>
      <c r="AR20" s="483">
        <v>0</v>
      </c>
      <c r="AS20" s="483"/>
      <c r="AT20" s="483">
        <v>0</v>
      </c>
      <c r="AU20" s="483">
        <v>0</v>
      </c>
      <c r="AV20" s="483">
        <v>1</v>
      </c>
      <c r="AW20" s="483">
        <f>51400+40000</f>
        <v>91400</v>
      </c>
      <c r="AX20" s="483">
        <v>0</v>
      </c>
      <c r="AY20" s="483">
        <v>0</v>
      </c>
      <c r="AZ20" s="483">
        <v>1</v>
      </c>
      <c r="BA20" s="483">
        <f>42600+50000</f>
        <v>92600</v>
      </c>
      <c r="BB20" s="483">
        <f>(1*2+8)*11</f>
        <v>110</v>
      </c>
      <c r="BC20" s="483">
        <f>42600+50000</f>
        <v>92600</v>
      </c>
      <c r="BD20" s="483"/>
      <c r="BE20" s="483"/>
      <c r="BF20" s="483">
        <v>1</v>
      </c>
      <c r="BG20" s="483">
        <f>91500+50000</f>
        <v>141500</v>
      </c>
      <c r="BH20" s="486">
        <v>0</v>
      </c>
      <c r="BI20" s="483">
        <f>BH20*E20</f>
        <v>0</v>
      </c>
      <c r="BJ20" s="483">
        <f t="shared" si="8"/>
        <v>114</v>
      </c>
      <c r="BK20" s="483">
        <f t="shared" si="8"/>
        <v>576800</v>
      </c>
      <c r="BL20" s="480"/>
      <c r="BN20" s="488"/>
      <c r="BO20" s="488"/>
      <c r="BP20" s="488"/>
      <c r="BQ20" s="488"/>
      <c r="BR20" s="488"/>
      <c r="BS20" s="488"/>
      <c r="BT20" s="488"/>
      <c r="BU20" s="488"/>
      <c r="BV20" s="489"/>
    </row>
    <row r="21" spans="1:74" s="487" customFormat="1" ht="32.25" customHeight="1">
      <c r="A21" s="861"/>
      <c r="B21" s="490" t="s">
        <v>752</v>
      </c>
      <c r="C21" s="479" t="s">
        <v>966</v>
      </c>
      <c r="D21" s="480" t="s">
        <v>16</v>
      </c>
      <c r="E21" s="481">
        <v>300</v>
      </c>
      <c r="F21" s="482">
        <f t="shared" si="9"/>
        <v>1260</v>
      </c>
      <c r="G21" s="483">
        <f t="shared" si="9"/>
        <v>378000</v>
      </c>
      <c r="H21" s="483">
        <f t="shared" si="6"/>
        <v>75600</v>
      </c>
      <c r="I21" s="483">
        <f t="shared" si="7"/>
        <v>302400</v>
      </c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>
        <f>F21*1</f>
        <v>1260</v>
      </c>
      <c r="V21" s="483"/>
      <c r="W21" s="483"/>
      <c r="X21" s="485"/>
      <c r="Y21" s="485">
        <f>G21</f>
        <v>378000</v>
      </c>
      <c r="Z21" s="483">
        <f>30*2*2</f>
        <v>120</v>
      </c>
      <c r="AA21" s="483">
        <f>Z21*E21</f>
        <v>36000</v>
      </c>
      <c r="AB21" s="483">
        <f>18*2*2</f>
        <v>72</v>
      </c>
      <c r="AC21" s="483">
        <f>AB21*E21</f>
        <v>21600</v>
      </c>
      <c r="AD21" s="483">
        <f>28*2*2</f>
        <v>112</v>
      </c>
      <c r="AE21" s="483">
        <f>AD21*E21</f>
        <v>33600</v>
      </c>
      <c r="AF21" s="483">
        <f>35*2*2</f>
        <v>140</v>
      </c>
      <c r="AG21" s="483">
        <f>AF21*E21</f>
        <v>42000</v>
      </c>
      <c r="AH21" s="483">
        <f>26*2*2</f>
        <v>104</v>
      </c>
      <c r="AI21" s="483">
        <f>AH21*E21</f>
        <v>31200</v>
      </c>
      <c r="AJ21" s="483">
        <f>24*2*2</f>
        <v>96</v>
      </c>
      <c r="AK21" s="483">
        <f>AJ21*E21</f>
        <v>28800</v>
      </c>
      <c r="AL21" s="483">
        <f>23*2*2</f>
        <v>92</v>
      </c>
      <c r="AM21" s="483">
        <f>AL21*E21</f>
        <v>27600</v>
      </c>
      <c r="AN21" s="483">
        <f>(2*2*2)+12</f>
        <v>20</v>
      </c>
      <c r="AO21" s="483">
        <f>AN21*E21</f>
        <v>6000</v>
      </c>
      <c r="AP21" s="483">
        <f>16*2*2</f>
        <v>64</v>
      </c>
      <c r="AQ21" s="483">
        <f>AP21*E21</f>
        <v>19200</v>
      </c>
      <c r="AR21" s="483">
        <f>14*2*2</f>
        <v>56</v>
      </c>
      <c r="AS21" s="483">
        <f>AR21*E21</f>
        <v>16800</v>
      </c>
      <c r="AT21" s="483">
        <f>23*2*2</f>
        <v>92</v>
      </c>
      <c r="AU21" s="483">
        <f>AT21*E21</f>
        <v>27600</v>
      </c>
      <c r="AV21" s="483">
        <f>(2*2*2)+12</f>
        <v>20</v>
      </c>
      <c r="AW21" s="483">
        <f>AV21*E21</f>
        <v>6000</v>
      </c>
      <c r="AX21" s="483">
        <f>(3*2*2)+12</f>
        <v>24</v>
      </c>
      <c r="AY21" s="483">
        <f>AX21*E21</f>
        <v>7200</v>
      </c>
      <c r="AZ21" s="483">
        <f>(16*2*2)</f>
        <v>64</v>
      </c>
      <c r="BA21" s="483">
        <f>AZ21*E21</f>
        <v>19200</v>
      </c>
      <c r="BB21" s="483">
        <f>33*2*2</f>
        <v>132</v>
      </c>
      <c r="BC21" s="483">
        <f>BB21*E21</f>
        <v>39600</v>
      </c>
      <c r="BD21" s="483">
        <f>(2*2*2)+12</f>
        <v>20</v>
      </c>
      <c r="BE21" s="483">
        <f>BD21*E21</f>
        <v>6000</v>
      </c>
      <c r="BF21" s="483">
        <f>(5*2*2)+12</f>
        <v>32</v>
      </c>
      <c r="BG21" s="483">
        <f>BF21*E21</f>
        <v>9600</v>
      </c>
      <c r="BH21" s="486">
        <v>0</v>
      </c>
      <c r="BI21" s="483">
        <f>BH21*E21</f>
        <v>0</v>
      </c>
      <c r="BJ21" s="483">
        <f t="shared" si="8"/>
        <v>1260</v>
      </c>
      <c r="BK21" s="483">
        <f t="shared" si="8"/>
        <v>378000</v>
      </c>
      <c r="BL21" s="480" t="s">
        <v>216</v>
      </c>
      <c r="BN21" s="488"/>
      <c r="BO21" s="488">
        <f>BK21</f>
        <v>378000</v>
      </c>
      <c r="BP21" s="488"/>
      <c r="BQ21" s="488"/>
      <c r="BR21" s="488">
        <f>BN21+BO21+BP21+BQ21</f>
        <v>378000</v>
      </c>
      <c r="BS21" s="488"/>
      <c r="BT21" s="488"/>
      <c r="BU21" s="488"/>
      <c r="BV21" s="489">
        <f t="shared" si="1"/>
        <v>378000</v>
      </c>
    </row>
    <row r="22" spans="1:74" ht="15.75">
      <c r="A22" s="861"/>
      <c r="B22" s="451"/>
      <c r="C22" s="427" t="s">
        <v>498</v>
      </c>
      <c r="D22" s="445"/>
      <c r="E22" s="132"/>
      <c r="F22" s="450"/>
      <c r="G22" s="6"/>
      <c r="H22" s="6">
        <f t="shared" si="6"/>
        <v>0</v>
      </c>
      <c r="I22" s="6">
        <f t="shared" si="7"/>
        <v>0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30"/>
      <c r="U22" s="30"/>
      <c r="V22" s="6"/>
      <c r="W22" s="6"/>
      <c r="X22" s="6"/>
      <c r="Y22" s="6"/>
      <c r="Z22" s="6"/>
      <c r="AA22" s="6">
        <f>Z22*E22</f>
        <v>0</v>
      </c>
      <c r="AB22" s="6"/>
      <c r="AC22" s="6">
        <f>AB22*E22</f>
        <v>0</v>
      </c>
      <c r="AD22" s="6"/>
      <c r="AE22" s="6">
        <f>AD22*E22</f>
        <v>0</v>
      </c>
      <c r="AF22" s="6"/>
      <c r="AG22" s="6">
        <f>AF22*E22</f>
        <v>0</v>
      </c>
      <c r="AH22" s="6"/>
      <c r="AI22" s="6">
        <f>AH22*E22</f>
        <v>0</v>
      </c>
      <c r="AJ22" s="6"/>
      <c r="AK22" s="6">
        <f>AJ22*E22</f>
        <v>0</v>
      </c>
      <c r="AL22" s="6"/>
      <c r="AM22" s="6">
        <f>AL22*E22</f>
        <v>0</v>
      </c>
      <c r="AN22" s="6"/>
      <c r="AO22" s="6">
        <f>AN22*E22</f>
        <v>0</v>
      </c>
      <c r="AP22" s="6"/>
      <c r="AQ22" s="6">
        <f>AP22*E22</f>
        <v>0</v>
      </c>
      <c r="AR22" s="6"/>
      <c r="AS22" s="6">
        <f>AR22*E22</f>
        <v>0</v>
      </c>
      <c r="AT22" s="6"/>
      <c r="AU22" s="6">
        <f>AT22*E22</f>
        <v>0</v>
      </c>
      <c r="AV22" s="6"/>
      <c r="AW22" s="6">
        <f>AV22*E22</f>
        <v>0</v>
      </c>
      <c r="AX22" s="6"/>
      <c r="AY22" s="6">
        <f>AX22*E22</f>
        <v>0</v>
      </c>
      <c r="AZ22" s="6"/>
      <c r="BA22" s="6">
        <f>AZ22*E22</f>
        <v>0</v>
      </c>
      <c r="BB22" s="6"/>
      <c r="BC22" s="6">
        <f>BB22*E22</f>
        <v>0</v>
      </c>
      <c r="BD22" s="6"/>
      <c r="BE22" s="6">
        <f>BD22*E22</f>
        <v>0</v>
      </c>
      <c r="BF22" s="6"/>
      <c r="BG22" s="6">
        <f>BF22*E22</f>
        <v>0</v>
      </c>
      <c r="BH22" s="30"/>
      <c r="BI22" s="6">
        <f t="shared" si="2"/>
        <v>0</v>
      </c>
      <c r="BJ22" s="6">
        <f>Z22+AB22+AD22+AF22+AH22+AJ22+AL22+AN22+AP22+AR22+AT22+AV22+AX22+AZ22+BB22+BD22+BF22+BH22</f>
        <v>0</v>
      </c>
      <c r="BK22" s="6"/>
      <c r="BL22" s="445"/>
      <c r="BN22" s="66"/>
      <c r="BO22" s="66"/>
      <c r="BP22" s="66"/>
      <c r="BQ22" s="66"/>
      <c r="BR22" s="66"/>
      <c r="BS22" s="66"/>
      <c r="BT22" s="66"/>
      <c r="BU22" s="66"/>
      <c r="BV22" s="429"/>
    </row>
    <row r="23" spans="1:74" ht="32.25" customHeight="1">
      <c r="A23" s="861"/>
      <c r="B23" s="452" t="s">
        <v>747</v>
      </c>
      <c r="C23" s="131" t="s">
        <v>920</v>
      </c>
      <c r="D23" s="445" t="s">
        <v>535</v>
      </c>
      <c r="E23" s="132">
        <v>100</v>
      </c>
      <c r="F23" s="450">
        <f>BJ23</f>
        <v>3904</v>
      </c>
      <c r="G23" s="6">
        <f>F23*E23</f>
        <v>390400</v>
      </c>
      <c r="H23" s="6">
        <f t="shared" si="6"/>
        <v>78080</v>
      </c>
      <c r="I23" s="6">
        <f t="shared" si="7"/>
        <v>312320</v>
      </c>
      <c r="J23" s="6"/>
      <c r="K23" s="6"/>
      <c r="L23" s="6"/>
      <c r="M23" s="6"/>
      <c r="N23" s="6"/>
      <c r="O23" s="6"/>
      <c r="P23" s="6"/>
      <c r="Q23" s="6"/>
      <c r="R23" s="30">
        <f>F23*0.25</f>
        <v>976</v>
      </c>
      <c r="S23" s="30">
        <f>F23*0.25</f>
        <v>976</v>
      </c>
      <c r="T23" s="30">
        <f>F23*0.25</f>
        <v>976</v>
      </c>
      <c r="U23" s="30">
        <f>F23*0.25</f>
        <v>976</v>
      </c>
      <c r="V23" s="6">
        <f>R23*E23</f>
        <v>97600</v>
      </c>
      <c r="W23" s="6">
        <f>S23*E23</f>
        <v>97600</v>
      </c>
      <c r="X23" s="6">
        <f>T23*E23</f>
        <v>97600</v>
      </c>
      <c r="Y23" s="6">
        <f>U23*E23</f>
        <v>97600</v>
      </c>
      <c r="Z23" s="6">
        <f>48*4</f>
        <v>192</v>
      </c>
      <c r="AA23" s="6">
        <f>Z23*E23</f>
        <v>19200</v>
      </c>
      <c r="AB23" s="6">
        <f>23*4</f>
        <v>92</v>
      </c>
      <c r="AC23" s="6">
        <f>AB23*E23</f>
        <v>9200</v>
      </c>
      <c r="AD23" s="6">
        <f>58*4</f>
        <v>232</v>
      </c>
      <c r="AE23" s="6">
        <f>AD23*E23</f>
        <v>23200</v>
      </c>
      <c r="AF23" s="6">
        <f>89*4</f>
        <v>356</v>
      </c>
      <c r="AG23" s="6">
        <f>AF23*E23</f>
        <v>35600</v>
      </c>
      <c r="AH23" s="6">
        <f>38*4</f>
        <v>152</v>
      </c>
      <c r="AI23" s="6">
        <f>AH23*E23</f>
        <v>15200</v>
      </c>
      <c r="AJ23" s="6">
        <f>71*4</f>
        <v>284</v>
      </c>
      <c r="AK23" s="6">
        <f>AJ23*E23</f>
        <v>28400</v>
      </c>
      <c r="AL23" s="6">
        <f>34*4</f>
        <v>136</v>
      </c>
      <c r="AM23" s="6">
        <f>AL23*E23</f>
        <v>13600</v>
      </c>
      <c r="AN23" s="6">
        <f>100*4</f>
        <v>400</v>
      </c>
      <c r="AO23" s="6">
        <f>AN23*E23</f>
        <v>40000</v>
      </c>
      <c r="AP23" s="6">
        <f>8*4</f>
        <v>32</v>
      </c>
      <c r="AQ23" s="6">
        <f>AP23*E23</f>
        <v>3200</v>
      </c>
      <c r="AR23" s="6">
        <f>32*4</f>
        <v>128</v>
      </c>
      <c r="AS23" s="6">
        <f>AR23*E23</f>
        <v>12800</v>
      </c>
      <c r="AT23" s="6">
        <f>50*4</f>
        <v>200</v>
      </c>
      <c r="AU23" s="6">
        <f>AT23*E23</f>
        <v>20000</v>
      </c>
      <c r="AV23" s="6">
        <f>50*4</f>
        <v>200</v>
      </c>
      <c r="AW23" s="6">
        <f>AV23*E23</f>
        <v>20000</v>
      </c>
      <c r="AX23" s="483">
        <f>72*2</f>
        <v>144</v>
      </c>
      <c r="AY23" s="6">
        <f>AX23*E23</f>
        <v>14400</v>
      </c>
      <c r="AZ23" s="6">
        <f>75*4</f>
        <v>300</v>
      </c>
      <c r="BA23" s="6">
        <f>AZ23*E23</f>
        <v>30000</v>
      </c>
      <c r="BB23" s="6">
        <f>73*4</f>
        <v>292</v>
      </c>
      <c r="BC23" s="6">
        <f>BB23*E23</f>
        <v>29200</v>
      </c>
      <c r="BD23" s="6">
        <f>137*4</f>
        <v>548</v>
      </c>
      <c r="BE23" s="6">
        <f>BD23*E23</f>
        <v>54800</v>
      </c>
      <c r="BF23" s="6">
        <f>54*4</f>
        <v>216</v>
      </c>
      <c r="BG23" s="6">
        <f>BF23*E23</f>
        <v>21600</v>
      </c>
      <c r="BH23" s="30"/>
      <c r="BI23" s="6">
        <f t="shared" si="2"/>
        <v>0</v>
      </c>
      <c r="BJ23" s="6">
        <f>Z23+AB23+AD23+AF23+AH23+AJ23+AL23+AN23+AP23+AR23+AT23+AV23+AX23+AZ23+BB23+BD23+BF23+BH23</f>
        <v>3904</v>
      </c>
      <c r="BK23" s="6">
        <f>AA23+AC23+AE23+AG23+AI23+AK23+AM23+AO23+AQ23+AS23+AU23+AW23+AY23+BA23+BC23+BE23+BG23+BI23</f>
        <v>390400</v>
      </c>
      <c r="BL23" s="445" t="s">
        <v>216</v>
      </c>
      <c r="BN23" s="6">
        <f t="shared" ref="BN23:BU23" si="10">SUM(BN22:BN22)</f>
        <v>0</v>
      </c>
      <c r="BO23" s="66">
        <f>BK23</f>
        <v>390400</v>
      </c>
      <c r="BP23" s="6">
        <f t="shared" si="10"/>
        <v>0</v>
      </c>
      <c r="BQ23" s="6">
        <f t="shared" si="10"/>
        <v>0</v>
      </c>
      <c r="BR23" s="66">
        <f>BN23+BO23+BP23+BQ23</f>
        <v>390400</v>
      </c>
      <c r="BS23" s="6">
        <f t="shared" si="10"/>
        <v>0</v>
      </c>
      <c r="BT23" s="6">
        <f t="shared" si="10"/>
        <v>0</v>
      </c>
      <c r="BU23" s="6">
        <f t="shared" si="10"/>
        <v>0</v>
      </c>
      <c r="BV23" s="6">
        <f t="shared" si="1"/>
        <v>390400</v>
      </c>
    </row>
    <row r="24" spans="1:74" ht="41.25" customHeight="1">
      <c r="A24" s="861"/>
      <c r="B24" s="452" t="s">
        <v>753</v>
      </c>
      <c r="C24" s="131" t="s">
        <v>975</v>
      </c>
      <c r="D24" s="445" t="s">
        <v>71</v>
      </c>
      <c r="E24" s="132">
        <v>100</v>
      </c>
      <c r="F24" s="450">
        <f>BJ24</f>
        <v>1147</v>
      </c>
      <c r="G24" s="6">
        <f>F24*E24</f>
        <v>114700</v>
      </c>
      <c r="H24" s="6">
        <f t="shared" si="6"/>
        <v>22940</v>
      </c>
      <c r="I24" s="6">
        <f t="shared" si="7"/>
        <v>91760</v>
      </c>
      <c r="J24" s="6"/>
      <c r="K24" s="6"/>
      <c r="L24" s="6"/>
      <c r="M24" s="6"/>
      <c r="N24" s="6"/>
      <c r="O24" s="6"/>
      <c r="P24" s="6"/>
      <c r="Q24" s="6"/>
      <c r="R24" s="6">
        <f>F24*0.25</f>
        <v>286.75</v>
      </c>
      <c r="S24" s="6">
        <f>F24*0.25</f>
        <v>286.75</v>
      </c>
      <c r="T24" s="6">
        <f>F24*0.25</f>
        <v>286.75</v>
      </c>
      <c r="U24" s="6">
        <f>F24*0.25</f>
        <v>286.75</v>
      </c>
      <c r="V24" s="6">
        <f>R24*E24</f>
        <v>28675</v>
      </c>
      <c r="W24" s="6">
        <f>S24*E24</f>
        <v>28675</v>
      </c>
      <c r="X24" s="435">
        <f>T24*E24</f>
        <v>28675</v>
      </c>
      <c r="Y24" s="435">
        <f>U24*E24</f>
        <v>28675</v>
      </c>
      <c r="Z24" s="6">
        <v>60</v>
      </c>
      <c r="AA24" s="6">
        <f>Z24*E24</f>
        <v>6000</v>
      </c>
      <c r="AB24" s="6">
        <v>60</v>
      </c>
      <c r="AC24" s="6">
        <f>AB24*E24</f>
        <v>6000</v>
      </c>
      <c r="AD24" s="6">
        <v>60</v>
      </c>
      <c r="AE24" s="6">
        <f>AD24*E24</f>
        <v>6000</v>
      </c>
      <c r="AF24" s="6">
        <v>102</v>
      </c>
      <c r="AG24" s="6">
        <f>AF24*E24</f>
        <v>10200</v>
      </c>
      <c r="AH24" s="6">
        <v>66</v>
      </c>
      <c r="AI24" s="6">
        <f>AH24*E24</f>
        <v>6600</v>
      </c>
      <c r="AJ24" s="6">
        <v>60</v>
      </c>
      <c r="AK24" s="6">
        <f>AJ24*E24</f>
        <v>6000</v>
      </c>
      <c r="AL24" s="6">
        <v>60</v>
      </c>
      <c r="AM24" s="6">
        <f>AL24*E24</f>
        <v>6000</v>
      </c>
      <c r="AN24" s="6">
        <v>90</v>
      </c>
      <c r="AO24" s="6">
        <f>AN24*E24</f>
        <v>9000</v>
      </c>
      <c r="AP24" s="6">
        <v>20</v>
      </c>
      <c r="AQ24" s="6">
        <f>AP24*E24</f>
        <v>2000</v>
      </c>
      <c r="AR24" s="483">
        <v>184</v>
      </c>
      <c r="AS24" s="6">
        <f>AR24*E24</f>
        <v>18400</v>
      </c>
      <c r="AT24" s="6">
        <v>60</v>
      </c>
      <c r="AU24" s="6">
        <f>AT24*E24</f>
        <v>6000</v>
      </c>
      <c r="AV24" s="6">
        <v>60</v>
      </c>
      <c r="AW24" s="6">
        <f>AV24*E24</f>
        <v>6000</v>
      </c>
      <c r="AX24" s="6">
        <v>60</v>
      </c>
      <c r="AY24" s="6">
        <f>AX24*E24</f>
        <v>6000</v>
      </c>
      <c r="AZ24" s="6">
        <v>60</v>
      </c>
      <c r="BA24" s="6">
        <f>AZ24*E24</f>
        <v>6000</v>
      </c>
      <c r="BB24" s="6">
        <v>40</v>
      </c>
      <c r="BC24" s="6">
        <f>BB24*E24</f>
        <v>4000</v>
      </c>
      <c r="BD24" s="6">
        <v>75</v>
      </c>
      <c r="BE24" s="6">
        <f>BD24*E24</f>
        <v>7500</v>
      </c>
      <c r="BF24" s="6">
        <v>30</v>
      </c>
      <c r="BG24" s="6">
        <f>BF24*E24</f>
        <v>3000</v>
      </c>
      <c r="BH24" s="30"/>
      <c r="BI24" s="6">
        <f t="shared" si="2"/>
        <v>0</v>
      </c>
      <c r="BJ24" s="6">
        <f>Z24+AB24+AD24+AF24+AH24+AJ24+AL24+AN24+AP24+AR24+AT24+AV24+AX24+AZ24+BB24+BD24+BF24+BH24</f>
        <v>1147</v>
      </c>
      <c r="BK24" s="6">
        <f>AA24+AC24+AE24+AG24+AI24+AK24+AM24+AO24+AQ24+AS24+AU24+AW24+AY24+BA24+BC24+BE24+BG24+BI24</f>
        <v>114700</v>
      </c>
      <c r="BL24" s="445" t="s">
        <v>216</v>
      </c>
      <c r="BN24" s="66"/>
      <c r="BO24" s="66">
        <f>BK24</f>
        <v>114700</v>
      </c>
      <c r="BP24" s="66"/>
      <c r="BQ24" s="66"/>
      <c r="BR24" s="66">
        <f>BN24+BO24+BP24+BQ24</f>
        <v>114700</v>
      </c>
      <c r="BS24" s="66"/>
      <c r="BT24" s="66"/>
      <c r="BU24" s="66"/>
      <c r="BV24" s="429">
        <f t="shared" si="1"/>
        <v>114700</v>
      </c>
    </row>
    <row r="25" spans="1:74" s="423" customFormat="1" ht="32.25" customHeight="1">
      <c r="A25" s="861"/>
      <c r="B25" s="449"/>
      <c r="C25" s="427" t="s">
        <v>499</v>
      </c>
      <c r="D25" s="447" t="s">
        <v>115</v>
      </c>
      <c r="E25" s="436" t="s">
        <v>115</v>
      </c>
      <c r="F25" s="32">
        <f t="shared" ref="F25:Y25" si="11">SUM(F17:F24)</f>
        <v>12787</v>
      </c>
      <c r="G25" s="32">
        <f t="shared" si="11"/>
        <v>5166300</v>
      </c>
      <c r="H25" s="32">
        <f t="shared" si="11"/>
        <v>1033260</v>
      </c>
      <c r="I25" s="32">
        <f t="shared" si="11"/>
        <v>4133040</v>
      </c>
      <c r="J25" s="32">
        <f t="shared" si="11"/>
        <v>0</v>
      </c>
      <c r="K25" s="32">
        <f t="shared" si="11"/>
        <v>0</v>
      </c>
      <c r="L25" s="32">
        <f t="shared" si="11"/>
        <v>0</v>
      </c>
      <c r="M25" s="32">
        <f t="shared" si="11"/>
        <v>0</v>
      </c>
      <c r="N25" s="32">
        <f t="shared" si="11"/>
        <v>0</v>
      </c>
      <c r="O25" s="32">
        <f t="shared" si="11"/>
        <v>0</v>
      </c>
      <c r="P25" s="32">
        <f t="shared" si="11"/>
        <v>0</v>
      </c>
      <c r="Q25" s="32">
        <f t="shared" si="11"/>
        <v>0</v>
      </c>
      <c r="R25" s="32">
        <f t="shared" si="11"/>
        <v>1262.75</v>
      </c>
      <c r="S25" s="32">
        <f t="shared" si="11"/>
        <v>1262.75</v>
      </c>
      <c r="T25" s="32">
        <f t="shared" si="11"/>
        <v>1262.75</v>
      </c>
      <c r="U25" s="32">
        <f t="shared" si="11"/>
        <v>3193.75</v>
      </c>
      <c r="V25" s="32">
        <f t="shared" si="11"/>
        <v>126275</v>
      </c>
      <c r="W25" s="32">
        <f t="shared" si="11"/>
        <v>126275</v>
      </c>
      <c r="X25" s="32">
        <f t="shared" si="11"/>
        <v>126275</v>
      </c>
      <c r="Y25" s="32">
        <f t="shared" si="11"/>
        <v>2774675</v>
      </c>
      <c r="Z25" s="32">
        <f>SUM(Z17:Z24)</f>
        <v>949</v>
      </c>
      <c r="AA25" s="32">
        <f t="shared" ref="AA25:BV25" si="12">SUM(AA17:AA24)</f>
        <v>419000</v>
      </c>
      <c r="AB25" s="32">
        <f t="shared" si="12"/>
        <v>426</v>
      </c>
      <c r="AC25" s="32">
        <f t="shared" si="12"/>
        <v>132400</v>
      </c>
      <c r="AD25" s="32">
        <f t="shared" si="12"/>
        <v>913</v>
      </c>
      <c r="AE25" s="32">
        <f t="shared" si="12"/>
        <v>410200</v>
      </c>
      <c r="AF25" s="32">
        <f t="shared" si="12"/>
        <v>1166</v>
      </c>
      <c r="AG25" s="32">
        <f t="shared" si="12"/>
        <v>596300</v>
      </c>
      <c r="AH25" s="32">
        <f t="shared" si="12"/>
        <v>528</v>
      </c>
      <c r="AI25" s="32">
        <f t="shared" si="12"/>
        <v>129800</v>
      </c>
      <c r="AJ25" s="32">
        <f t="shared" si="12"/>
        <v>800</v>
      </c>
      <c r="AK25" s="32">
        <f t="shared" si="12"/>
        <v>296200</v>
      </c>
      <c r="AL25" s="32">
        <f t="shared" si="12"/>
        <v>741</v>
      </c>
      <c r="AM25" s="32">
        <f t="shared" si="12"/>
        <v>327800</v>
      </c>
      <c r="AN25" s="32">
        <f t="shared" si="12"/>
        <v>1036</v>
      </c>
      <c r="AO25" s="32">
        <f t="shared" si="12"/>
        <v>387800</v>
      </c>
      <c r="AP25" s="32">
        <f t="shared" si="12"/>
        <v>340</v>
      </c>
      <c r="AQ25" s="32">
        <f t="shared" si="12"/>
        <v>115600</v>
      </c>
      <c r="AR25" s="32">
        <f t="shared" si="12"/>
        <v>666</v>
      </c>
      <c r="AS25" s="32">
        <f t="shared" si="12"/>
        <v>187400</v>
      </c>
      <c r="AT25" s="32">
        <f t="shared" si="12"/>
        <v>678</v>
      </c>
      <c r="AU25" s="32">
        <f t="shared" si="12"/>
        <v>226400</v>
      </c>
      <c r="AV25" s="32">
        <f t="shared" si="12"/>
        <v>541</v>
      </c>
      <c r="AW25" s="32">
        <f t="shared" si="12"/>
        <v>276400</v>
      </c>
      <c r="AX25" s="32">
        <f t="shared" si="12"/>
        <v>604</v>
      </c>
      <c r="AY25" s="32">
        <f t="shared" si="12"/>
        <v>240400</v>
      </c>
      <c r="AZ25" s="32">
        <f t="shared" si="12"/>
        <v>801</v>
      </c>
      <c r="BA25" s="32">
        <f t="shared" si="12"/>
        <v>360600</v>
      </c>
      <c r="BB25" s="32">
        <f t="shared" si="12"/>
        <v>734</v>
      </c>
      <c r="BC25" s="32">
        <f t="shared" si="12"/>
        <v>238400</v>
      </c>
      <c r="BD25" s="32">
        <f t="shared" si="12"/>
        <v>1219</v>
      </c>
      <c r="BE25" s="32">
        <f t="shared" si="12"/>
        <v>441100</v>
      </c>
      <c r="BF25" s="32">
        <f t="shared" si="12"/>
        <v>645</v>
      </c>
      <c r="BG25" s="32">
        <f t="shared" si="12"/>
        <v>380500</v>
      </c>
      <c r="BH25" s="32">
        <f t="shared" si="12"/>
        <v>0</v>
      </c>
      <c r="BI25" s="32">
        <f t="shared" si="12"/>
        <v>0</v>
      </c>
      <c r="BJ25" s="32">
        <f t="shared" si="12"/>
        <v>12787</v>
      </c>
      <c r="BK25" s="32">
        <f t="shared" si="12"/>
        <v>5166300</v>
      </c>
      <c r="BL25" s="32"/>
      <c r="BM25" s="32">
        <f t="shared" si="12"/>
        <v>0</v>
      </c>
      <c r="BN25" s="32">
        <f t="shared" si="12"/>
        <v>0</v>
      </c>
      <c r="BO25" s="32">
        <f t="shared" si="12"/>
        <v>3153500</v>
      </c>
      <c r="BP25" s="32">
        <f t="shared" si="12"/>
        <v>0</v>
      </c>
      <c r="BQ25" s="32">
        <f t="shared" si="12"/>
        <v>0</v>
      </c>
      <c r="BR25" s="32">
        <f t="shared" si="12"/>
        <v>3153500</v>
      </c>
      <c r="BS25" s="32">
        <f t="shared" si="12"/>
        <v>0</v>
      </c>
      <c r="BT25" s="32">
        <f t="shared" si="12"/>
        <v>0</v>
      </c>
      <c r="BU25" s="32">
        <f t="shared" si="12"/>
        <v>0</v>
      </c>
      <c r="BV25" s="32">
        <f t="shared" si="12"/>
        <v>3153500</v>
      </c>
    </row>
    <row r="26" spans="1:74" ht="32.25" customHeight="1">
      <c r="A26" s="861"/>
      <c r="B26" s="451"/>
      <c r="C26" s="427" t="s">
        <v>500</v>
      </c>
      <c r="D26" s="445"/>
      <c r="E26" s="132"/>
      <c r="F26" s="44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30"/>
      <c r="S26" s="30"/>
      <c r="T26" s="30"/>
      <c r="U26" s="33"/>
      <c r="V26" s="32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30"/>
      <c r="BI26" s="6"/>
      <c r="BJ26" s="6"/>
      <c r="BK26" s="6"/>
      <c r="BL26" s="445"/>
      <c r="BN26" s="66"/>
      <c r="BO26" s="66">
        <f t="shared" ref="BO26:BO33" si="13">G26</f>
        <v>0</v>
      </c>
      <c r="BP26" s="66"/>
      <c r="BQ26" s="66"/>
      <c r="BR26" s="66">
        <f t="shared" ref="BR26:BR33" si="14">BN26+BO26+BP26+BQ26</f>
        <v>0</v>
      </c>
      <c r="BS26" s="66"/>
      <c r="BT26" s="66"/>
      <c r="BU26" s="66">
        <f>BS26+BT26</f>
        <v>0</v>
      </c>
      <c r="BV26" s="429">
        <f t="shared" si="1"/>
        <v>0</v>
      </c>
    </row>
    <row r="27" spans="1:74" ht="32.25" customHeight="1">
      <c r="A27" s="861"/>
      <c r="B27" s="451"/>
      <c r="C27" s="427" t="s">
        <v>501</v>
      </c>
      <c r="D27" s="445"/>
      <c r="E27" s="132"/>
      <c r="F27" s="44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30"/>
      <c r="S27" s="30"/>
      <c r="T27" s="30"/>
      <c r="U27" s="33"/>
      <c r="V27" s="32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30"/>
      <c r="BI27" s="6"/>
      <c r="BJ27" s="6"/>
      <c r="BK27" s="6"/>
      <c r="BL27" s="445"/>
      <c r="BN27" s="66"/>
      <c r="BO27" s="66">
        <f t="shared" si="13"/>
        <v>0</v>
      </c>
      <c r="BP27" s="66"/>
      <c r="BQ27" s="66"/>
      <c r="BR27" s="66">
        <f t="shared" si="14"/>
        <v>0</v>
      </c>
      <c r="BS27" s="66"/>
      <c r="BT27" s="66"/>
      <c r="BU27" s="66">
        <f>BS27+BT27</f>
        <v>0</v>
      </c>
      <c r="BV27" s="429">
        <f t="shared" si="1"/>
        <v>0</v>
      </c>
    </row>
    <row r="28" spans="1:74" s="487" customFormat="1" ht="50.25" customHeight="1">
      <c r="A28" s="861"/>
      <c r="B28" s="490" t="s">
        <v>754</v>
      </c>
      <c r="C28" s="479" t="s">
        <v>502</v>
      </c>
      <c r="D28" s="480" t="s">
        <v>16</v>
      </c>
      <c r="E28" s="481">
        <v>3000000</v>
      </c>
      <c r="F28" s="483">
        <f>BJ28</f>
        <v>0</v>
      </c>
      <c r="G28" s="483">
        <f>BK28</f>
        <v>0</v>
      </c>
      <c r="H28" s="483">
        <f>G28*0.2</f>
        <v>0</v>
      </c>
      <c r="I28" s="483">
        <f>G28*0.8</f>
        <v>0</v>
      </c>
      <c r="J28" s="483"/>
      <c r="K28" s="483"/>
      <c r="L28" s="483"/>
      <c r="M28" s="483"/>
      <c r="N28" s="483"/>
      <c r="O28" s="483"/>
      <c r="P28" s="483"/>
      <c r="Q28" s="483"/>
      <c r="R28" s="483">
        <f>F28*0.25</f>
        <v>0</v>
      </c>
      <c r="S28" s="486">
        <f>F28*0.25</f>
        <v>0</v>
      </c>
      <c r="T28" s="492">
        <f>F28*0.25</f>
        <v>0</v>
      </c>
      <c r="U28" s="486">
        <f>F28*0.25</f>
        <v>0</v>
      </c>
      <c r="V28" s="483">
        <f>R28*E28</f>
        <v>0</v>
      </c>
      <c r="W28" s="483">
        <f>S28*E28</f>
        <v>0</v>
      </c>
      <c r="X28" s="483">
        <f>T28*E28</f>
        <v>0</v>
      </c>
      <c r="Y28" s="483">
        <f>U28*E28</f>
        <v>0</v>
      </c>
      <c r="Z28" s="483">
        <v>0</v>
      </c>
      <c r="AA28" s="483">
        <f>Z28*E28</f>
        <v>0</v>
      </c>
      <c r="AB28" s="483"/>
      <c r="AC28" s="483">
        <f>AB28*E28</f>
        <v>0</v>
      </c>
      <c r="AD28" s="483"/>
      <c r="AE28" s="483">
        <f>AD28*E28</f>
        <v>0</v>
      </c>
      <c r="AF28" s="483"/>
      <c r="AG28" s="483">
        <f>AF28*E28</f>
        <v>0</v>
      </c>
      <c r="AH28" s="483"/>
      <c r="AI28" s="483">
        <f>AH28*E28</f>
        <v>0</v>
      </c>
      <c r="AJ28" s="483"/>
      <c r="AK28" s="483">
        <f>AJ28*E28</f>
        <v>0</v>
      </c>
      <c r="AL28" s="483"/>
      <c r="AM28" s="483">
        <f>AL28*E28</f>
        <v>0</v>
      </c>
      <c r="AN28" s="483"/>
      <c r="AO28" s="483">
        <f>AN28*E28</f>
        <v>0</v>
      </c>
      <c r="AP28" s="483"/>
      <c r="AQ28" s="483">
        <f>AP28*E28</f>
        <v>0</v>
      </c>
      <c r="AR28" s="483"/>
      <c r="AS28" s="483">
        <f>AR28*E28</f>
        <v>0</v>
      </c>
      <c r="AT28" s="483"/>
      <c r="AU28" s="483">
        <f>AT28*E28</f>
        <v>0</v>
      </c>
      <c r="AV28" s="483"/>
      <c r="AW28" s="483">
        <f>AV28*E28</f>
        <v>0</v>
      </c>
      <c r="AX28" s="483"/>
      <c r="AY28" s="483">
        <f>AX28*E28</f>
        <v>0</v>
      </c>
      <c r="AZ28" s="483"/>
      <c r="BA28" s="483">
        <f>AZ28*E28</f>
        <v>0</v>
      </c>
      <c r="BB28" s="483"/>
      <c r="BC28" s="483">
        <f>BB28*E28</f>
        <v>0</v>
      </c>
      <c r="BD28" s="483"/>
      <c r="BE28" s="483">
        <f>BD28*E28</f>
        <v>0</v>
      </c>
      <c r="BF28" s="483"/>
      <c r="BG28" s="483">
        <f>BF28*E28</f>
        <v>0</v>
      </c>
      <c r="BH28" s="486">
        <v>0</v>
      </c>
      <c r="BI28" s="483">
        <f t="shared" si="2"/>
        <v>0</v>
      </c>
      <c r="BJ28" s="483">
        <f t="shared" ref="BJ28:BK31" si="15">Z28+AB28+AD28+AF28+AH28+AJ28+AL28+AN28+AP28+AR28+AT28+AV28+AX28+AZ28+BB28+BD28+BF28+BH28</f>
        <v>0</v>
      </c>
      <c r="BK28" s="483">
        <f t="shared" si="15"/>
        <v>0</v>
      </c>
      <c r="BL28" s="480" t="s">
        <v>216</v>
      </c>
      <c r="BN28" s="488"/>
      <c r="BO28" s="488"/>
      <c r="BP28" s="488">
        <f>BK28</f>
        <v>0</v>
      </c>
      <c r="BQ28" s="488"/>
      <c r="BR28" s="488">
        <f t="shared" si="14"/>
        <v>0</v>
      </c>
      <c r="BS28" s="488"/>
      <c r="BT28" s="488"/>
      <c r="BU28" s="488"/>
      <c r="BV28" s="489">
        <f t="shared" si="1"/>
        <v>0</v>
      </c>
    </row>
    <row r="29" spans="1:74" ht="32.25" customHeight="1">
      <c r="A29" s="861"/>
      <c r="B29" s="451" t="s">
        <v>755</v>
      </c>
      <c r="C29" s="131" t="s">
        <v>642</v>
      </c>
      <c r="D29" s="445" t="s">
        <v>16</v>
      </c>
      <c r="E29" s="132">
        <v>15600000</v>
      </c>
      <c r="F29" s="6">
        <f>BJ29</f>
        <v>1</v>
      </c>
      <c r="G29" s="6">
        <f>BK29</f>
        <v>24800000</v>
      </c>
      <c r="H29" s="6"/>
      <c r="I29" s="6">
        <f>G29*1</f>
        <v>24800000</v>
      </c>
      <c r="J29" s="6"/>
      <c r="K29" s="6"/>
      <c r="L29" s="6"/>
      <c r="M29" s="6"/>
      <c r="N29" s="6"/>
      <c r="O29" s="6"/>
      <c r="P29" s="6"/>
      <c r="Q29" s="6"/>
      <c r="R29" s="6"/>
      <c r="S29" s="30"/>
      <c r="T29" s="33"/>
      <c r="U29" s="30">
        <v>1</v>
      </c>
      <c r="V29" s="6"/>
      <c r="W29" s="6"/>
      <c r="X29" s="6"/>
      <c r="Y29" s="6">
        <f>U29*G29</f>
        <v>24800000</v>
      </c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30">
        <v>1</v>
      </c>
      <c r="BI29" s="6">
        <v>24800000</v>
      </c>
      <c r="BJ29" s="6">
        <f>Z29+AB29+AD29+AF29+AH29+AJ29+AL29+AN29+AP29+AR29+AT29+AV29+AX29+AZ29+BB29+BD29+BF29+BH29</f>
        <v>1</v>
      </c>
      <c r="BK29" s="6">
        <f>AA29+AC29+AE29+AG29+AI29+AK29+AM29+AO29+AQ29+AS29+AU29+AW29+AY29+BA29+BC29+BE29+BG29+BI29</f>
        <v>24800000</v>
      </c>
      <c r="BL29" s="445" t="s">
        <v>217</v>
      </c>
      <c r="BN29" s="66"/>
      <c r="BO29" s="66"/>
      <c r="BP29" s="66">
        <f>BK29</f>
        <v>24800000</v>
      </c>
      <c r="BQ29" s="66"/>
      <c r="BR29" s="66">
        <f t="shared" si="14"/>
        <v>24800000</v>
      </c>
      <c r="BS29" s="66"/>
      <c r="BT29" s="66"/>
      <c r="BU29" s="66"/>
      <c r="BV29" s="429">
        <f t="shared" si="1"/>
        <v>24800000</v>
      </c>
    </row>
    <row r="30" spans="1:74" ht="32.25" customHeight="1">
      <c r="A30" s="861"/>
      <c r="B30" s="451" t="s">
        <v>756</v>
      </c>
      <c r="C30" s="131" t="s">
        <v>503</v>
      </c>
      <c r="D30" s="445" t="s">
        <v>16</v>
      </c>
      <c r="E30" s="132">
        <v>2500000</v>
      </c>
      <c r="F30" s="6">
        <f>BJ30</f>
        <v>1</v>
      </c>
      <c r="G30" s="6">
        <f>F30*E30</f>
        <v>2500000</v>
      </c>
      <c r="H30" s="6">
        <f>G30*0.2</f>
        <v>500000</v>
      </c>
      <c r="I30" s="6">
        <f>G30*0.8</f>
        <v>2000000</v>
      </c>
      <c r="J30" s="6"/>
      <c r="K30" s="6"/>
      <c r="L30" s="6"/>
      <c r="M30" s="6"/>
      <c r="N30" s="6"/>
      <c r="O30" s="6"/>
      <c r="P30" s="6"/>
      <c r="Q30" s="6"/>
      <c r="R30" s="6">
        <f>F30*0.25</f>
        <v>0.25</v>
      </c>
      <c r="S30" s="30">
        <f>F30*0.25</f>
        <v>0.25</v>
      </c>
      <c r="T30" s="30">
        <f>F30*0.25</f>
        <v>0.25</v>
      </c>
      <c r="U30" s="30">
        <f>F30*0.25</f>
        <v>0.25</v>
      </c>
      <c r="V30" s="6">
        <f>R30*E30</f>
        <v>625000</v>
      </c>
      <c r="W30" s="6">
        <f>S30*E30</f>
        <v>625000</v>
      </c>
      <c r="X30" s="6">
        <f>T30*E30</f>
        <v>625000</v>
      </c>
      <c r="Y30" s="6">
        <f>U30*E30</f>
        <v>625000</v>
      </c>
      <c r="Z30" s="6">
        <f>SUM(Z26)</f>
        <v>0</v>
      </c>
      <c r="AA30" s="6">
        <f>Z30*E30</f>
        <v>0</v>
      </c>
      <c r="AB30" s="6"/>
      <c r="AC30" s="6">
        <f>AB30*E30</f>
        <v>0</v>
      </c>
      <c r="AD30" s="6"/>
      <c r="AE30" s="6">
        <f>AD30*E30</f>
        <v>0</v>
      </c>
      <c r="AF30" s="6"/>
      <c r="AG30" s="6">
        <f>AF30*E30</f>
        <v>0</v>
      </c>
      <c r="AH30" s="6"/>
      <c r="AI30" s="6">
        <f>AH30*E30</f>
        <v>0</v>
      </c>
      <c r="AJ30" s="6"/>
      <c r="AK30" s="6">
        <f>AJ30*E30</f>
        <v>0</v>
      </c>
      <c r="AL30" s="6"/>
      <c r="AM30" s="6">
        <f>AL30*E30</f>
        <v>0</v>
      </c>
      <c r="AN30" s="6"/>
      <c r="AO30" s="6">
        <f>AN30*E30</f>
        <v>0</v>
      </c>
      <c r="AP30" s="6"/>
      <c r="AQ30" s="6">
        <f>AP30*E30</f>
        <v>0</v>
      </c>
      <c r="AR30" s="6"/>
      <c r="AS30" s="6">
        <f>AR30*E30</f>
        <v>0</v>
      </c>
      <c r="AT30" s="6"/>
      <c r="AU30" s="6">
        <f>AT30*E30</f>
        <v>0</v>
      </c>
      <c r="AV30" s="6"/>
      <c r="AW30" s="6">
        <f>AV30*E30</f>
        <v>0</v>
      </c>
      <c r="AX30" s="6"/>
      <c r="AY30" s="6">
        <f>AX30*E30</f>
        <v>0</v>
      </c>
      <c r="AZ30" s="6"/>
      <c r="BA30" s="6">
        <f>AZ30*E30</f>
        <v>0</v>
      </c>
      <c r="BB30" s="6"/>
      <c r="BC30" s="6">
        <f>BB30*E30</f>
        <v>0</v>
      </c>
      <c r="BD30" s="6"/>
      <c r="BE30" s="6">
        <f>BD30*E30</f>
        <v>0</v>
      </c>
      <c r="BF30" s="6"/>
      <c r="BG30" s="6">
        <f>BF30*E30</f>
        <v>0</v>
      </c>
      <c r="BH30" s="30">
        <v>1</v>
      </c>
      <c r="BI30" s="6">
        <f t="shared" si="2"/>
        <v>2500000</v>
      </c>
      <c r="BJ30" s="6">
        <f t="shared" si="15"/>
        <v>1</v>
      </c>
      <c r="BK30" s="6">
        <f t="shared" si="15"/>
        <v>2500000</v>
      </c>
      <c r="BL30" s="445" t="s">
        <v>216</v>
      </c>
      <c r="BN30" s="66"/>
      <c r="BO30" s="66"/>
      <c r="BP30" s="66">
        <f>BK30</f>
        <v>2500000</v>
      </c>
      <c r="BQ30" s="66"/>
      <c r="BR30" s="66">
        <f t="shared" si="14"/>
        <v>2500000</v>
      </c>
      <c r="BS30" s="66"/>
      <c r="BT30" s="66"/>
      <c r="BU30" s="66"/>
      <c r="BV30" s="429">
        <f t="shared" si="1"/>
        <v>2500000</v>
      </c>
    </row>
    <row r="31" spans="1:74" ht="32.25" customHeight="1">
      <c r="A31" s="861"/>
      <c r="B31" s="451" t="s">
        <v>757</v>
      </c>
      <c r="C31" s="131" t="s">
        <v>504</v>
      </c>
      <c r="D31" s="445" t="s">
        <v>16</v>
      </c>
      <c r="E31" s="132">
        <v>100000</v>
      </c>
      <c r="F31" s="6">
        <f>BJ31</f>
        <v>0</v>
      </c>
      <c r="G31" s="6">
        <f>F31*E31</f>
        <v>0</v>
      </c>
      <c r="H31" s="6">
        <f>G31*0.2</f>
        <v>0</v>
      </c>
      <c r="I31" s="6">
        <f>G31*0.8</f>
        <v>0</v>
      </c>
      <c r="J31" s="6"/>
      <c r="K31" s="6"/>
      <c r="L31" s="6"/>
      <c r="M31" s="6"/>
      <c r="N31" s="6"/>
      <c r="O31" s="6"/>
      <c r="P31" s="6"/>
      <c r="Q31" s="6"/>
      <c r="R31" s="6">
        <f>F31*0.25</f>
        <v>0</v>
      </c>
      <c r="S31" s="30">
        <f>F31*0.25</f>
        <v>0</v>
      </c>
      <c r="T31" s="30">
        <f>F31*0.25</f>
        <v>0</v>
      </c>
      <c r="U31" s="30">
        <f>F31*0.25</f>
        <v>0</v>
      </c>
      <c r="V31" s="6">
        <f>R31*E31</f>
        <v>0</v>
      </c>
      <c r="W31" s="6">
        <f>S31*E31</f>
        <v>0</v>
      </c>
      <c r="X31" s="6">
        <f>T31*E31</f>
        <v>0</v>
      </c>
      <c r="Y31" s="6">
        <f>U31*E31</f>
        <v>0</v>
      </c>
      <c r="Z31" s="6">
        <f>SUM(Z27)</f>
        <v>0</v>
      </c>
      <c r="AA31" s="6">
        <f>Z31*E31</f>
        <v>0</v>
      </c>
      <c r="AB31" s="6"/>
      <c r="AC31" s="6">
        <f>AB31*E31</f>
        <v>0</v>
      </c>
      <c r="AD31" s="6"/>
      <c r="AE31" s="6">
        <f>AD31*E31</f>
        <v>0</v>
      </c>
      <c r="AF31" s="6"/>
      <c r="AG31" s="6">
        <f>AF31*E31</f>
        <v>0</v>
      </c>
      <c r="AH31" s="6"/>
      <c r="AI31" s="6">
        <f>AH31*E31</f>
        <v>0</v>
      </c>
      <c r="AJ31" s="6"/>
      <c r="AK31" s="6">
        <f>AJ31*E31</f>
        <v>0</v>
      </c>
      <c r="AL31" s="6"/>
      <c r="AM31" s="6">
        <f>AL31*E31</f>
        <v>0</v>
      </c>
      <c r="AN31" s="6"/>
      <c r="AO31" s="6">
        <f>AN31*E31</f>
        <v>0</v>
      </c>
      <c r="AP31" s="6"/>
      <c r="AQ31" s="6">
        <f>AP31*E31</f>
        <v>0</v>
      </c>
      <c r="AR31" s="6"/>
      <c r="AS31" s="6">
        <f>AR31*E31</f>
        <v>0</v>
      </c>
      <c r="AT31" s="6"/>
      <c r="AU31" s="6">
        <f>AT31*E31</f>
        <v>0</v>
      </c>
      <c r="AV31" s="6"/>
      <c r="AW31" s="6">
        <f>AV31*E31</f>
        <v>0</v>
      </c>
      <c r="AX31" s="6"/>
      <c r="AY31" s="6">
        <f>AX31*E31</f>
        <v>0</v>
      </c>
      <c r="AZ31" s="6"/>
      <c r="BA31" s="6">
        <f>AZ31*E31</f>
        <v>0</v>
      </c>
      <c r="BB31" s="6"/>
      <c r="BC31" s="6">
        <f>BB31*E31</f>
        <v>0</v>
      </c>
      <c r="BD31" s="6"/>
      <c r="BE31" s="6">
        <f>BD31*E31</f>
        <v>0</v>
      </c>
      <c r="BF31" s="6"/>
      <c r="BG31" s="6">
        <f>BF31*E31</f>
        <v>0</v>
      </c>
      <c r="BH31" s="30">
        <v>0</v>
      </c>
      <c r="BI31" s="6">
        <f t="shared" si="2"/>
        <v>0</v>
      </c>
      <c r="BJ31" s="6">
        <f t="shared" si="15"/>
        <v>0</v>
      </c>
      <c r="BK31" s="6">
        <f t="shared" si="15"/>
        <v>0</v>
      </c>
      <c r="BL31" s="445" t="s">
        <v>216</v>
      </c>
      <c r="BN31" s="66"/>
      <c r="BO31" s="66">
        <f t="shared" si="13"/>
        <v>0</v>
      </c>
      <c r="BP31" s="66"/>
      <c r="BQ31" s="66"/>
      <c r="BR31" s="66">
        <f t="shared" si="14"/>
        <v>0</v>
      </c>
      <c r="BS31" s="66"/>
      <c r="BT31" s="66"/>
      <c r="BU31" s="66"/>
      <c r="BV31" s="429">
        <f t="shared" si="1"/>
        <v>0</v>
      </c>
    </row>
    <row r="32" spans="1:74" s="423" customFormat="1" ht="32.25" customHeight="1">
      <c r="A32" s="861"/>
      <c r="B32" s="449"/>
      <c r="C32" s="427" t="s">
        <v>505</v>
      </c>
      <c r="D32" s="447" t="s">
        <v>115</v>
      </c>
      <c r="E32" s="436" t="s">
        <v>115</v>
      </c>
      <c r="F32" s="32">
        <f t="shared" ref="F32:Y32" si="16">SUM(F28:F31)</f>
        <v>2</v>
      </c>
      <c r="G32" s="32">
        <f t="shared" si="16"/>
        <v>27300000</v>
      </c>
      <c r="H32" s="32">
        <f t="shared" si="16"/>
        <v>500000</v>
      </c>
      <c r="I32" s="32">
        <f t="shared" si="16"/>
        <v>26800000</v>
      </c>
      <c r="J32" s="32">
        <f t="shared" si="16"/>
        <v>0</v>
      </c>
      <c r="K32" s="32">
        <f t="shared" si="16"/>
        <v>0</v>
      </c>
      <c r="L32" s="32">
        <f t="shared" si="16"/>
        <v>0</v>
      </c>
      <c r="M32" s="32">
        <f t="shared" si="16"/>
        <v>0</v>
      </c>
      <c r="N32" s="32">
        <f t="shared" si="16"/>
        <v>0</v>
      </c>
      <c r="O32" s="32">
        <f t="shared" si="16"/>
        <v>0</v>
      </c>
      <c r="P32" s="32">
        <f t="shared" si="16"/>
        <v>0</v>
      </c>
      <c r="Q32" s="32">
        <f t="shared" si="16"/>
        <v>0</v>
      </c>
      <c r="R32" s="32">
        <f t="shared" si="16"/>
        <v>0.25</v>
      </c>
      <c r="S32" s="32">
        <f t="shared" si="16"/>
        <v>0.25</v>
      </c>
      <c r="T32" s="32">
        <f t="shared" si="16"/>
        <v>0.25</v>
      </c>
      <c r="U32" s="32">
        <f t="shared" si="16"/>
        <v>1.25</v>
      </c>
      <c r="V32" s="32">
        <f t="shared" si="16"/>
        <v>625000</v>
      </c>
      <c r="W32" s="32">
        <f t="shared" si="16"/>
        <v>625000</v>
      </c>
      <c r="X32" s="32">
        <f t="shared" si="16"/>
        <v>625000</v>
      </c>
      <c r="Y32" s="32">
        <f t="shared" si="16"/>
        <v>25425000</v>
      </c>
      <c r="Z32" s="32">
        <f>SUM(Z28:Z31)</f>
        <v>0</v>
      </c>
      <c r="AA32" s="32">
        <f t="shared" ref="AA32:BV32" si="17">SUM(AA28:AA31)</f>
        <v>0</v>
      </c>
      <c r="AB32" s="32">
        <f t="shared" si="17"/>
        <v>0</v>
      </c>
      <c r="AC32" s="32">
        <f t="shared" si="17"/>
        <v>0</v>
      </c>
      <c r="AD32" s="32">
        <f t="shared" si="17"/>
        <v>0</v>
      </c>
      <c r="AE32" s="32">
        <f t="shared" si="17"/>
        <v>0</v>
      </c>
      <c r="AF32" s="32">
        <f t="shared" si="17"/>
        <v>0</v>
      </c>
      <c r="AG32" s="32">
        <f t="shared" si="17"/>
        <v>0</v>
      </c>
      <c r="AH32" s="32">
        <f t="shared" si="17"/>
        <v>0</v>
      </c>
      <c r="AI32" s="32">
        <f t="shared" si="17"/>
        <v>0</v>
      </c>
      <c r="AJ32" s="32">
        <f t="shared" si="17"/>
        <v>0</v>
      </c>
      <c r="AK32" s="32">
        <f t="shared" si="17"/>
        <v>0</v>
      </c>
      <c r="AL32" s="32">
        <f t="shared" si="17"/>
        <v>0</v>
      </c>
      <c r="AM32" s="32">
        <f t="shared" si="17"/>
        <v>0</v>
      </c>
      <c r="AN32" s="32">
        <f t="shared" si="17"/>
        <v>0</v>
      </c>
      <c r="AO32" s="32">
        <f t="shared" si="17"/>
        <v>0</v>
      </c>
      <c r="AP32" s="32">
        <f t="shared" si="17"/>
        <v>0</v>
      </c>
      <c r="AQ32" s="32">
        <f t="shared" si="17"/>
        <v>0</v>
      </c>
      <c r="AR32" s="32">
        <f t="shared" si="17"/>
        <v>0</v>
      </c>
      <c r="AS32" s="32">
        <f t="shared" si="17"/>
        <v>0</v>
      </c>
      <c r="AT32" s="32">
        <f t="shared" si="17"/>
        <v>0</v>
      </c>
      <c r="AU32" s="32">
        <f t="shared" si="17"/>
        <v>0</v>
      </c>
      <c r="AV32" s="32">
        <f t="shared" si="17"/>
        <v>0</v>
      </c>
      <c r="AW32" s="32">
        <f t="shared" si="17"/>
        <v>0</v>
      </c>
      <c r="AX32" s="32">
        <f t="shared" si="17"/>
        <v>0</v>
      </c>
      <c r="AY32" s="32">
        <f t="shared" si="17"/>
        <v>0</v>
      </c>
      <c r="AZ32" s="32">
        <f t="shared" si="17"/>
        <v>0</v>
      </c>
      <c r="BA32" s="32">
        <f t="shared" si="17"/>
        <v>0</v>
      </c>
      <c r="BB32" s="32">
        <f t="shared" si="17"/>
        <v>0</v>
      </c>
      <c r="BC32" s="32">
        <f t="shared" si="17"/>
        <v>0</v>
      </c>
      <c r="BD32" s="32">
        <f t="shared" si="17"/>
        <v>0</v>
      </c>
      <c r="BE32" s="32">
        <f t="shared" si="17"/>
        <v>0</v>
      </c>
      <c r="BF32" s="32">
        <f t="shared" si="17"/>
        <v>0</v>
      </c>
      <c r="BG32" s="32">
        <f t="shared" si="17"/>
        <v>0</v>
      </c>
      <c r="BH32" s="32">
        <f t="shared" si="17"/>
        <v>2</v>
      </c>
      <c r="BI32" s="32">
        <f t="shared" si="17"/>
        <v>27300000</v>
      </c>
      <c r="BJ32" s="32">
        <f t="shared" si="17"/>
        <v>2</v>
      </c>
      <c r="BK32" s="32">
        <f t="shared" si="17"/>
        <v>27300000</v>
      </c>
      <c r="BL32" s="32"/>
      <c r="BM32" s="32">
        <f t="shared" si="17"/>
        <v>0</v>
      </c>
      <c r="BN32" s="32">
        <f t="shared" si="17"/>
        <v>0</v>
      </c>
      <c r="BO32" s="32">
        <f t="shared" si="17"/>
        <v>0</v>
      </c>
      <c r="BP32" s="32">
        <f t="shared" si="17"/>
        <v>27300000</v>
      </c>
      <c r="BQ32" s="32">
        <f t="shared" si="17"/>
        <v>0</v>
      </c>
      <c r="BR32" s="32">
        <f t="shared" si="17"/>
        <v>27300000</v>
      </c>
      <c r="BS32" s="32">
        <f t="shared" si="17"/>
        <v>0</v>
      </c>
      <c r="BT32" s="32">
        <f t="shared" si="17"/>
        <v>0</v>
      </c>
      <c r="BU32" s="32">
        <f t="shared" si="17"/>
        <v>0</v>
      </c>
      <c r="BV32" s="32">
        <f t="shared" si="17"/>
        <v>27300000</v>
      </c>
    </row>
    <row r="33" spans="1:74" ht="32.25" customHeight="1">
      <c r="A33" s="861"/>
      <c r="B33" s="451"/>
      <c r="C33" s="427" t="s">
        <v>506</v>
      </c>
      <c r="D33" s="445"/>
      <c r="E33" s="132"/>
      <c r="F33" s="44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30"/>
      <c r="T33" s="30"/>
      <c r="U33" s="30"/>
      <c r="V33" s="32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30"/>
      <c r="BI33" s="6"/>
      <c r="BJ33" s="6"/>
      <c r="BK33" s="6"/>
      <c r="BL33" s="445"/>
      <c r="BN33" s="66"/>
      <c r="BO33" s="66">
        <f t="shared" si="13"/>
        <v>0</v>
      </c>
      <c r="BP33" s="66"/>
      <c r="BQ33" s="66"/>
      <c r="BR33" s="66">
        <f t="shared" si="14"/>
        <v>0</v>
      </c>
      <c r="BS33" s="66"/>
      <c r="BT33" s="66"/>
      <c r="BU33" s="66"/>
      <c r="BV33" s="429">
        <f t="shared" si="1"/>
        <v>0</v>
      </c>
    </row>
    <row r="34" spans="1:74" ht="32.25" customHeight="1">
      <c r="A34" s="861"/>
      <c r="B34" s="452" t="s">
        <v>758</v>
      </c>
      <c r="C34" s="131" t="s">
        <v>224</v>
      </c>
      <c r="D34" s="445" t="s">
        <v>535</v>
      </c>
      <c r="E34" s="132" t="s">
        <v>352</v>
      </c>
      <c r="F34" s="450">
        <f t="shared" ref="F34:F43" si="18">BJ34</f>
        <v>12108</v>
      </c>
      <c r="G34" s="6">
        <f t="shared" ref="G34:G43" si="19">BK34</f>
        <v>18264000</v>
      </c>
      <c r="H34" s="6">
        <f t="shared" ref="H34:H43" si="20">G34*0.2</f>
        <v>3652800</v>
      </c>
      <c r="I34" s="6">
        <f t="shared" ref="I34:I43" si="21">G34*0.8</f>
        <v>14611200</v>
      </c>
      <c r="J34" s="6"/>
      <c r="K34" s="6"/>
      <c r="L34" s="6"/>
      <c r="M34" s="6"/>
      <c r="N34" s="6"/>
      <c r="O34" s="6"/>
      <c r="P34" s="6"/>
      <c r="Q34" s="6"/>
      <c r="R34" s="30">
        <f t="shared" ref="R34:R43" si="22">F34*0.25</f>
        <v>3027</v>
      </c>
      <c r="S34" s="30">
        <f t="shared" ref="S34:S43" si="23">F34*0.25</f>
        <v>3027</v>
      </c>
      <c r="T34" s="30">
        <f t="shared" ref="T34:T43" si="24">F34*0.25</f>
        <v>3027</v>
      </c>
      <c r="U34" s="30">
        <f t="shared" ref="U34:U43" si="25">F34*0.25</f>
        <v>3027</v>
      </c>
      <c r="V34" s="6">
        <f t="shared" ref="V34:V43" si="26">R34*E34</f>
        <v>4540500</v>
      </c>
      <c r="W34" s="6">
        <f t="shared" ref="W34:W43" si="27">S34*E34</f>
        <v>4540500</v>
      </c>
      <c r="X34" s="6">
        <f t="shared" ref="X34:X43" si="28">T34*E34</f>
        <v>4540500</v>
      </c>
      <c r="Y34" s="6">
        <f t="shared" ref="Y34:Y43" si="29">U34*E34</f>
        <v>4540500</v>
      </c>
      <c r="Z34" s="6">
        <f>48*12</f>
        <v>576</v>
      </c>
      <c r="AA34" s="6">
        <f>Z34*1500</f>
        <v>864000</v>
      </c>
      <c r="AB34" s="6">
        <f>23*12</f>
        <v>276</v>
      </c>
      <c r="AC34" s="6">
        <f>AB34*1500</f>
        <v>414000</v>
      </c>
      <c r="AD34" s="6">
        <f>58*12</f>
        <v>696</v>
      </c>
      <c r="AE34" s="6">
        <f>AD34*1500</f>
        <v>1044000</v>
      </c>
      <c r="AF34" s="6">
        <f>89*12</f>
        <v>1068</v>
      </c>
      <c r="AG34" s="6">
        <f>AF34*1500</f>
        <v>1602000</v>
      </c>
      <c r="AH34" s="6">
        <f>38*12</f>
        <v>456</v>
      </c>
      <c r="AI34" s="6">
        <f>AH34*1500</f>
        <v>684000</v>
      </c>
      <c r="AJ34" s="6">
        <f>71*12</f>
        <v>852</v>
      </c>
      <c r="AK34" s="6">
        <f>AJ34*1500</f>
        <v>1278000</v>
      </c>
      <c r="AL34" s="6">
        <f>34*12</f>
        <v>408</v>
      </c>
      <c r="AM34" s="6">
        <f>AL34*1500</f>
        <v>612000</v>
      </c>
      <c r="AN34" s="6">
        <f>100*12</f>
        <v>1200</v>
      </c>
      <c r="AO34" s="6">
        <f>AN34*1500</f>
        <v>1800000</v>
      </c>
      <c r="AP34" s="6">
        <f>8*12</f>
        <v>96</v>
      </c>
      <c r="AQ34" s="6">
        <f>AP34*1500</f>
        <v>144000</v>
      </c>
      <c r="AR34" s="6">
        <f>32*12</f>
        <v>384</v>
      </c>
      <c r="AS34" s="483">
        <f>(AR34*1500)+102000</f>
        <v>678000</v>
      </c>
      <c r="AT34" s="6">
        <f>50*12</f>
        <v>600</v>
      </c>
      <c r="AU34" s="6">
        <f>AT34*1500</f>
        <v>900000</v>
      </c>
      <c r="AV34" s="6">
        <f>50*12</f>
        <v>600</v>
      </c>
      <c r="AW34" s="6">
        <f>AV34*1500</f>
        <v>900000</v>
      </c>
      <c r="AX34" s="6">
        <f>72*12</f>
        <v>864</v>
      </c>
      <c r="AY34" s="6">
        <f>AX34*1500</f>
        <v>1296000</v>
      </c>
      <c r="AZ34" s="30">
        <f>75*12</f>
        <v>900</v>
      </c>
      <c r="BA34" s="6">
        <f>AZ34*1500</f>
        <v>1350000</v>
      </c>
      <c r="BB34" s="6">
        <f>73*12</f>
        <v>876</v>
      </c>
      <c r="BC34" s="6">
        <f>BB34*1500</f>
        <v>1314000</v>
      </c>
      <c r="BD34" s="483">
        <f>134*12</f>
        <v>1608</v>
      </c>
      <c r="BE34" s="6">
        <f>BD34*1500</f>
        <v>2412000</v>
      </c>
      <c r="BF34" s="6">
        <f>54*12</f>
        <v>648</v>
      </c>
      <c r="BG34" s="6">
        <f>BF34*1500</f>
        <v>972000</v>
      </c>
      <c r="BH34" s="30">
        <v>0</v>
      </c>
      <c r="BI34" s="6">
        <f t="shared" si="2"/>
        <v>0</v>
      </c>
      <c r="BJ34" s="6">
        <f t="shared" ref="BJ34:BK43" si="30">Z34+AB34+AD34+AF34+AH34+AJ34+AL34+AN34+AP34+AR34+AT34+AV34+AX34+AZ34+BB34+BD34+BF34+BH34</f>
        <v>12108</v>
      </c>
      <c r="BK34" s="6">
        <f t="shared" si="30"/>
        <v>18264000</v>
      </c>
      <c r="BL34" s="445" t="s">
        <v>216</v>
      </c>
      <c r="BN34" s="6">
        <f>SUM(BN25:BN27)</f>
        <v>0</v>
      </c>
      <c r="BO34" s="6">
        <f t="shared" ref="BO34:BO43" si="31">BK34</f>
        <v>18264000</v>
      </c>
      <c r="BP34" s="6"/>
      <c r="BQ34" s="6">
        <f>SUM(BQ25:BQ33)</f>
        <v>0</v>
      </c>
      <c r="BR34" s="6">
        <f t="shared" ref="BR34:BR43" si="32">BQ34+BP34+BO34+BN34</f>
        <v>18264000</v>
      </c>
      <c r="BS34" s="6">
        <f>SUM(BS25:BS33)</f>
        <v>0</v>
      </c>
      <c r="BT34" s="6">
        <f>SUM(BT25:BT33)</f>
        <v>0</v>
      </c>
      <c r="BU34" s="6">
        <f>SUM(BU25:BU33)</f>
        <v>0</v>
      </c>
      <c r="BV34" s="6">
        <f t="shared" ref="BV34:BV43" si="33">BU34+BR34</f>
        <v>18264000</v>
      </c>
    </row>
    <row r="35" spans="1:74" ht="32.25" customHeight="1">
      <c r="A35" s="861"/>
      <c r="B35" s="452" t="s">
        <v>759</v>
      </c>
      <c r="C35" s="131" t="s">
        <v>507</v>
      </c>
      <c r="D35" s="445" t="s">
        <v>535</v>
      </c>
      <c r="E35" s="132" t="s">
        <v>408</v>
      </c>
      <c r="F35" s="450">
        <f t="shared" si="18"/>
        <v>1956</v>
      </c>
      <c r="G35" s="6">
        <f t="shared" si="19"/>
        <v>5883000</v>
      </c>
      <c r="H35" s="6">
        <f t="shared" si="20"/>
        <v>1176600</v>
      </c>
      <c r="I35" s="6">
        <f t="shared" si="21"/>
        <v>4706400</v>
      </c>
      <c r="J35" s="6"/>
      <c r="K35" s="6"/>
      <c r="L35" s="6"/>
      <c r="M35" s="6"/>
      <c r="N35" s="6"/>
      <c r="O35" s="6"/>
      <c r="P35" s="6"/>
      <c r="Q35" s="6"/>
      <c r="R35" s="6">
        <f t="shared" si="22"/>
        <v>489</v>
      </c>
      <c r="S35" s="6">
        <f t="shared" si="23"/>
        <v>489</v>
      </c>
      <c r="T35" s="6">
        <f t="shared" si="24"/>
        <v>489</v>
      </c>
      <c r="U35" s="6">
        <f t="shared" si="25"/>
        <v>489</v>
      </c>
      <c r="V35" s="6">
        <f t="shared" si="26"/>
        <v>1467000</v>
      </c>
      <c r="W35" s="6">
        <f t="shared" si="27"/>
        <v>1467000</v>
      </c>
      <c r="X35" s="435">
        <f t="shared" si="28"/>
        <v>1467000</v>
      </c>
      <c r="Y35" s="435">
        <f t="shared" si="29"/>
        <v>1467000</v>
      </c>
      <c r="Z35" s="6">
        <v>96</v>
      </c>
      <c r="AA35" s="6">
        <f t="shared" ref="AA35:AA40" si="34">Z35*E35</f>
        <v>288000</v>
      </c>
      <c r="AB35" s="6">
        <v>46</v>
      </c>
      <c r="AC35" s="6">
        <f t="shared" ref="AC35:AC40" si="35">AB35*E35</f>
        <v>138000</v>
      </c>
      <c r="AD35" s="6">
        <f>58*2</f>
        <v>116</v>
      </c>
      <c r="AE35" s="6">
        <f t="shared" ref="AE35:AE40" si="36">AD35*E35</f>
        <v>348000</v>
      </c>
      <c r="AF35" s="6">
        <f>89*2</f>
        <v>178</v>
      </c>
      <c r="AG35" s="6">
        <f t="shared" ref="AG35:AG40" si="37">AF35*E35</f>
        <v>534000</v>
      </c>
      <c r="AH35" s="6">
        <f>38*2</f>
        <v>76</v>
      </c>
      <c r="AI35" s="6">
        <f t="shared" ref="AI35:AI40" si="38">AH35*E35</f>
        <v>228000</v>
      </c>
      <c r="AJ35" s="6">
        <f>71*2</f>
        <v>142</v>
      </c>
      <c r="AK35" s="6">
        <f t="shared" ref="AK35:AK40" si="39">AJ35*E35</f>
        <v>426000</v>
      </c>
      <c r="AL35" s="6">
        <v>78</v>
      </c>
      <c r="AM35" s="6">
        <f t="shared" ref="AM35:AM40" si="40">AL35*E35</f>
        <v>234000</v>
      </c>
      <c r="AN35" s="6">
        <v>200</v>
      </c>
      <c r="AO35" s="6">
        <f t="shared" ref="AO35:AO40" si="41">AN35*E35</f>
        <v>600000</v>
      </c>
      <c r="AP35" s="6">
        <v>16</v>
      </c>
      <c r="AQ35" s="6">
        <f t="shared" ref="AQ35:AQ40" si="42">AP35*E35</f>
        <v>48000</v>
      </c>
      <c r="AR35" s="6">
        <v>64</v>
      </c>
      <c r="AS35" s="6">
        <f>(AR35*E35)+15000</f>
        <v>207000</v>
      </c>
      <c r="AT35" s="6">
        <v>100</v>
      </c>
      <c r="AU35" s="6">
        <f t="shared" ref="AU35:AU40" si="43">AT35*E35</f>
        <v>300000</v>
      </c>
      <c r="AV35" s="6">
        <v>100</v>
      </c>
      <c r="AW35" s="6">
        <f t="shared" ref="AW35:AW40" si="44">AV35*E35</f>
        <v>300000</v>
      </c>
      <c r="AX35" s="483">
        <v>72</v>
      </c>
      <c r="AY35" s="6">
        <f t="shared" ref="AY35:AY40" si="45">AX35*E35</f>
        <v>216000</v>
      </c>
      <c r="AZ35" s="30">
        <v>150</v>
      </c>
      <c r="BA35" s="6">
        <f t="shared" ref="BA35:BA40" si="46">AZ35*E35</f>
        <v>450000</v>
      </c>
      <c r="BB35" s="6">
        <v>146</v>
      </c>
      <c r="BC35" s="6">
        <f t="shared" ref="BC35:BC40" si="47">BB35*E35</f>
        <v>438000</v>
      </c>
      <c r="BD35" s="483">
        <f>134*2</f>
        <v>268</v>
      </c>
      <c r="BE35" s="6">
        <f t="shared" ref="BE35:BE40" si="48">BD35*E35</f>
        <v>804000</v>
      </c>
      <c r="BF35" s="6">
        <v>108</v>
      </c>
      <c r="BG35" s="6">
        <f t="shared" ref="BG35:BG40" si="49">BF35*E35</f>
        <v>324000</v>
      </c>
      <c r="BH35" s="30"/>
      <c r="BI35" s="6">
        <f t="shared" si="2"/>
        <v>0</v>
      </c>
      <c r="BJ35" s="6">
        <f t="shared" si="30"/>
        <v>1956</v>
      </c>
      <c r="BK35" s="6">
        <f t="shared" si="30"/>
        <v>5883000</v>
      </c>
      <c r="BL35" s="445" t="s">
        <v>216</v>
      </c>
      <c r="BN35" s="66"/>
      <c r="BO35" s="6">
        <f t="shared" si="31"/>
        <v>5883000</v>
      </c>
      <c r="BP35" s="66"/>
      <c r="BQ35" s="66"/>
      <c r="BR35" s="6">
        <f t="shared" si="32"/>
        <v>5883000</v>
      </c>
      <c r="BS35" s="66"/>
      <c r="BT35" s="66"/>
      <c r="BU35" s="66"/>
      <c r="BV35" s="6">
        <f t="shared" si="33"/>
        <v>5883000</v>
      </c>
    </row>
    <row r="36" spans="1:74" s="487" customFormat="1" ht="32.25" customHeight="1">
      <c r="A36" s="861"/>
      <c r="B36" s="517" t="s">
        <v>760</v>
      </c>
      <c r="C36" s="479" t="s">
        <v>682</v>
      </c>
      <c r="D36" s="480" t="s">
        <v>64</v>
      </c>
      <c r="E36" s="481">
        <v>25000</v>
      </c>
      <c r="F36" s="482">
        <f>BJ36</f>
        <v>40</v>
      </c>
      <c r="G36" s="483">
        <f>BK36</f>
        <v>1000000</v>
      </c>
      <c r="H36" s="483">
        <f>G36*0.2</f>
        <v>200000</v>
      </c>
      <c r="I36" s="483">
        <f>G36*0.8</f>
        <v>800000</v>
      </c>
      <c r="J36" s="483"/>
      <c r="K36" s="483"/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  <c r="W36" s="483"/>
      <c r="X36" s="485"/>
      <c r="Y36" s="485"/>
      <c r="Z36" s="483">
        <v>2</v>
      </c>
      <c r="AA36" s="483">
        <f t="shared" si="34"/>
        <v>50000</v>
      </c>
      <c r="AB36" s="483">
        <v>3</v>
      </c>
      <c r="AC36" s="483">
        <f t="shared" si="35"/>
        <v>75000</v>
      </c>
      <c r="AD36" s="483">
        <v>3</v>
      </c>
      <c r="AE36" s="483">
        <f t="shared" si="36"/>
        <v>75000</v>
      </c>
      <c r="AF36" s="483">
        <v>3</v>
      </c>
      <c r="AG36" s="483">
        <f t="shared" si="37"/>
        <v>75000</v>
      </c>
      <c r="AH36" s="483">
        <v>2</v>
      </c>
      <c r="AI36" s="483">
        <f t="shared" si="38"/>
        <v>50000</v>
      </c>
      <c r="AJ36" s="483">
        <v>2</v>
      </c>
      <c r="AK36" s="483">
        <f t="shared" si="39"/>
        <v>50000</v>
      </c>
      <c r="AL36" s="483">
        <v>2</v>
      </c>
      <c r="AM36" s="483">
        <f t="shared" si="40"/>
        <v>50000</v>
      </c>
      <c r="AN36" s="483">
        <v>2</v>
      </c>
      <c r="AO36" s="483">
        <f t="shared" si="41"/>
        <v>50000</v>
      </c>
      <c r="AP36" s="483">
        <v>3</v>
      </c>
      <c r="AQ36" s="483">
        <f t="shared" si="42"/>
        <v>75000</v>
      </c>
      <c r="AR36" s="483">
        <v>2</v>
      </c>
      <c r="AS36" s="483">
        <f t="shared" ref="AS36:AS40" si="50">AR36*E36</f>
        <v>50000</v>
      </c>
      <c r="AT36" s="483">
        <v>2</v>
      </c>
      <c r="AU36" s="483">
        <f t="shared" si="43"/>
        <v>50000</v>
      </c>
      <c r="AV36" s="483">
        <v>3</v>
      </c>
      <c r="AW36" s="483">
        <f t="shared" si="44"/>
        <v>75000</v>
      </c>
      <c r="AX36" s="483">
        <v>2</v>
      </c>
      <c r="AY36" s="483">
        <f t="shared" si="45"/>
        <v>50000</v>
      </c>
      <c r="AZ36" s="486">
        <v>3</v>
      </c>
      <c r="BA36" s="483">
        <f t="shared" si="46"/>
        <v>75000</v>
      </c>
      <c r="BB36" s="483">
        <v>2</v>
      </c>
      <c r="BC36" s="483">
        <f t="shared" si="47"/>
        <v>50000</v>
      </c>
      <c r="BD36" s="483">
        <v>2</v>
      </c>
      <c r="BE36" s="483">
        <f t="shared" si="48"/>
        <v>50000</v>
      </c>
      <c r="BF36" s="483">
        <v>2</v>
      </c>
      <c r="BG36" s="483">
        <f t="shared" si="49"/>
        <v>50000</v>
      </c>
      <c r="BH36" s="486"/>
      <c r="BI36" s="483"/>
      <c r="BJ36" s="483">
        <f>Z36+AB36+AD36+AF36+AH36+AJ36+AL36+AN36+AP36+AR36+AT36+AV36+AX36+AZ36+BB36+BD36+BF36+BH36</f>
        <v>40</v>
      </c>
      <c r="BK36" s="483">
        <f>AA36+AC36+AE36+AG36+AI36+AK36+AM36+AO36+AQ36+AS36+AU36+AW36+AY36+BA36+BC36+BE36+BG36+BI36</f>
        <v>1000000</v>
      </c>
      <c r="BL36" s="480" t="s">
        <v>216</v>
      </c>
      <c r="BN36" s="488"/>
      <c r="BO36" s="483"/>
      <c r="BP36" s="488"/>
      <c r="BQ36" s="488"/>
      <c r="BR36" s="483"/>
      <c r="BS36" s="488"/>
      <c r="BT36" s="488"/>
      <c r="BU36" s="488"/>
      <c r="BV36" s="483"/>
    </row>
    <row r="37" spans="1:74" ht="32.25" customHeight="1">
      <c r="A37" s="861"/>
      <c r="B37" s="452" t="s">
        <v>761</v>
      </c>
      <c r="C37" s="131" t="s">
        <v>508</v>
      </c>
      <c r="D37" s="131" t="s">
        <v>514</v>
      </c>
      <c r="E37" s="132">
        <v>100</v>
      </c>
      <c r="F37" s="450">
        <f t="shared" si="18"/>
        <v>2964</v>
      </c>
      <c r="G37" s="6">
        <f t="shared" si="19"/>
        <v>296400</v>
      </c>
      <c r="H37" s="6">
        <f t="shared" si="20"/>
        <v>59280</v>
      </c>
      <c r="I37" s="6">
        <f t="shared" si="21"/>
        <v>237120</v>
      </c>
      <c r="J37" s="6"/>
      <c r="K37" s="6"/>
      <c r="L37" s="6"/>
      <c r="M37" s="6"/>
      <c r="N37" s="6"/>
      <c r="O37" s="6"/>
      <c r="P37" s="6"/>
      <c r="Q37" s="6"/>
      <c r="R37" s="6">
        <f t="shared" si="22"/>
        <v>741</v>
      </c>
      <c r="S37" s="6">
        <f t="shared" si="23"/>
        <v>741</v>
      </c>
      <c r="T37" s="6">
        <f t="shared" si="24"/>
        <v>741</v>
      </c>
      <c r="U37" s="6">
        <f t="shared" si="25"/>
        <v>741</v>
      </c>
      <c r="V37" s="6">
        <f t="shared" si="26"/>
        <v>74100</v>
      </c>
      <c r="W37" s="6">
        <f t="shared" si="27"/>
        <v>74100</v>
      </c>
      <c r="X37" s="435">
        <f t="shared" si="28"/>
        <v>74100</v>
      </c>
      <c r="Y37" s="435">
        <f t="shared" si="29"/>
        <v>74100</v>
      </c>
      <c r="Z37" s="6">
        <f>48*3</f>
        <v>144</v>
      </c>
      <c r="AA37" s="6">
        <f t="shared" si="34"/>
        <v>14400</v>
      </c>
      <c r="AB37" s="6">
        <f>23*4</f>
        <v>92</v>
      </c>
      <c r="AC37" s="6">
        <f t="shared" si="35"/>
        <v>9200</v>
      </c>
      <c r="AD37" s="6">
        <f>58*3</f>
        <v>174</v>
      </c>
      <c r="AE37" s="6">
        <f t="shared" si="36"/>
        <v>17400</v>
      </c>
      <c r="AF37" s="6"/>
      <c r="AG37" s="6">
        <f t="shared" si="37"/>
        <v>0</v>
      </c>
      <c r="AH37" s="6">
        <f>38*3</f>
        <v>114</v>
      </c>
      <c r="AI37" s="6">
        <f t="shared" si="38"/>
        <v>11400</v>
      </c>
      <c r="AJ37" s="6">
        <f>71*3</f>
        <v>213</v>
      </c>
      <c r="AK37" s="6">
        <f t="shared" si="39"/>
        <v>21300</v>
      </c>
      <c r="AL37" s="6">
        <v>40</v>
      </c>
      <c r="AM37" s="6">
        <f t="shared" si="40"/>
        <v>4000</v>
      </c>
      <c r="AN37" s="6">
        <f>100*2</f>
        <v>200</v>
      </c>
      <c r="AO37" s="6">
        <f t="shared" si="41"/>
        <v>20000</v>
      </c>
      <c r="AP37" s="6">
        <v>12</v>
      </c>
      <c r="AQ37" s="6">
        <f t="shared" si="42"/>
        <v>1200</v>
      </c>
      <c r="AR37" s="6">
        <f>32*2</f>
        <v>64</v>
      </c>
      <c r="AS37" s="6">
        <f t="shared" si="50"/>
        <v>6400</v>
      </c>
      <c r="AT37" s="6">
        <f>50*3</f>
        <v>150</v>
      </c>
      <c r="AU37" s="6">
        <f t="shared" si="43"/>
        <v>15000</v>
      </c>
      <c r="AV37" s="6">
        <f>50*3</f>
        <v>150</v>
      </c>
      <c r="AW37" s="6">
        <f t="shared" si="44"/>
        <v>15000</v>
      </c>
      <c r="AX37" s="6">
        <v>216</v>
      </c>
      <c r="AY37" s="6">
        <f t="shared" si="45"/>
        <v>21600</v>
      </c>
      <c r="AZ37" s="6">
        <f>75*3</f>
        <v>225</v>
      </c>
      <c r="BA37" s="6">
        <f t="shared" si="46"/>
        <v>22500</v>
      </c>
      <c r="BB37" s="6">
        <f>73*3</f>
        <v>219</v>
      </c>
      <c r="BC37" s="6">
        <f t="shared" si="47"/>
        <v>21900</v>
      </c>
      <c r="BD37" s="6">
        <f>137*3</f>
        <v>411</v>
      </c>
      <c r="BE37" s="6">
        <f t="shared" si="48"/>
        <v>41100</v>
      </c>
      <c r="BF37" s="6">
        <f>54*10</f>
        <v>540</v>
      </c>
      <c r="BG37" s="6">
        <f t="shared" si="49"/>
        <v>54000</v>
      </c>
      <c r="BH37" s="30"/>
      <c r="BI37" s="6">
        <f t="shared" si="2"/>
        <v>0</v>
      </c>
      <c r="BJ37" s="6">
        <f t="shared" si="30"/>
        <v>2964</v>
      </c>
      <c r="BK37" s="6">
        <f t="shared" si="30"/>
        <v>296400</v>
      </c>
      <c r="BL37" s="445" t="s">
        <v>216</v>
      </c>
      <c r="BN37" s="66"/>
      <c r="BO37" s="6">
        <f t="shared" si="31"/>
        <v>296400</v>
      </c>
      <c r="BP37" s="66"/>
      <c r="BQ37" s="66"/>
      <c r="BR37" s="6">
        <f t="shared" si="32"/>
        <v>296400</v>
      </c>
      <c r="BS37" s="66"/>
      <c r="BT37" s="66"/>
      <c r="BU37" s="66"/>
      <c r="BV37" s="6">
        <f t="shared" si="33"/>
        <v>296400</v>
      </c>
    </row>
    <row r="38" spans="1:74" s="581" customFormat="1" ht="32.25" customHeight="1">
      <c r="A38" s="861"/>
      <c r="B38" s="574" t="s">
        <v>762</v>
      </c>
      <c r="C38" s="575" t="s">
        <v>970</v>
      </c>
      <c r="D38" s="575" t="s">
        <v>514</v>
      </c>
      <c r="E38" s="576">
        <v>800</v>
      </c>
      <c r="F38" s="577">
        <f t="shared" si="18"/>
        <v>0</v>
      </c>
      <c r="G38" s="573">
        <f>E38*F38</f>
        <v>0</v>
      </c>
      <c r="H38" s="573">
        <f t="shared" si="20"/>
        <v>0</v>
      </c>
      <c r="I38" s="573">
        <f t="shared" si="21"/>
        <v>0</v>
      </c>
      <c r="J38" s="573"/>
      <c r="K38" s="573"/>
      <c r="L38" s="573"/>
      <c r="M38" s="573"/>
      <c r="N38" s="573"/>
      <c r="O38" s="573"/>
      <c r="P38" s="573"/>
      <c r="Q38" s="573"/>
      <c r="R38" s="573">
        <f t="shared" si="22"/>
        <v>0</v>
      </c>
      <c r="S38" s="573">
        <f t="shared" si="23"/>
        <v>0</v>
      </c>
      <c r="T38" s="573">
        <f t="shared" si="24"/>
        <v>0</v>
      </c>
      <c r="U38" s="573">
        <f t="shared" si="25"/>
        <v>0</v>
      </c>
      <c r="V38" s="573">
        <f t="shared" si="26"/>
        <v>0</v>
      </c>
      <c r="W38" s="573">
        <f t="shared" si="27"/>
        <v>0</v>
      </c>
      <c r="X38" s="578">
        <f t="shared" si="28"/>
        <v>0</v>
      </c>
      <c r="Y38" s="578">
        <f t="shared" si="29"/>
        <v>0</v>
      </c>
      <c r="Z38" s="573">
        <v>0</v>
      </c>
      <c r="AA38" s="573">
        <f t="shared" si="34"/>
        <v>0</v>
      </c>
      <c r="AB38" s="573">
        <v>0</v>
      </c>
      <c r="AC38" s="573">
        <f t="shared" si="35"/>
        <v>0</v>
      </c>
      <c r="AD38" s="573">
        <v>0</v>
      </c>
      <c r="AE38" s="573">
        <f t="shared" si="36"/>
        <v>0</v>
      </c>
      <c r="AF38" s="573">
        <v>0</v>
      </c>
      <c r="AG38" s="573">
        <f t="shared" si="37"/>
        <v>0</v>
      </c>
      <c r="AH38" s="573">
        <v>0</v>
      </c>
      <c r="AI38" s="573">
        <f t="shared" si="38"/>
        <v>0</v>
      </c>
      <c r="AJ38" s="573">
        <v>0</v>
      </c>
      <c r="AK38" s="573">
        <f t="shared" si="39"/>
        <v>0</v>
      </c>
      <c r="AL38" s="573">
        <v>0</v>
      </c>
      <c r="AM38" s="573">
        <f t="shared" si="40"/>
        <v>0</v>
      </c>
      <c r="AN38" s="573">
        <v>0</v>
      </c>
      <c r="AO38" s="573">
        <f t="shared" si="41"/>
        <v>0</v>
      </c>
      <c r="AP38" s="573">
        <v>0</v>
      </c>
      <c r="AQ38" s="573">
        <f t="shared" si="42"/>
        <v>0</v>
      </c>
      <c r="AR38" s="573">
        <v>0</v>
      </c>
      <c r="AS38" s="573">
        <f t="shared" si="50"/>
        <v>0</v>
      </c>
      <c r="AT38" s="573">
        <v>0</v>
      </c>
      <c r="AU38" s="573">
        <f t="shared" si="43"/>
        <v>0</v>
      </c>
      <c r="AV38" s="573">
        <v>0</v>
      </c>
      <c r="AW38" s="573">
        <f t="shared" si="44"/>
        <v>0</v>
      </c>
      <c r="AX38" s="573">
        <v>0</v>
      </c>
      <c r="AY38" s="573">
        <f t="shared" si="45"/>
        <v>0</v>
      </c>
      <c r="AZ38" s="579">
        <v>0</v>
      </c>
      <c r="BA38" s="573">
        <f t="shared" si="46"/>
        <v>0</v>
      </c>
      <c r="BB38" s="573">
        <v>0</v>
      </c>
      <c r="BC38" s="573">
        <f t="shared" si="47"/>
        <v>0</v>
      </c>
      <c r="BD38" s="573">
        <v>0</v>
      </c>
      <c r="BE38" s="573">
        <f t="shared" si="48"/>
        <v>0</v>
      </c>
      <c r="BF38" s="573">
        <v>0</v>
      </c>
      <c r="BG38" s="573">
        <f t="shared" si="49"/>
        <v>0</v>
      </c>
      <c r="BH38" s="579"/>
      <c r="BI38" s="573">
        <f t="shared" si="2"/>
        <v>0</v>
      </c>
      <c r="BJ38" s="573">
        <f t="shared" si="30"/>
        <v>0</v>
      </c>
      <c r="BK38" s="573">
        <f t="shared" si="30"/>
        <v>0</v>
      </c>
      <c r="BL38" s="580" t="s">
        <v>216</v>
      </c>
      <c r="BN38" s="582"/>
      <c r="BO38" s="573">
        <f t="shared" si="31"/>
        <v>0</v>
      </c>
      <c r="BP38" s="582"/>
      <c r="BQ38" s="582"/>
      <c r="BR38" s="573">
        <f t="shared" si="32"/>
        <v>0</v>
      </c>
      <c r="BS38" s="582"/>
      <c r="BT38" s="582"/>
      <c r="BU38" s="582"/>
      <c r="BV38" s="573">
        <f t="shared" si="33"/>
        <v>0</v>
      </c>
    </row>
    <row r="39" spans="1:74" ht="31.5">
      <c r="A39" s="861"/>
      <c r="B39" s="452" t="s">
        <v>763</v>
      </c>
      <c r="C39" s="131" t="s">
        <v>684</v>
      </c>
      <c r="D39" s="131"/>
      <c r="E39" s="132">
        <v>1500</v>
      </c>
      <c r="F39" s="450">
        <f>BJ39</f>
        <v>106</v>
      </c>
      <c r="G39" s="6">
        <f>BK39</f>
        <v>159000</v>
      </c>
      <c r="H39" s="6">
        <f t="shared" si="20"/>
        <v>31800</v>
      </c>
      <c r="I39" s="6">
        <f t="shared" si="21"/>
        <v>127200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435"/>
      <c r="Y39" s="435"/>
      <c r="Z39" s="6">
        <v>0</v>
      </c>
      <c r="AA39" s="6">
        <f t="shared" si="34"/>
        <v>0</v>
      </c>
      <c r="AB39" s="6">
        <v>23</v>
      </c>
      <c r="AC39" s="6">
        <f t="shared" si="35"/>
        <v>34500</v>
      </c>
      <c r="AD39" s="483">
        <v>0</v>
      </c>
      <c r="AE39" s="483">
        <f t="shared" si="36"/>
        <v>0</v>
      </c>
      <c r="AF39" s="6">
        <v>0</v>
      </c>
      <c r="AG39" s="6">
        <f t="shared" si="37"/>
        <v>0</v>
      </c>
      <c r="AH39" s="6">
        <v>0</v>
      </c>
      <c r="AI39" s="6">
        <f t="shared" si="38"/>
        <v>0</v>
      </c>
      <c r="AJ39" s="6">
        <v>0</v>
      </c>
      <c r="AK39" s="6">
        <f t="shared" si="39"/>
        <v>0</v>
      </c>
      <c r="AL39" s="6">
        <v>0</v>
      </c>
      <c r="AM39" s="6">
        <f t="shared" si="40"/>
        <v>0</v>
      </c>
      <c r="AN39" s="6">
        <v>0</v>
      </c>
      <c r="AO39" s="6">
        <f t="shared" si="41"/>
        <v>0</v>
      </c>
      <c r="AP39" s="6">
        <v>8</v>
      </c>
      <c r="AQ39" s="6">
        <f t="shared" si="42"/>
        <v>12000</v>
      </c>
      <c r="AR39" s="6">
        <v>0</v>
      </c>
      <c r="AS39" s="6">
        <f t="shared" si="50"/>
        <v>0</v>
      </c>
      <c r="AT39" s="6">
        <v>0</v>
      </c>
      <c r="AU39" s="6">
        <f t="shared" si="43"/>
        <v>0</v>
      </c>
      <c r="AV39" s="6">
        <v>0</v>
      </c>
      <c r="AW39" s="6">
        <f t="shared" si="44"/>
        <v>0</v>
      </c>
      <c r="AX39" s="6">
        <v>0</v>
      </c>
      <c r="AY39" s="6">
        <f t="shared" si="45"/>
        <v>0</v>
      </c>
      <c r="AZ39" s="30">
        <v>75</v>
      </c>
      <c r="BA39" s="6">
        <f t="shared" si="46"/>
        <v>112500</v>
      </c>
      <c r="BB39" s="483">
        <v>0</v>
      </c>
      <c r="BC39" s="483">
        <f t="shared" si="47"/>
        <v>0</v>
      </c>
      <c r="BD39" s="483">
        <v>0</v>
      </c>
      <c r="BE39" s="6">
        <f t="shared" si="48"/>
        <v>0</v>
      </c>
      <c r="BF39" s="483">
        <v>0</v>
      </c>
      <c r="BG39" s="483">
        <f t="shared" si="49"/>
        <v>0</v>
      </c>
      <c r="BH39" s="30"/>
      <c r="BI39" s="6">
        <f t="shared" si="2"/>
        <v>0</v>
      </c>
      <c r="BJ39" s="6">
        <f t="shared" ref="BJ39:BK41" si="51">Z39+AB39+AD39+AF39+AH39+AJ39+AL39+AN39+AP39+AR39+AT39+AV39+AX39+AZ39+BB39+BD39+BF39+BH39</f>
        <v>106</v>
      </c>
      <c r="BK39" s="6">
        <f t="shared" si="51"/>
        <v>159000</v>
      </c>
      <c r="BL39" s="445" t="s">
        <v>216</v>
      </c>
      <c r="BN39" s="66"/>
      <c r="BO39" s="6"/>
      <c r="BP39" s="66"/>
      <c r="BQ39" s="66"/>
      <c r="BR39" s="6"/>
      <c r="BS39" s="66"/>
      <c r="BT39" s="66"/>
      <c r="BU39" s="66"/>
      <c r="BV39" s="6"/>
    </row>
    <row r="40" spans="1:74" ht="42" customHeight="1">
      <c r="A40" s="861"/>
      <c r="B40" s="452" t="s">
        <v>764</v>
      </c>
      <c r="C40" s="131" t="s">
        <v>934</v>
      </c>
      <c r="D40" s="131"/>
      <c r="E40" s="132">
        <v>1500</v>
      </c>
      <c r="F40" s="450">
        <f>BJ40</f>
        <v>106</v>
      </c>
      <c r="G40" s="6">
        <f>BK40</f>
        <v>159000</v>
      </c>
      <c r="H40" s="6">
        <f>G40*0.2</f>
        <v>31800</v>
      </c>
      <c r="I40" s="6">
        <f>G40*0.8</f>
        <v>127200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435"/>
      <c r="Y40" s="435"/>
      <c r="Z40" s="6">
        <v>0</v>
      </c>
      <c r="AA40" s="6">
        <f t="shared" si="34"/>
        <v>0</v>
      </c>
      <c r="AB40" s="6">
        <v>23</v>
      </c>
      <c r="AC40" s="6">
        <f t="shared" si="35"/>
        <v>34500</v>
      </c>
      <c r="AD40" s="483">
        <v>0</v>
      </c>
      <c r="AE40" s="483">
        <f t="shared" si="36"/>
        <v>0</v>
      </c>
      <c r="AF40" s="6">
        <v>0</v>
      </c>
      <c r="AG40" s="6">
        <f t="shared" si="37"/>
        <v>0</v>
      </c>
      <c r="AH40" s="6">
        <v>0</v>
      </c>
      <c r="AI40" s="6">
        <f t="shared" si="38"/>
        <v>0</v>
      </c>
      <c r="AJ40" s="6">
        <v>0</v>
      </c>
      <c r="AK40" s="6">
        <f t="shared" si="39"/>
        <v>0</v>
      </c>
      <c r="AL40" s="6">
        <v>0</v>
      </c>
      <c r="AM40" s="6">
        <f t="shared" si="40"/>
        <v>0</v>
      </c>
      <c r="AN40" s="6">
        <v>0</v>
      </c>
      <c r="AO40" s="6">
        <f t="shared" si="41"/>
        <v>0</v>
      </c>
      <c r="AP40" s="6">
        <v>8</v>
      </c>
      <c r="AQ40" s="6">
        <f t="shared" si="42"/>
        <v>12000</v>
      </c>
      <c r="AR40" s="6">
        <v>0</v>
      </c>
      <c r="AS40" s="6">
        <f t="shared" si="50"/>
        <v>0</v>
      </c>
      <c r="AT40" s="6">
        <v>0</v>
      </c>
      <c r="AU40" s="6">
        <f t="shared" si="43"/>
        <v>0</v>
      </c>
      <c r="AV40" s="6">
        <v>0</v>
      </c>
      <c r="AW40" s="6">
        <f t="shared" si="44"/>
        <v>0</v>
      </c>
      <c r="AX40" s="6">
        <v>0</v>
      </c>
      <c r="AY40" s="6">
        <f t="shared" si="45"/>
        <v>0</v>
      </c>
      <c r="AZ40" s="30">
        <v>75</v>
      </c>
      <c r="BA40" s="6">
        <f t="shared" si="46"/>
        <v>112500</v>
      </c>
      <c r="BB40" s="483">
        <v>0</v>
      </c>
      <c r="BC40" s="483">
        <f t="shared" si="47"/>
        <v>0</v>
      </c>
      <c r="BD40" s="483">
        <v>0</v>
      </c>
      <c r="BE40" s="6">
        <f t="shared" si="48"/>
        <v>0</v>
      </c>
      <c r="BF40" s="483">
        <v>0</v>
      </c>
      <c r="BG40" s="483">
        <f t="shared" si="49"/>
        <v>0</v>
      </c>
      <c r="BH40" s="30"/>
      <c r="BI40" s="6">
        <f t="shared" si="2"/>
        <v>0</v>
      </c>
      <c r="BJ40" s="6">
        <f t="shared" si="51"/>
        <v>106</v>
      </c>
      <c r="BK40" s="6">
        <f t="shared" si="51"/>
        <v>159000</v>
      </c>
      <c r="BL40" s="445" t="s">
        <v>216</v>
      </c>
      <c r="BN40" s="66"/>
      <c r="BO40" s="6"/>
      <c r="BP40" s="66"/>
      <c r="BQ40" s="66"/>
      <c r="BR40" s="6"/>
      <c r="BS40" s="66"/>
      <c r="BT40" s="66"/>
      <c r="BU40" s="66"/>
      <c r="BV40" s="6"/>
    </row>
    <row r="41" spans="1:74" ht="32.25" customHeight="1">
      <c r="A41" s="861"/>
      <c r="B41" s="452" t="s">
        <v>765</v>
      </c>
      <c r="C41" s="131" t="s">
        <v>685</v>
      </c>
      <c r="D41" s="131"/>
      <c r="E41" s="132">
        <v>15000</v>
      </c>
      <c r="F41" s="450">
        <f>2*12</f>
        <v>24</v>
      </c>
      <c r="G41" s="6">
        <f>F41*E41</f>
        <v>360000</v>
      </c>
      <c r="H41" s="6">
        <f>G41*0.5</f>
        <v>180000</v>
      </c>
      <c r="I41" s="6">
        <f>G41*0.5</f>
        <v>180000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435"/>
      <c r="Y41" s="435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30"/>
      <c r="BA41" s="6"/>
      <c r="BB41" s="6"/>
      <c r="BC41" s="6"/>
      <c r="BD41" s="6"/>
      <c r="BE41" s="6"/>
      <c r="BF41" s="6"/>
      <c r="BG41" s="6"/>
      <c r="BH41" s="30">
        <f>2*12</f>
        <v>24</v>
      </c>
      <c r="BI41" s="6">
        <f t="shared" si="2"/>
        <v>360000</v>
      </c>
      <c r="BJ41" s="6">
        <f t="shared" si="51"/>
        <v>24</v>
      </c>
      <c r="BK41" s="6">
        <f t="shared" si="51"/>
        <v>360000</v>
      </c>
      <c r="BL41" s="445" t="s">
        <v>937</v>
      </c>
      <c r="BN41" s="66"/>
      <c r="BO41" s="6"/>
      <c r="BP41" s="66"/>
      <c r="BQ41" s="66"/>
      <c r="BR41" s="6"/>
      <c r="BS41" s="66"/>
      <c r="BT41" s="66"/>
      <c r="BU41" s="66"/>
      <c r="BV41" s="6"/>
    </row>
    <row r="42" spans="1:74" ht="32.25" customHeight="1">
      <c r="A42" s="861"/>
      <c r="B42" s="452" t="s">
        <v>766</v>
      </c>
      <c r="C42" s="131" t="s">
        <v>315</v>
      </c>
      <c r="D42" s="445" t="s">
        <v>32</v>
      </c>
      <c r="E42" s="132" t="s">
        <v>491</v>
      </c>
      <c r="F42" s="450">
        <f t="shared" si="18"/>
        <v>88</v>
      </c>
      <c r="G42" s="6">
        <f t="shared" si="19"/>
        <v>176000</v>
      </c>
      <c r="H42" s="6">
        <f t="shared" si="20"/>
        <v>35200</v>
      </c>
      <c r="I42" s="6">
        <f t="shared" si="21"/>
        <v>140800</v>
      </c>
      <c r="J42" s="450"/>
      <c r="K42" s="6"/>
      <c r="L42" s="450"/>
      <c r="M42" s="6"/>
      <c r="N42" s="450"/>
      <c r="O42" s="6"/>
      <c r="P42" s="450"/>
      <c r="Q42" s="6"/>
      <c r="R42" s="450">
        <f t="shared" si="22"/>
        <v>22</v>
      </c>
      <c r="S42" s="6">
        <f t="shared" si="23"/>
        <v>22</v>
      </c>
      <c r="T42" s="450">
        <f t="shared" si="24"/>
        <v>22</v>
      </c>
      <c r="U42" s="6">
        <f t="shared" si="25"/>
        <v>22</v>
      </c>
      <c r="V42" s="450">
        <f t="shared" si="26"/>
        <v>44000</v>
      </c>
      <c r="W42" s="6">
        <f t="shared" si="27"/>
        <v>44000</v>
      </c>
      <c r="X42" s="450">
        <f t="shared" si="28"/>
        <v>44000</v>
      </c>
      <c r="Y42" s="6">
        <f t="shared" si="29"/>
        <v>44000</v>
      </c>
      <c r="Z42" s="450">
        <f>BZ42</f>
        <v>0</v>
      </c>
      <c r="AA42" s="6">
        <f>Z42*Y42</f>
        <v>0</v>
      </c>
      <c r="AB42" s="450">
        <f>CB42</f>
        <v>0</v>
      </c>
      <c r="AC42" s="6">
        <f>AB42*AA42</f>
        <v>0</v>
      </c>
      <c r="AD42" s="450">
        <f>CD42</f>
        <v>0</v>
      </c>
      <c r="AE42" s="6">
        <f>AD42*AC42</f>
        <v>0</v>
      </c>
      <c r="AF42" s="450">
        <f>CF42</f>
        <v>0</v>
      </c>
      <c r="AG42" s="6">
        <f>AF42*AE42</f>
        <v>0</v>
      </c>
      <c r="AH42" s="450">
        <f>CH42</f>
        <v>0</v>
      </c>
      <c r="AI42" s="6">
        <f>AH42*AG42</f>
        <v>0</v>
      </c>
      <c r="AJ42" s="450">
        <f>CJ42</f>
        <v>0</v>
      </c>
      <c r="AK42" s="6">
        <f>AJ42*E42</f>
        <v>0</v>
      </c>
      <c r="AL42" s="6">
        <v>0</v>
      </c>
      <c r="AM42" s="6">
        <f>AL42*E42</f>
        <v>0</v>
      </c>
      <c r="AN42" s="6">
        <v>0</v>
      </c>
      <c r="AO42" s="6">
        <f>AN42*E42</f>
        <v>0</v>
      </c>
      <c r="AP42" s="6">
        <v>0</v>
      </c>
      <c r="AQ42" s="6">
        <f>AP42*E42</f>
        <v>0</v>
      </c>
      <c r="AR42" s="483">
        <v>32</v>
      </c>
      <c r="AS42" s="6">
        <f>AR42*E42</f>
        <v>64000</v>
      </c>
      <c r="AT42" s="6">
        <v>0</v>
      </c>
      <c r="AU42" s="6">
        <f>AT42*E42</f>
        <v>0</v>
      </c>
      <c r="AV42" s="6">
        <v>0</v>
      </c>
      <c r="AW42" s="6">
        <f>AV42*E42</f>
        <v>0</v>
      </c>
      <c r="AX42" s="6">
        <v>0</v>
      </c>
      <c r="AY42" s="6">
        <f>AX42*E42</f>
        <v>0</v>
      </c>
      <c r="AZ42" s="30">
        <v>0</v>
      </c>
      <c r="BA42" s="6">
        <f>AZ42*E42</f>
        <v>0</v>
      </c>
      <c r="BB42" s="6">
        <v>0</v>
      </c>
      <c r="BC42" s="6">
        <f>BB42*E42</f>
        <v>0</v>
      </c>
      <c r="BD42" s="6">
        <v>56</v>
      </c>
      <c r="BE42" s="6">
        <f>BD42*E42</f>
        <v>112000</v>
      </c>
      <c r="BF42" s="6">
        <v>0</v>
      </c>
      <c r="BG42" s="6">
        <f>BF42*E42</f>
        <v>0</v>
      </c>
      <c r="BH42" s="30"/>
      <c r="BI42" s="6">
        <f t="shared" si="2"/>
        <v>0</v>
      </c>
      <c r="BJ42" s="6">
        <f t="shared" si="30"/>
        <v>88</v>
      </c>
      <c r="BK42" s="6">
        <f t="shared" si="30"/>
        <v>176000</v>
      </c>
      <c r="BL42" s="445" t="s">
        <v>216</v>
      </c>
      <c r="BM42" s="437"/>
      <c r="BN42" s="6"/>
      <c r="BO42" s="6">
        <f t="shared" si="31"/>
        <v>176000</v>
      </c>
      <c r="BP42" s="6"/>
      <c r="BQ42" s="6"/>
      <c r="BR42" s="6">
        <f t="shared" si="32"/>
        <v>176000</v>
      </c>
      <c r="BS42" s="6"/>
      <c r="BT42" s="6"/>
      <c r="BU42" s="6"/>
      <c r="BV42" s="6">
        <f t="shared" si="33"/>
        <v>176000</v>
      </c>
    </row>
    <row r="43" spans="1:74" ht="32.25" customHeight="1">
      <c r="A43" s="861"/>
      <c r="B43" s="452" t="s">
        <v>767</v>
      </c>
      <c r="C43" s="435" t="s">
        <v>572</v>
      </c>
      <c r="D43" s="445" t="s">
        <v>573</v>
      </c>
      <c r="E43" s="132">
        <v>35000</v>
      </c>
      <c r="F43" s="450">
        <f t="shared" si="18"/>
        <v>54</v>
      </c>
      <c r="G43" s="6">
        <f t="shared" si="19"/>
        <v>554670</v>
      </c>
      <c r="H43" s="6">
        <f t="shared" si="20"/>
        <v>110934</v>
      </c>
      <c r="I43" s="6">
        <f t="shared" si="21"/>
        <v>443736</v>
      </c>
      <c r="J43" s="6"/>
      <c r="K43" s="6"/>
      <c r="L43" s="6"/>
      <c r="M43" s="6"/>
      <c r="N43" s="6"/>
      <c r="O43" s="6"/>
      <c r="P43" s="6"/>
      <c r="Q43" s="6"/>
      <c r="R43" s="6">
        <f t="shared" si="22"/>
        <v>13.5</v>
      </c>
      <c r="S43" s="6">
        <f t="shared" si="23"/>
        <v>13.5</v>
      </c>
      <c r="T43" s="6">
        <f t="shared" si="24"/>
        <v>13.5</v>
      </c>
      <c r="U43" s="6">
        <f t="shared" si="25"/>
        <v>13.5</v>
      </c>
      <c r="V43" s="6">
        <f t="shared" si="26"/>
        <v>472500</v>
      </c>
      <c r="W43" s="6">
        <f t="shared" si="27"/>
        <v>472500</v>
      </c>
      <c r="X43" s="6">
        <f t="shared" si="28"/>
        <v>472500</v>
      </c>
      <c r="Y43" s="6">
        <f t="shared" si="29"/>
        <v>472500</v>
      </c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>
        <v>0</v>
      </c>
      <c r="AO43" s="6">
        <f>AN43*E43</f>
        <v>0</v>
      </c>
      <c r="AP43" s="6"/>
      <c r="AQ43" s="6"/>
      <c r="AR43" s="6"/>
      <c r="AS43" s="6"/>
      <c r="AT43" s="6"/>
      <c r="AU43" s="6"/>
      <c r="AV43" s="6">
        <v>0</v>
      </c>
      <c r="AW43" s="6">
        <f>AV43*E43</f>
        <v>0</v>
      </c>
      <c r="AX43" s="6"/>
      <c r="AY43" s="6"/>
      <c r="AZ43" s="30"/>
      <c r="BA43" s="6"/>
      <c r="BB43" s="6"/>
      <c r="BC43" s="6"/>
      <c r="BD43" s="483">
        <v>54</v>
      </c>
      <c r="BE43" s="6">
        <v>554670</v>
      </c>
      <c r="BF43" s="6">
        <v>0</v>
      </c>
      <c r="BG43" s="6"/>
      <c r="BH43" s="30"/>
      <c r="BI43" s="6"/>
      <c r="BJ43" s="6">
        <f t="shared" si="30"/>
        <v>54</v>
      </c>
      <c r="BK43" s="6">
        <f t="shared" si="30"/>
        <v>554670</v>
      </c>
      <c r="BL43" s="445" t="s">
        <v>216</v>
      </c>
      <c r="BM43" s="438"/>
      <c r="BN43" s="6"/>
      <c r="BO43" s="6">
        <f t="shared" si="31"/>
        <v>554670</v>
      </c>
      <c r="BP43" s="6"/>
      <c r="BQ43" s="6"/>
      <c r="BR43" s="6">
        <f t="shared" si="32"/>
        <v>554670</v>
      </c>
      <c r="BS43" s="6"/>
      <c r="BT43" s="6"/>
      <c r="BU43" s="6"/>
      <c r="BV43" s="6">
        <f t="shared" si="33"/>
        <v>554670</v>
      </c>
    </row>
    <row r="44" spans="1:74" s="423" customFormat="1" ht="32.25" customHeight="1">
      <c r="A44" s="861"/>
      <c r="B44" s="444"/>
      <c r="C44" s="427" t="s">
        <v>509</v>
      </c>
      <c r="D44" s="447" t="s">
        <v>115</v>
      </c>
      <c r="E44" s="436" t="s">
        <v>115</v>
      </c>
      <c r="F44" s="32">
        <f>SUM(F34:F43)</f>
        <v>17446</v>
      </c>
      <c r="G44" s="32">
        <f>SUM(G34:G43)</f>
        <v>26852070</v>
      </c>
      <c r="H44" s="561">
        <f t="shared" ref="H44:BS44" si="52">SUM(H34:H43)</f>
        <v>5478414</v>
      </c>
      <c r="I44" s="561">
        <f t="shared" si="52"/>
        <v>21373656</v>
      </c>
      <c r="J44" s="561">
        <f t="shared" si="52"/>
        <v>0</v>
      </c>
      <c r="K44" s="561">
        <f t="shared" si="52"/>
        <v>0</v>
      </c>
      <c r="L44" s="561">
        <f t="shared" si="52"/>
        <v>0</v>
      </c>
      <c r="M44" s="561">
        <f t="shared" si="52"/>
        <v>0</v>
      </c>
      <c r="N44" s="561">
        <f t="shared" si="52"/>
        <v>0</v>
      </c>
      <c r="O44" s="561">
        <f t="shared" si="52"/>
        <v>0</v>
      </c>
      <c r="P44" s="561">
        <f t="shared" si="52"/>
        <v>0</v>
      </c>
      <c r="Q44" s="561">
        <f t="shared" si="52"/>
        <v>0</v>
      </c>
      <c r="R44" s="561">
        <f t="shared" si="52"/>
        <v>4292.5</v>
      </c>
      <c r="S44" s="561">
        <f t="shared" si="52"/>
        <v>4292.5</v>
      </c>
      <c r="T44" s="561">
        <f t="shared" si="52"/>
        <v>4292.5</v>
      </c>
      <c r="U44" s="561">
        <f t="shared" si="52"/>
        <v>4292.5</v>
      </c>
      <c r="V44" s="561">
        <f t="shared" si="52"/>
        <v>6598100</v>
      </c>
      <c r="W44" s="561">
        <f t="shared" si="52"/>
        <v>6598100</v>
      </c>
      <c r="X44" s="561">
        <f t="shared" si="52"/>
        <v>6598100</v>
      </c>
      <c r="Y44" s="561">
        <f t="shared" si="52"/>
        <v>6598100</v>
      </c>
      <c r="Z44" s="561">
        <f t="shared" si="52"/>
        <v>818</v>
      </c>
      <c r="AA44" s="561">
        <f t="shared" si="52"/>
        <v>1216400</v>
      </c>
      <c r="AB44" s="561">
        <f t="shared" si="52"/>
        <v>463</v>
      </c>
      <c r="AC44" s="561">
        <f t="shared" si="52"/>
        <v>705200</v>
      </c>
      <c r="AD44" s="561">
        <f t="shared" si="52"/>
        <v>989</v>
      </c>
      <c r="AE44" s="561">
        <f t="shared" si="52"/>
        <v>1484400</v>
      </c>
      <c r="AF44" s="561">
        <f t="shared" si="52"/>
        <v>1249</v>
      </c>
      <c r="AG44" s="561">
        <f t="shared" si="52"/>
        <v>2211000</v>
      </c>
      <c r="AH44" s="561">
        <f t="shared" si="52"/>
        <v>648</v>
      </c>
      <c r="AI44" s="561">
        <f t="shared" si="52"/>
        <v>973400</v>
      </c>
      <c r="AJ44" s="561">
        <f t="shared" si="52"/>
        <v>1209</v>
      </c>
      <c r="AK44" s="561">
        <f t="shared" si="52"/>
        <v>1775300</v>
      </c>
      <c r="AL44" s="561">
        <f t="shared" si="52"/>
        <v>528</v>
      </c>
      <c r="AM44" s="561">
        <f t="shared" si="52"/>
        <v>900000</v>
      </c>
      <c r="AN44" s="561">
        <f t="shared" si="52"/>
        <v>1602</v>
      </c>
      <c r="AO44" s="561">
        <f t="shared" si="52"/>
        <v>2470000</v>
      </c>
      <c r="AP44" s="561">
        <f t="shared" si="52"/>
        <v>143</v>
      </c>
      <c r="AQ44" s="561">
        <f t="shared" si="52"/>
        <v>292200</v>
      </c>
      <c r="AR44" s="561">
        <f t="shared" si="52"/>
        <v>546</v>
      </c>
      <c r="AS44" s="561">
        <f t="shared" si="52"/>
        <v>1005400</v>
      </c>
      <c r="AT44" s="561">
        <f t="shared" si="52"/>
        <v>852</v>
      </c>
      <c r="AU44" s="561">
        <f t="shared" si="52"/>
        <v>1265000</v>
      </c>
      <c r="AV44" s="561">
        <f t="shared" si="52"/>
        <v>853</v>
      </c>
      <c r="AW44" s="561">
        <f t="shared" si="52"/>
        <v>1290000</v>
      </c>
      <c r="AX44" s="561">
        <f t="shared" si="52"/>
        <v>1154</v>
      </c>
      <c r="AY44" s="561">
        <f t="shared" si="52"/>
        <v>1583600</v>
      </c>
      <c r="AZ44" s="561">
        <f t="shared" si="52"/>
        <v>1428</v>
      </c>
      <c r="BA44" s="561">
        <f t="shared" si="52"/>
        <v>2122500</v>
      </c>
      <c r="BB44" s="561">
        <f t="shared" si="52"/>
        <v>1243</v>
      </c>
      <c r="BC44" s="561">
        <f t="shared" si="52"/>
        <v>1823900</v>
      </c>
      <c r="BD44" s="561">
        <f t="shared" si="52"/>
        <v>2399</v>
      </c>
      <c r="BE44" s="561">
        <f t="shared" si="52"/>
        <v>3973770</v>
      </c>
      <c r="BF44" s="561">
        <f t="shared" si="52"/>
        <v>1298</v>
      </c>
      <c r="BG44" s="561">
        <f t="shared" si="52"/>
        <v>1400000</v>
      </c>
      <c r="BH44" s="561">
        <f t="shared" si="52"/>
        <v>24</v>
      </c>
      <c r="BI44" s="561">
        <f t="shared" si="52"/>
        <v>360000</v>
      </c>
      <c r="BJ44" s="561">
        <f t="shared" si="52"/>
        <v>17446</v>
      </c>
      <c r="BK44" s="561">
        <f t="shared" si="52"/>
        <v>26852070</v>
      </c>
      <c r="BL44" s="561">
        <f t="shared" si="52"/>
        <v>0</v>
      </c>
      <c r="BM44" s="561">
        <f t="shared" si="52"/>
        <v>0</v>
      </c>
      <c r="BN44" s="561">
        <f t="shared" si="52"/>
        <v>0</v>
      </c>
      <c r="BO44" s="561">
        <f t="shared" si="52"/>
        <v>25174070</v>
      </c>
      <c r="BP44" s="561">
        <f t="shared" si="52"/>
        <v>0</v>
      </c>
      <c r="BQ44" s="561">
        <f t="shared" si="52"/>
        <v>0</v>
      </c>
      <c r="BR44" s="561">
        <f t="shared" si="52"/>
        <v>25174070</v>
      </c>
      <c r="BS44" s="561">
        <f t="shared" si="52"/>
        <v>0</v>
      </c>
      <c r="BT44" s="561">
        <f t="shared" ref="BT44:BV44" si="53">SUM(BT34:BT43)</f>
        <v>0</v>
      </c>
      <c r="BU44" s="561">
        <f t="shared" si="53"/>
        <v>0</v>
      </c>
      <c r="BV44" s="561">
        <f t="shared" si="53"/>
        <v>25174070</v>
      </c>
    </row>
    <row r="45" spans="1:74" ht="32.25" customHeight="1">
      <c r="A45" s="861"/>
      <c r="B45" s="452"/>
      <c r="C45" s="427" t="s">
        <v>510</v>
      </c>
      <c r="D45" s="445"/>
      <c r="E45" s="132"/>
      <c r="F45" s="44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30"/>
      <c r="BI45" s="6"/>
      <c r="BJ45" s="6"/>
      <c r="BK45" s="6"/>
      <c r="BL45" s="445"/>
      <c r="BM45" s="422"/>
      <c r="BN45" s="6"/>
      <c r="BO45" s="6">
        <f>G45</f>
        <v>0</v>
      </c>
      <c r="BP45" s="6"/>
      <c r="BQ45" s="6"/>
      <c r="BR45" s="6">
        <f>BN45+BO45+BP45+BQ45</f>
        <v>0</v>
      </c>
      <c r="BS45" s="6"/>
      <c r="BT45" s="6"/>
      <c r="BU45" s="6"/>
      <c r="BV45" s="6"/>
    </row>
    <row r="46" spans="1:74" ht="32.25" customHeight="1">
      <c r="A46" s="861"/>
      <c r="B46" s="452" t="s">
        <v>768</v>
      </c>
      <c r="C46" s="131" t="s">
        <v>523</v>
      </c>
      <c r="D46" s="445" t="s">
        <v>32</v>
      </c>
      <c r="E46" s="132">
        <v>200000</v>
      </c>
      <c r="F46" s="450">
        <f t="shared" ref="F46:G48" si="54">BJ46</f>
        <v>9</v>
      </c>
      <c r="G46" s="450">
        <f t="shared" si="54"/>
        <v>1670000</v>
      </c>
      <c r="H46" s="6"/>
      <c r="I46" s="6">
        <f>G46</f>
        <v>1670000</v>
      </c>
      <c r="J46" s="6"/>
      <c r="K46" s="6"/>
      <c r="L46" s="6"/>
      <c r="M46" s="6"/>
      <c r="N46" s="6"/>
      <c r="O46" s="6"/>
      <c r="P46" s="6"/>
      <c r="Q46" s="6"/>
      <c r="R46" s="6">
        <f>F46*0.25</f>
        <v>2.25</v>
      </c>
      <c r="S46" s="6">
        <f>F46*0.25</f>
        <v>2.25</v>
      </c>
      <c r="T46" s="6">
        <f>F46*0.25</f>
        <v>2.25</v>
      </c>
      <c r="U46" s="6">
        <f>F46*0.25</f>
        <v>2.25</v>
      </c>
      <c r="V46" s="6">
        <f>R46*E46</f>
        <v>450000</v>
      </c>
      <c r="W46" s="6">
        <f>S46*E46</f>
        <v>450000</v>
      </c>
      <c r="X46" s="6">
        <f>T46*E46</f>
        <v>450000</v>
      </c>
      <c r="Y46" s="6">
        <f>U46*E46</f>
        <v>450000</v>
      </c>
      <c r="Z46" s="6"/>
      <c r="AA46" s="6"/>
      <c r="AB46" s="6">
        <f>AA46*E46</f>
        <v>0</v>
      </c>
      <c r="AC46" s="6"/>
      <c r="AD46" s="6">
        <f>AC46*E46</f>
        <v>0</v>
      </c>
      <c r="AE46" s="6"/>
      <c r="AF46" s="6">
        <f>AE46*E46</f>
        <v>0</v>
      </c>
      <c r="AG46" s="6"/>
      <c r="AH46" s="6">
        <f>AG46*E46</f>
        <v>0</v>
      </c>
      <c r="AI46" s="6"/>
      <c r="AJ46" s="6">
        <f>AI46*E46</f>
        <v>0</v>
      </c>
      <c r="AK46" s="6"/>
      <c r="AL46" s="6">
        <f>AK46*E46</f>
        <v>0</v>
      </c>
      <c r="AM46" s="6"/>
      <c r="AN46" s="6">
        <v>0</v>
      </c>
      <c r="AO46" s="6">
        <f>AN46*E46</f>
        <v>0</v>
      </c>
      <c r="AP46" s="6"/>
      <c r="AQ46" s="6"/>
      <c r="AR46" s="6">
        <f>AQ46*E46</f>
        <v>0</v>
      </c>
      <c r="AS46" s="6"/>
      <c r="AT46" s="6">
        <f>AS46*E46</f>
        <v>0</v>
      </c>
      <c r="AU46" s="6"/>
      <c r="AV46" s="483">
        <v>1</v>
      </c>
      <c r="AW46" s="483">
        <v>70000</v>
      </c>
      <c r="AX46" s="6"/>
      <c r="AY46" s="6">
        <f>AX46*E46</f>
        <v>0</v>
      </c>
      <c r="AZ46" s="6"/>
      <c r="BA46" s="6"/>
      <c r="BB46" s="6">
        <v>0</v>
      </c>
      <c r="BC46" s="6">
        <f>BB46*E46</f>
        <v>0</v>
      </c>
      <c r="BD46" s="483">
        <v>8</v>
      </c>
      <c r="BE46" s="6">
        <f>BD46*E46</f>
        <v>1600000</v>
      </c>
      <c r="BF46" s="6"/>
      <c r="BG46" s="30"/>
      <c r="BH46" s="6">
        <v>0</v>
      </c>
      <c r="BI46" s="431">
        <v>0</v>
      </c>
      <c r="BJ46" s="6">
        <f t="shared" ref="BJ46:BK48" si="55">Z46+AB46+AD46+AF46+AH46+AJ46+AL46+AN46+AP46+AR46+AT46+AV46+AX46+AZ46+BB46+BD46+BF46+BH46</f>
        <v>9</v>
      </c>
      <c r="BK46" s="6">
        <f t="shared" si="55"/>
        <v>1670000</v>
      </c>
      <c r="BL46" s="445" t="s">
        <v>217</v>
      </c>
      <c r="BM46" s="422"/>
      <c r="BN46" s="6"/>
      <c r="BO46" s="6">
        <f>BK46</f>
        <v>1670000</v>
      </c>
      <c r="BP46" s="6"/>
      <c r="BQ46" s="6"/>
      <c r="BR46" s="6">
        <f>BQ46+BP46+BO46+BN46</f>
        <v>1670000</v>
      </c>
      <c r="BS46" s="6"/>
      <c r="BT46" s="6"/>
      <c r="BU46" s="6"/>
      <c r="BV46" s="6">
        <f>BU46+BR46</f>
        <v>1670000</v>
      </c>
    </row>
    <row r="47" spans="1:74" s="467" customFormat="1" ht="32.25" customHeight="1">
      <c r="A47" s="861"/>
      <c r="B47" s="452" t="s">
        <v>770</v>
      </c>
      <c r="C47" s="131" t="s">
        <v>938</v>
      </c>
      <c r="D47" s="445" t="s">
        <v>32</v>
      </c>
      <c r="E47" s="503">
        <v>250000</v>
      </c>
      <c r="F47" s="450">
        <f t="shared" si="54"/>
        <v>100</v>
      </c>
      <c r="G47" s="450">
        <f t="shared" si="54"/>
        <v>25008000</v>
      </c>
      <c r="H47" s="6">
        <f>G47*0</f>
        <v>0</v>
      </c>
      <c r="I47" s="6">
        <f>G47*1</f>
        <v>25008000</v>
      </c>
      <c r="J47" s="6"/>
      <c r="K47" s="6"/>
      <c r="L47" s="6"/>
      <c r="M47" s="6"/>
      <c r="N47" s="6"/>
      <c r="O47" s="6"/>
      <c r="P47" s="6"/>
      <c r="Q47" s="6"/>
      <c r="R47" s="30">
        <f>F47*0.25</f>
        <v>25</v>
      </c>
      <c r="S47" s="30">
        <f>F47*0.25</f>
        <v>25</v>
      </c>
      <c r="T47" s="30">
        <f>F47*0.25</f>
        <v>25</v>
      </c>
      <c r="U47" s="30">
        <f>F47*0.25</f>
        <v>25</v>
      </c>
      <c r="V47" s="6">
        <f>R47*E47</f>
        <v>6250000</v>
      </c>
      <c r="W47" s="6">
        <f>S47*E47</f>
        <v>6250000</v>
      </c>
      <c r="X47" s="6">
        <f>T47*E47</f>
        <v>6250000</v>
      </c>
      <c r="Y47" s="6">
        <f>U47*E47</f>
        <v>6250000</v>
      </c>
      <c r="Z47" s="6">
        <v>8</v>
      </c>
      <c r="AA47" s="6">
        <f>Z47*E47</f>
        <v>2000000</v>
      </c>
      <c r="AB47" s="6">
        <v>3</v>
      </c>
      <c r="AC47" s="6">
        <f>AB47*E47</f>
        <v>750000</v>
      </c>
      <c r="AD47" s="6">
        <v>9</v>
      </c>
      <c r="AE47" s="6">
        <f>AD47*E47</f>
        <v>2250000</v>
      </c>
      <c r="AF47" s="6">
        <v>11</v>
      </c>
      <c r="AG47" s="6">
        <f>AF47*E47</f>
        <v>2750000</v>
      </c>
      <c r="AH47" s="6">
        <v>6</v>
      </c>
      <c r="AI47" s="6">
        <f>AH47*E47</f>
        <v>1500000</v>
      </c>
      <c r="AJ47" s="6">
        <v>11</v>
      </c>
      <c r="AK47" s="6">
        <f>AJ47*E47</f>
        <v>2750000</v>
      </c>
      <c r="AL47" s="6">
        <v>4</v>
      </c>
      <c r="AM47" s="6">
        <f>AL47*E47</f>
        <v>1000000</v>
      </c>
      <c r="AN47" s="6">
        <v>3</v>
      </c>
      <c r="AO47" s="6">
        <f>AN47*E47</f>
        <v>750000</v>
      </c>
      <c r="AP47" s="6">
        <v>2</v>
      </c>
      <c r="AQ47" s="6">
        <f>AP47*E47</f>
        <v>500000</v>
      </c>
      <c r="AR47" s="6">
        <v>4</v>
      </c>
      <c r="AS47" s="483">
        <f>(AR47*E47)+8000</f>
        <v>1008000</v>
      </c>
      <c r="AT47" s="6">
        <v>5</v>
      </c>
      <c r="AU47" s="6">
        <f>AT47*E47</f>
        <v>1250000</v>
      </c>
      <c r="AV47" s="6">
        <v>5</v>
      </c>
      <c r="AW47" s="6">
        <f>AV47*E47</f>
        <v>1250000</v>
      </c>
      <c r="AX47" s="6">
        <v>6</v>
      </c>
      <c r="AY47" s="6">
        <f>AX47*E47</f>
        <v>1500000</v>
      </c>
      <c r="AZ47" s="6">
        <v>5</v>
      </c>
      <c r="BA47" s="6">
        <f>AZ47*E47</f>
        <v>1250000</v>
      </c>
      <c r="BB47" s="483">
        <v>8</v>
      </c>
      <c r="BC47" s="483">
        <f>BB47*E47</f>
        <v>2000000</v>
      </c>
      <c r="BD47" s="6">
        <v>4</v>
      </c>
      <c r="BE47" s="6">
        <f>BD47*E47</f>
        <v>1000000</v>
      </c>
      <c r="BF47" s="6">
        <v>6</v>
      </c>
      <c r="BG47" s="6">
        <f>BF47*E47</f>
        <v>1500000</v>
      </c>
      <c r="BH47" s="30"/>
      <c r="BI47" s="6">
        <f t="shared" si="2"/>
        <v>0</v>
      </c>
      <c r="BJ47" s="6">
        <f t="shared" si="55"/>
        <v>100</v>
      </c>
      <c r="BK47" s="6">
        <f t="shared" si="55"/>
        <v>25008000</v>
      </c>
      <c r="BL47" s="445" t="s">
        <v>217</v>
      </c>
      <c r="BN47" s="6">
        <f t="shared" ref="BN47:BU47" si="56">SUM(BN44:BN45)</f>
        <v>0</v>
      </c>
      <c r="BO47" s="6">
        <f>BK47</f>
        <v>25008000</v>
      </c>
      <c r="BP47" s="6">
        <f t="shared" si="56"/>
        <v>0</v>
      </c>
      <c r="BQ47" s="6">
        <f t="shared" si="56"/>
        <v>0</v>
      </c>
      <c r="BR47" s="6">
        <f>BQ47+BP47+BO47+BN47</f>
        <v>25008000</v>
      </c>
      <c r="BS47" s="6">
        <f t="shared" si="56"/>
        <v>0</v>
      </c>
      <c r="BT47" s="6">
        <f t="shared" si="56"/>
        <v>0</v>
      </c>
      <c r="BU47" s="6">
        <f t="shared" si="56"/>
        <v>0</v>
      </c>
      <c r="BV47" s="6">
        <f>BU47+BR47</f>
        <v>25008000</v>
      </c>
    </row>
    <row r="48" spans="1:74" ht="32.25" customHeight="1">
      <c r="A48" s="861"/>
      <c r="B48" s="452" t="s">
        <v>771</v>
      </c>
      <c r="C48" s="131" t="s">
        <v>939</v>
      </c>
      <c r="D48" s="445" t="s">
        <v>32</v>
      </c>
      <c r="E48" s="132">
        <v>300000</v>
      </c>
      <c r="F48" s="450">
        <f t="shared" si="54"/>
        <v>46</v>
      </c>
      <c r="G48" s="450">
        <f t="shared" si="54"/>
        <v>13522414</v>
      </c>
      <c r="H48" s="6">
        <f>G48*0</f>
        <v>0</v>
      </c>
      <c r="I48" s="6">
        <f>G48*1</f>
        <v>13522414</v>
      </c>
      <c r="J48" s="6"/>
      <c r="K48" s="6"/>
      <c r="L48" s="6"/>
      <c r="M48" s="6"/>
      <c r="N48" s="6"/>
      <c r="O48" s="6"/>
      <c r="P48" s="6"/>
      <c r="Q48" s="6"/>
      <c r="R48" s="6">
        <f>F48*0.25</f>
        <v>11.5</v>
      </c>
      <c r="S48" s="6">
        <f>F48*0.25</f>
        <v>11.5</v>
      </c>
      <c r="T48" s="6">
        <f>F48*0.25</f>
        <v>11.5</v>
      </c>
      <c r="U48" s="6">
        <f>F48*0.25</f>
        <v>11.5</v>
      </c>
      <c r="V48" s="6">
        <f>R48*E48</f>
        <v>3450000</v>
      </c>
      <c r="W48" s="6">
        <f>S48*E48</f>
        <v>3450000</v>
      </c>
      <c r="X48" s="435">
        <f>T48*E48</f>
        <v>3450000</v>
      </c>
      <c r="Y48" s="435">
        <f>U48*E48</f>
        <v>3450000</v>
      </c>
      <c r="Z48" s="6">
        <v>5</v>
      </c>
      <c r="AA48" s="6">
        <f>Z48*E48</f>
        <v>1500000</v>
      </c>
      <c r="AB48" s="483">
        <f>4+1</f>
        <v>5</v>
      </c>
      <c r="AC48" s="6">
        <f>(E48*4)+22414</f>
        <v>1222414</v>
      </c>
      <c r="AD48" s="6">
        <v>7</v>
      </c>
      <c r="AE48" s="6">
        <f>AD48*E48</f>
        <v>2100000</v>
      </c>
      <c r="AF48" s="6">
        <v>5</v>
      </c>
      <c r="AG48" s="6">
        <f>AF48*E48</f>
        <v>1500000</v>
      </c>
      <c r="AH48" s="6">
        <v>5</v>
      </c>
      <c r="AI48" s="6">
        <f>AH48*E48</f>
        <v>1500000</v>
      </c>
      <c r="AJ48" s="6">
        <v>3</v>
      </c>
      <c r="AK48" s="6">
        <f>AJ48*E48</f>
        <v>900000</v>
      </c>
      <c r="AL48" s="6">
        <v>2</v>
      </c>
      <c r="AM48" s="6">
        <f>AL48*E48</f>
        <v>600000</v>
      </c>
      <c r="AN48" s="6">
        <v>0</v>
      </c>
      <c r="AO48" s="6">
        <f>AN48*E48</f>
        <v>0</v>
      </c>
      <c r="AP48" s="6">
        <v>0</v>
      </c>
      <c r="AQ48" s="6">
        <f>AP48*E48</f>
        <v>0</v>
      </c>
      <c r="AR48" s="6">
        <v>3</v>
      </c>
      <c r="AS48" s="6">
        <f>AR48*E48</f>
        <v>900000</v>
      </c>
      <c r="AT48" s="6">
        <v>0</v>
      </c>
      <c r="AU48" s="6">
        <f>AT48*E48</f>
        <v>0</v>
      </c>
      <c r="AV48" s="6">
        <v>2</v>
      </c>
      <c r="AW48" s="6">
        <f>AV48*E48</f>
        <v>600000</v>
      </c>
      <c r="AX48" s="6">
        <v>2</v>
      </c>
      <c r="AY48" s="6">
        <f>AX48*E48</f>
        <v>600000</v>
      </c>
      <c r="AZ48" s="6">
        <v>2</v>
      </c>
      <c r="BA48" s="6">
        <f>AZ48*E48</f>
        <v>600000</v>
      </c>
      <c r="BB48" s="6">
        <v>5</v>
      </c>
      <c r="BC48" s="6">
        <f>BB48*E48</f>
        <v>1500000</v>
      </c>
      <c r="BD48" s="6">
        <v>0</v>
      </c>
      <c r="BE48" s="6">
        <f>BD48*E48</f>
        <v>0</v>
      </c>
      <c r="BF48" s="6">
        <v>0</v>
      </c>
      <c r="BG48" s="6">
        <f>BF48*E48</f>
        <v>0</v>
      </c>
      <c r="BH48" s="30"/>
      <c r="BI48" s="6">
        <f t="shared" si="2"/>
        <v>0</v>
      </c>
      <c r="BJ48" s="6">
        <f t="shared" si="55"/>
        <v>46</v>
      </c>
      <c r="BK48" s="6">
        <f t="shared" si="55"/>
        <v>13522414</v>
      </c>
      <c r="BL48" s="445" t="s">
        <v>217</v>
      </c>
      <c r="BN48" s="66"/>
      <c r="BO48" s="6">
        <f>BK48</f>
        <v>13522414</v>
      </c>
      <c r="BP48" s="66"/>
      <c r="BQ48" s="66"/>
      <c r="BR48" s="6">
        <f>BQ48+BP48+BO48+BN48</f>
        <v>13522414</v>
      </c>
      <c r="BS48" s="66"/>
      <c r="BT48" s="66"/>
      <c r="BU48" s="66"/>
      <c r="BV48" s="6">
        <f>BU48+BR48</f>
        <v>13522414</v>
      </c>
    </row>
    <row r="49" spans="1:74" s="423" customFormat="1" ht="32.25" customHeight="1">
      <c r="A49" s="861"/>
      <c r="B49" s="449"/>
      <c r="C49" s="427" t="s">
        <v>511</v>
      </c>
      <c r="D49" s="447" t="s">
        <v>115</v>
      </c>
      <c r="E49" s="436" t="s">
        <v>115</v>
      </c>
      <c r="F49" s="32">
        <f t="shared" ref="F49:Y49" si="57">SUM(F46:F48)</f>
        <v>155</v>
      </c>
      <c r="G49" s="32">
        <f t="shared" si="57"/>
        <v>40200414</v>
      </c>
      <c r="H49" s="32">
        <f t="shared" si="57"/>
        <v>0</v>
      </c>
      <c r="I49" s="32">
        <f t="shared" si="57"/>
        <v>40200414</v>
      </c>
      <c r="J49" s="32">
        <f t="shared" si="57"/>
        <v>0</v>
      </c>
      <c r="K49" s="32">
        <f t="shared" si="57"/>
        <v>0</v>
      </c>
      <c r="L49" s="32">
        <f t="shared" si="57"/>
        <v>0</v>
      </c>
      <c r="M49" s="32">
        <f t="shared" si="57"/>
        <v>0</v>
      </c>
      <c r="N49" s="32">
        <f t="shared" si="57"/>
        <v>0</v>
      </c>
      <c r="O49" s="32">
        <f t="shared" si="57"/>
        <v>0</v>
      </c>
      <c r="P49" s="32">
        <f t="shared" si="57"/>
        <v>0</v>
      </c>
      <c r="Q49" s="32">
        <f t="shared" si="57"/>
        <v>0</v>
      </c>
      <c r="R49" s="32">
        <f t="shared" si="57"/>
        <v>38.75</v>
      </c>
      <c r="S49" s="32">
        <f t="shared" si="57"/>
        <v>38.75</v>
      </c>
      <c r="T49" s="32">
        <f t="shared" si="57"/>
        <v>38.75</v>
      </c>
      <c r="U49" s="32">
        <f t="shared" si="57"/>
        <v>38.75</v>
      </c>
      <c r="V49" s="32">
        <f t="shared" si="57"/>
        <v>10150000</v>
      </c>
      <c r="W49" s="32">
        <f t="shared" si="57"/>
        <v>10150000</v>
      </c>
      <c r="X49" s="32">
        <f t="shared" si="57"/>
        <v>10150000</v>
      </c>
      <c r="Y49" s="32">
        <f t="shared" si="57"/>
        <v>10150000</v>
      </c>
      <c r="Z49" s="32">
        <f>SUM(Z46:Z48)</f>
        <v>13</v>
      </c>
      <c r="AA49" s="32">
        <f t="shared" ref="AA49:BV49" si="58">SUM(AA46:AA48)</f>
        <v>3500000</v>
      </c>
      <c r="AB49" s="32">
        <f t="shared" si="58"/>
        <v>8</v>
      </c>
      <c r="AC49" s="32">
        <f t="shared" si="58"/>
        <v>1972414</v>
      </c>
      <c r="AD49" s="32">
        <f t="shared" si="58"/>
        <v>16</v>
      </c>
      <c r="AE49" s="32">
        <f t="shared" si="58"/>
        <v>4350000</v>
      </c>
      <c r="AF49" s="32">
        <f t="shared" si="58"/>
        <v>16</v>
      </c>
      <c r="AG49" s="32">
        <f t="shared" si="58"/>
        <v>4250000</v>
      </c>
      <c r="AH49" s="32">
        <f t="shared" si="58"/>
        <v>11</v>
      </c>
      <c r="AI49" s="32">
        <f t="shared" si="58"/>
        <v>3000000</v>
      </c>
      <c r="AJ49" s="32">
        <f t="shared" si="58"/>
        <v>14</v>
      </c>
      <c r="AK49" s="32">
        <f t="shared" si="58"/>
        <v>3650000</v>
      </c>
      <c r="AL49" s="32">
        <f t="shared" si="58"/>
        <v>6</v>
      </c>
      <c r="AM49" s="32">
        <f t="shared" si="58"/>
        <v>1600000</v>
      </c>
      <c r="AN49" s="32">
        <f t="shared" si="58"/>
        <v>3</v>
      </c>
      <c r="AO49" s="32">
        <f t="shared" si="58"/>
        <v>750000</v>
      </c>
      <c r="AP49" s="32">
        <f t="shared" si="58"/>
        <v>2</v>
      </c>
      <c r="AQ49" s="32">
        <f t="shared" si="58"/>
        <v>500000</v>
      </c>
      <c r="AR49" s="32">
        <f t="shared" si="58"/>
        <v>7</v>
      </c>
      <c r="AS49" s="32">
        <f t="shared" si="58"/>
        <v>1908000</v>
      </c>
      <c r="AT49" s="32">
        <f t="shared" si="58"/>
        <v>5</v>
      </c>
      <c r="AU49" s="32">
        <f t="shared" si="58"/>
        <v>1250000</v>
      </c>
      <c r="AV49" s="32">
        <f t="shared" si="58"/>
        <v>8</v>
      </c>
      <c r="AW49" s="32">
        <f t="shared" si="58"/>
        <v>1920000</v>
      </c>
      <c r="AX49" s="32">
        <f t="shared" si="58"/>
        <v>8</v>
      </c>
      <c r="AY49" s="32">
        <f t="shared" si="58"/>
        <v>2100000</v>
      </c>
      <c r="AZ49" s="32">
        <f t="shared" si="58"/>
        <v>7</v>
      </c>
      <c r="BA49" s="32">
        <f t="shared" si="58"/>
        <v>1850000</v>
      </c>
      <c r="BB49" s="32">
        <f t="shared" si="58"/>
        <v>13</v>
      </c>
      <c r="BC49" s="32">
        <f t="shared" si="58"/>
        <v>3500000</v>
      </c>
      <c r="BD49" s="32">
        <f t="shared" si="58"/>
        <v>12</v>
      </c>
      <c r="BE49" s="32">
        <f t="shared" si="58"/>
        <v>2600000</v>
      </c>
      <c r="BF49" s="32">
        <f t="shared" si="58"/>
        <v>6</v>
      </c>
      <c r="BG49" s="32">
        <f t="shared" si="58"/>
        <v>1500000</v>
      </c>
      <c r="BH49" s="32">
        <f t="shared" si="58"/>
        <v>0</v>
      </c>
      <c r="BI49" s="32">
        <f t="shared" si="58"/>
        <v>0</v>
      </c>
      <c r="BJ49" s="32">
        <f t="shared" si="58"/>
        <v>155</v>
      </c>
      <c r="BK49" s="32">
        <f t="shared" si="58"/>
        <v>40200414</v>
      </c>
      <c r="BL49" s="32">
        <f t="shared" si="58"/>
        <v>0</v>
      </c>
      <c r="BM49" s="32">
        <f t="shared" si="58"/>
        <v>0</v>
      </c>
      <c r="BN49" s="32">
        <f t="shared" si="58"/>
        <v>0</v>
      </c>
      <c r="BO49" s="32">
        <f t="shared" si="58"/>
        <v>40200414</v>
      </c>
      <c r="BP49" s="32">
        <f t="shared" si="58"/>
        <v>0</v>
      </c>
      <c r="BQ49" s="32">
        <f t="shared" si="58"/>
        <v>0</v>
      </c>
      <c r="BR49" s="32">
        <f t="shared" si="58"/>
        <v>40200414</v>
      </c>
      <c r="BS49" s="32">
        <f t="shared" si="58"/>
        <v>0</v>
      </c>
      <c r="BT49" s="32">
        <f t="shared" si="58"/>
        <v>0</v>
      </c>
      <c r="BU49" s="32">
        <f t="shared" si="58"/>
        <v>0</v>
      </c>
      <c r="BV49" s="32">
        <f t="shared" si="58"/>
        <v>40200414</v>
      </c>
    </row>
    <row r="50" spans="1:74" s="423" customFormat="1" ht="32.25" customHeight="1">
      <c r="A50" s="861"/>
      <c r="B50" s="449"/>
      <c r="C50" s="447" t="s">
        <v>346</v>
      </c>
      <c r="D50" s="32"/>
      <c r="E50" s="31"/>
      <c r="F50" s="32">
        <f t="shared" ref="F50:AK50" si="59">F49+F44+F32+F25+F15+F10</f>
        <v>30409</v>
      </c>
      <c r="G50" s="32">
        <f t="shared" si="59"/>
        <v>212870784</v>
      </c>
      <c r="H50" s="32">
        <f t="shared" si="59"/>
        <v>62787674</v>
      </c>
      <c r="I50" s="32">
        <f t="shared" si="59"/>
        <v>150083110</v>
      </c>
      <c r="J50" s="32">
        <f t="shared" si="59"/>
        <v>0</v>
      </c>
      <c r="K50" s="32">
        <f t="shared" si="59"/>
        <v>0</v>
      </c>
      <c r="L50" s="32">
        <f t="shared" si="59"/>
        <v>0</v>
      </c>
      <c r="M50" s="32">
        <f t="shared" si="59"/>
        <v>0</v>
      </c>
      <c r="N50" s="32">
        <f t="shared" si="59"/>
        <v>0</v>
      </c>
      <c r="O50" s="32">
        <f t="shared" si="59"/>
        <v>0</v>
      </c>
      <c r="P50" s="32">
        <f t="shared" si="59"/>
        <v>0</v>
      </c>
      <c r="Q50" s="32">
        <f t="shared" si="59"/>
        <v>0</v>
      </c>
      <c r="R50" s="32">
        <f t="shared" si="59"/>
        <v>5598.75</v>
      </c>
      <c r="S50" s="32">
        <f t="shared" si="59"/>
        <v>5598.75</v>
      </c>
      <c r="T50" s="32">
        <f t="shared" si="59"/>
        <v>5598.75</v>
      </c>
      <c r="U50" s="32">
        <f t="shared" si="59"/>
        <v>7531.75</v>
      </c>
      <c r="V50" s="32">
        <f t="shared" si="59"/>
        <v>43449375</v>
      </c>
      <c r="W50" s="32">
        <f t="shared" si="59"/>
        <v>43449375</v>
      </c>
      <c r="X50" s="32">
        <f t="shared" si="59"/>
        <v>43449375</v>
      </c>
      <c r="Y50" s="32">
        <f t="shared" si="59"/>
        <v>80197775</v>
      </c>
      <c r="Z50" s="32">
        <f t="shared" si="59"/>
        <v>1781</v>
      </c>
      <c r="AA50" s="32">
        <f t="shared" si="59"/>
        <v>11435400</v>
      </c>
      <c r="AB50" s="32">
        <f t="shared" si="59"/>
        <v>898</v>
      </c>
      <c r="AC50" s="32">
        <f t="shared" si="59"/>
        <v>9110014</v>
      </c>
      <c r="AD50" s="32">
        <f t="shared" si="59"/>
        <v>1919</v>
      </c>
      <c r="AE50" s="32">
        <f t="shared" si="59"/>
        <v>12544600</v>
      </c>
      <c r="AF50" s="32">
        <f t="shared" si="59"/>
        <v>2432</v>
      </c>
      <c r="AG50" s="32">
        <f t="shared" si="59"/>
        <v>15109300</v>
      </c>
      <c r="AH50" s="32">
        <f t="shared" si="59"/>
        <v>1188</v>
      </c>
      <c r="AI50" s="32">
        <f t="shared" si="59"/>
        <v>10403200</v>
      </c>
      <c r="AJ50" s="32">
        <f t="shared" si="59"/>
        <v>2024</v>
      </c>
      <c r="AK50" s="32">
        <f t="shared" si="59"/>
        <v>12021500</v>
      </c>
      <c r="AL50" s="32">
        <f t="shared" ref="AL50:BJ50" si="60">AL49+AL44+AL32+AL25+AL15+AL10</f>
        <v>1276</v>
      </c>
      <c r="AM50" s="32">
        <f t="shared" si="60"/>
        <v>9127800</v>
      </c>
      <c r="AN50" s="32">
        <f t="shared" si="60"/>
        <v>2642</v>
      </c>
      <c r="AO50" s="32">
        <f t="shared" si="60"/>
        <v>9907800</v>
      </c>
      <c r="AP50" s="32">
        <f t="shared" si="60"/>
        <v>486</v>
      </c>
      <c r="AQ50" s="32">
        <f t="shared" si="60"/>
        <v>5707800</v>
      </c>
      <c r="AR50" s="32">
        <f t="shared" si="60"/>
        <v>1220</v>
      </c>
      <c r="AS50" s="32">
        <f t="shared" si="60"/>
        <v>9400800</v>
      </c>
      <c r="AT50" s="32">
        <f t="shared" si="60"/>
        <v>1536</v>
      </c>
      <c r="AU50" s="32">
        <f t="shared" si="60"/>
        <v>9041400</v>
      </c>
      <c r="AV50" s="32">
        <f t="shared" si="60"/>
        <v>1403</v>
      </c>
      <c r="AW50" s="32">
        <f t="shared" si="60"/>
        <v>9786400</v>
      </c>
      <c r="AX50" s="32">
        <f t="shared" si="60"/>
        <v>1767</v>
      </c>
      <c r="AY50" s="32">
        <f t="shared" si="60"/>
        <v>10224000</v>
      </c>
      <c r="AZ50" s="32">
        <f t="shared" si="60"/>
        <v>2237</v>
      </c>
      <c r="BA50" s="32">
        <f t="shared" si="60"/>
        <v>10633100</v>
      </c>
      <c r="BB50" s="32">
        <f t="shared" si="60"/>
        <v>1991</v>
      </c>
      <c r="BC50" s="32">
        <f t="shared" si="60"/>
        <v>11862300</v>
      </c>
      <c r="BD50" s="32">
        <f t="shared" si="60"/>
        <v>3631</v>
      </c>
      <c r="BE50" s="32">
        <f t="shared" si="60"/>
        <v>16314870</v>
      </c>
      <c r="BF50" s="32">
        <f t="shared" si="60"/>
        <v>1950</v>
      </c>
      <c r="BG50" s="32">
        <f t="shared" si="60"/>
        <v>9580500</v>
      </c>
      <c r="BH50" s="32">
        <f t="shared" si="60"/>
        <v>28</v>
      </c>
      <c r="BI50" s="32">
        <f t="shared" si="60"/>
        <v>30660000</v>
      </c>
      <c r="BJ50" s="32">
        <f t="shared" si="60"/>
        <v>30409</v>
      </c>
      <c r="BK50" s="32">
        <f>BK49+BK44+BK32+BK25+BK15+BK10</f>
        <v>212870784</v>
      </c>
      <c r="BL50" s="32"/>
      <c r="BM50" s="32">
        <f t="shared" ref="BM50:BV50" si="61">BM49+BM44+BM32+BM25+BM15+BM10</f>
        <v>0</v>
      </c>
      <c r="BN50" s="32">
        <f t="shared" si="61"/>
        <v>0</v>
      </c>
      <c r="BO50" s="32">
        <f t="shared" si="61"/>
        <v>71527984</v>
      </c>
      <c r="BP50" s="32">
        <f t="shared" si="61"/>
        <v>137652000</v>
      </c>
      <c r="BQ50" s="32">
        <f t="shared" si="61"/>
        <v>0</v>
      </c>
      <c r="BR50" s="32">
        <f t="shared" si="61"/>
        <v>209179984</v>
      </c>
      <c r="BS50" s="32">
        <f t="shared" si="61"/>
        <v>0</v>
      </c>
      <c r="BT50" s="32">
        <f t="shared" si="61"/>
        <v>0</v>
      </c>
      <c r="BU50" s="32">
        <f t="shared" si="61"/>
        <v>0</v>
      </c>
      <c r="BV50" s="32">
        <f t="shared" si="61"/>
        <v>209179984</v>
      </c>
    </row>
    <row r="51" spans="1:74" ht="31.5" hidden="1" customHeight="1">
      <c r="B51" s="442"/>
      <c r="G51" s="422" t="e">
        <f>G11+G16+G23+G34+G42+#REF!+#REF!</f>
        <v>#REF!</v>
      </c>
      <c r="Z51" s="65">
        <v>48</v>
      </c>
      <c r="AB51" s="65">
        <v>23</v>
      </c>
      <c r="AD51" s="65">
        <v>80</v>
      </c>
      <c r="AF51" s="65">
        <v>40</v>
      </c>
      <c r="AH51" s="65">
        <v>36</v>
      </c>
      <c r="AJ51" s="65">
        <v>40</v>
      </c>
      <c r="AL51" s="65">
        <v>16</v>
      </c>
      <c r="AN51" s="65">
        <v>34</v>
      </c>
      <c r="AP51" s="65">
        <v>8</v>
      </c>
      <c r="AR51" s="65">
        <v>20</v>
      </c>
      <c r="AT51" s="65">
        <v>26</v>
      </c>
      <c r="AV51" s="65">
        <v>22</v>
      </c>
      <c r="AX51" s="65">
        <v>32</v>
      </c>
      <c r="AZ51" s="65">
        <v>34</v>
      </c>
      <c r="BB51" s="65">
        <v>40</v>
      </c>
      <c r="BD51" s="65">
        <v>36</v>
      </c>
      <c r="BF51" s="65">
        <v>36</v>
      </c>
      <c r="BJ51" s="439">
        <f>Z51+AB51+AD51+AF51+AH51+AJ51+AL51+AN51+AP51+AR51+AT51+AV51+AX51+AZ51+BB51+BD51+BF51+BH51</f>
        <v>571</v>
      </c>
    </row>
    <row r="52" spans="1:74" ht="15.75" hidden="1" customHeight="1">
      <c r="B52" s="442"/>
      <c r="C52" s="65" t="s">
        <v>239</v>
      </c>
      <c r="F52" s="862"/>
      <c r="G52" s="862"/>
      <c r="H52" s="65"/>
      <c r="I52" s="65"/>
      <c r="J52" s="65"/>
      <c r="K52" s="65"/>
      <c r="L52" s="65"/>
      <c r="M52" s="65"/>
      <c r="N52" s="65"/>
      <c r="Z52" s="65">
        <v>48</v>
      </c>
      <c r="AB52" s="65">
        <v>23</v>
      </c>
      <c r="AD52" s="65">
        <v>58</v>
      </c>
      <c r="AF52" s="65">
        <v>89</v>
      </c>
      <c r="AH52" s="65">
        <v>38</v>
      </c>
      <c r="AJ52" s="65">
        <v>71</v>
      </c>
      <c r="AL52" s="65">
        <v>34</v>
      </c>
      <c r="AN52" s="65">
        <v>75</v>
      </c>
      <c r="AP52" s="65">
        <v>8</v>
      </c>
      <c r="AR52" s="65">
        <v>32</v>
      </c>
      <c r="AT52" s="65">
        <v>50</v>
      </c>
      <c r="AV52" s="65">
        <v>50</v>
      </c>
      <c r="AX52" s="65">
        <v>71</v>
      </c>
      <c r="AZ52" s="65">
        <v>78</v>
      </c>
      <c r="BB52" s="65">
        <v>75</v>
      </c>
      <c r="BD52" s="65">
        <v>138</v>
      </c>
      <c r="BF52" s="65">
        <v>54</v>
      </c>
      <c r="BG52" s="65">
        <f>SUM(Z52:BF52)</f>
        <v>992</v>
      </c>
      <c r="BH52" s="65">
        <v>1004</v>
      </c>
    </row>
    <row r="53" spans="1:74" ht="15.75" hidden="1" customHeight="1">
      <c r="B53" s="442"/>
      <c r="G53" s="65"/>
      <c r="H53" s="65"/>
      <c r="I53" s="65"/>
      <c r="J53" s="65"/>
      <c r="K53" s="65"/>
      <c r="L53" s="65"/>
      <c r="M53" s="65"/>
      <c r="N53" s="65"/>
      <c r="Z53" s="65">
        <v>48</v>
      </c>
      <c r="AB53" s="65">
        <v>23</v>
      </c>
      <c r="AD53" s="65">
        <v>80</v>
      </c>
      <c r="AF53" s="65">
        <v>105</v>
      </c>
      <c r="AH53" s="65">
        <v>43</v>
      </c>
      <c r="AJ53" s="65">
        <v>76</v>
      </c>
      <c r="AL53" s="65">
        <v>41</v>
      </c>
      <c r="AN53" s="65">
        <v>101</v>
      </c>
      <c r="AP53" s="65">
        <v>8</v>
      </c>
      <c r="AR53" s="65">
        <v>33</v>
      </c>
      <c r="AT53" s="65">
        <v>53</v>
      </c>
      <c r="AV53" s="65">
        <v>52</v>
      </c>
      <c r="AX53" s="65">
        <v>76</v>
      </c>
      <c r="AZ53" s="65">
        <v>82</v>
      </c>
      <c r="BB53" s="65">
        <v>107</v>
      </c>
      <c r="BD53" s="65">
        <v>158</v>
      </c>
      <c r="BF53" s="65">
        <v>54</v>
      </c>
      <c r="BG53" s="65">
        <f>SUM(Z53:BF53)</f>
        <v>1140</v>
      </c>
    </row>
    <row r="54" spans="1:74" s="423" customFormat="1" ht="15.75" hidden="1" customHeight="1">
      <c r="B54" s="441"/>
      <c r="C54" s="423" t="s">
        <v>238</v>
      </c>
      <c r="E54" s="440"/>
      <c r="F54" s="863"/>
      <c r="G54" s="863"/>
      <c r="Z54" s="441">
        <v>24</v>
      </c>
      <c r="AB54" s="441">
        <v>10</v>
      </c>
      <c r="AD54" s="441">
        <v>18</v>
      </c>
      <c r="AF54" s="441">
        <v>20</v>
      </c>
      <c r="AH54" s="441">
        <v>18</v>
      </c>
      <c r="AJ54" s="441">
        <v>20</v>
      </c>
      <c r="AL54" s="441">
        <v>8</v>
      </c>
      <c r="AN54" s="441">
        <v>17</v>
      </c>
      <c r="AP54" s="441">
        <v>8</v>
      </c>
      <c r="AR54" s="441">
        <v>15</v>
      </c>
      <c r="AT54" s="441">
        <v>13</v>
      </c>
      <c r="AV54" s="441">
        <v>11</v>
      </c>
      <c r="AX54" s="441">
        <v>16</v>
      </c>
      <c r="AZ54" s="441">
        <v>17</v>
      </c>
      <c r="BB54" s="441">
        <v>20</v>
      </c>
      <c r="BD54" s="441">
        <v>17.5</v>
      </c>
      <c r="BF54" s="441">
        <v>17</v>
      </c>
      <c r="BG54" s="423">
        <v>270</v>
      </c>
      <c r="BH54" s="423">
        <v>255</v>
      </c>
    </row>
    <row r="55" spans="1:74" s="423" customFormat="1" ht="15.75" hidden="1" customHeight="1">
      <c r="B55" s="441"/>
      <c r="E55" s="440"/>
      <c r="Z55" s="441">
        <v>16</v>
      </c>
      <c r="AB55" s="441">
        <v>10</v>
      </c>
      <c r="AD55" s="441">
        <v>19</v>
      </c>
      <c r="AF55" s="441">
        <v>20</v>
      </c>
      <c r="AH55" s="441">
        <v>18</v>
      </c>
      <c r="AJ55" s="441">
        <v>20</v>
      </c>
      <c r="AL55" s="441">
        <v>8</v>
      </c>
      <c r="AN55" s="441">
        <v>17</v>
      </c>
      <c r="AP55" s="441">
        <v>4</v>
      </c>
      <c r="AR55" s="441">
        <v>10</v>
      </c>
      <c r="AT55" s="441">
        <v>13</v>
      </c>
      <c r="AV55" s="441">
        <v>11</v>
      </c>
      <c r="AX55" s="441">
        <v>16</v>
      </c>
      <c r="AZ55" s="441">
        <v>17</v>
      </c>
      <c r="BB55" s="441">
        <v>20</v>
      </c>
      <c r="BD55" s="441">
        <v>18</v>
      </c>
      <c r="BF55" s="441">
        <v>18</v>
      </c>
      <c r="BG55" s="441">
        <f>SUM(Z55:BF55)</f>
        <v>255</v>
      </c>
    </row>
    <row r="56" spans="1:74" ht="15.75" hidden="1" customHeight="1">
      <c r="C56" s="65" t="s">
        <v>240</v>
      </c>
      <c r="Z56" s="65">
        <v>32</v>
      </c>
      <c r="AB56" s="65">
        <v>20</v>
      </c>
      <c r="AD56" s="65">
        <v>35</v>
      </c>
      <c r="AF56" s="65">
        <v>40</v>
      </c>
      <c r="AH56" s="65">
        <v>36</v>
      </c>
      <c r="AJ56" s="65">
        <v>40</v>
      </c>
      <c r="AL56" s="65">
        <v>16</v>
      </c>
      <c r="AN56" s="65">
        <v>35</v>
      </c>
      <c r="AP56" s="65">
        <v>8</v>
      </c>
      <c r="AR56" s="65">
        <v>21</v>
      </c>
      <c r="AT56" s="65">
        <v>26</v>
      </c>
      <c r="AV56" s="65">
        <v>22</v>
      </c>
      <c r="AX56" s="65">
        <v>32</v>
      </c>
      <c r="AZ56" s="65">
        <v>35</v>
      </c>
      <c r="BB56" s="65">
        <v>40</v>
      </c>
      <c r="BD56" s="65">
        <v>35</v>
      </c>
      <c r="BF56" s="65">
        <v>35</v>
      </c>
    </row>
    <row r="57" spans="1:74" ht="15.75" hidden="1" customHeight="1">
      <c r="C57" s="65" t="s">
        <v>271</v>
      </c>
      <c r="G57" s="422">
        <v>51056700</v>
      </c>
      <c r="Z57" s="65">
        <v>48</v>
      </c>
      <c r="AB57" s="65">
        <v>23</v>
      </c>
      <c r="AD57" s="65">
        <v>80</v>
      </c>
      <c r="AF57" s="65">
        <v>105</v>
      </c>
      <c r="AH57" s="65">
        <v>43</v>
      </c>
      <c r="AJ57" s="65">
        <v>75</v>
      </c>
      <c r="AL57" s="65">
        <v>41</v>
      </c>
      <c r="AN57" s="65">
        <v>101</v>
      </c>
      <c r="AP57" s="65">
        <v>8</v>
      </c>
      <c r="AR57" s="65">
        <v>33</v>
      </c>
      <c r="AT57" s="65">
        <v>53</v>
      </c>
      <c r="AV57" s="65">
        <v>52</v>
      </c>
      <c r="AX57" s="65">
        <v>76</v>
      </c>
      <c r="AZ57" s="65">
        <v>82</v>
      </c>
      <c r="BB57" s="65">
        <v>104</v>
      </c>
      <c r="BD57" s="65">
        <v>147</v>
      </c>
      <c r="BF57" s="65">
        <v>54</v>
      </c>
    </row>
    <row r="58" spans="1:74" ht="15.75" hidden="1" customHeight="1">
      <c r="C58" s="65" t="s">
        <v>70</v>
      </c>
      <c r="G58" s="422" t="e">
        <f>#REF!+G57</f>
        <v>#REF!</v>
      </c>
      <c r="Z58" s="442">
        <v>30</v>
      </c>
      <c r="AB58" s="442">
        <v>21</v>
      </c>
      <c r="AC58" s="422"/>
      <c r="AD58" s="442">
        <v>30</v>
      </c>
      <c r="AE58" s="422"/>
      <c r="AF58" s="442">
        <v>51</v>
      </c>
      <c r="AG58" s="422"/>
      <c r="AH58" s="442">
        <v>22</v>
      </c>
      <c r="AI58" s="422"/>
      <c r="AJ58" s="442">
        <v>30</v>
      </c>
      <c r="AK58" s="422"/>
      <c r="AL58" s="442">
        <v>22</v>
      </c>
      <c r="AM58" s="422"/>
      <c r="AN58" s="442">
        <v>50</v>
      </c>
      <c r="AO58" s="422"/>
      <c r="AP58" s="442">
        <v>6</v>
      </c>
      <c r="AQ58" s="422"/>
      <c r="AR58" s="442">
        <v>28</v>
      </c>
      <c r="AS58" s="422"/>
      <c r="AT58" s="442">
        <v>30</v>
      </c>
      <c r="AU58" s="422"/>
      <c r="AV58" s="442">
        <v>30</v>
      </c>
      <c r="AW58" s="422"/>
      <c r="AX58" s="442">
        <v>30</v>
      </c>
      <c r="AY58" s="422"/>
      <c r="AZ58" s="442">
        <v>30</v>
      </c>
      <c r="BA58" s="422"/>
      <c r="BB58" s="442">
        <v>45</v>
      </c>
      <c r="BC58" s="422"/>
      <c r="BD58" s="442">
        <v>60</v>
      </c>
      <c r="BE58" s="422"/>
      <c r="BF58" s="442">
        <v>30</v>
      </c>
      <c r="BG58" s="422"/>
      <c r="BH58" s="442">
        <f>SUM(Z58:BG58)</f>
        <v>545</v>
      </c>
      <c r="BI58" s="422"/>
    </row>
    <row r="59" spans="1:74" ht="24" hidden="1" customHeight="1">
      <c r="Z59" s="442">
        <f>Z52-Z55</f>
        <v>32</v>
      </c>
      <c r="AA59" s="442">
        <f t="shared" ref="AA59:BG59" si="62">AA52-AA55</f>
        <v>0</v>
      </c>
      <c r="AB59" s="442">
        <f t="shared" si="62"/>
        <v>13</v>
      </c>
      <c r="AC59" s="442">
        <f t="shared" si="62"/>
        <v>0</v>
      </c>
      <c r="AD59" s="442">
        <f t="shared" si="62"/>
        <v>39</v>
      </c>
      <c r="AE59" s="442">
        <f t="shared" si="62"/>
        <v>0</v>
      </c>
      <c r="AF59" s="442">
        <f t="shared" si="62"/>
        <v>69</v>
      </c>
      <c r="AG59" s="442">
        <f t="shared" si="62"/>
        <v>0</v>
      </c>
      <c r="AH59" s="442">
        <f t="shared" si="62"/>
        <v>20</v>
      </c>
      <c r="AI59" s="442">
        <f t="shared" si="62"/>
        <v>0</v>
      </c>
      <c r="AJ59" s="442">
        <f t="shared" si="62"/>
        <v>51</v>
      </c>
      <c r="AK59" s="442">
        <f t="shared" si="62"/>
        <v>0</v>
      </c>
      <c r="AL59" s="442">
        <f t="shared" si="62"/>
        <v>26</v>
      </c>
      <c r="AM59" s="442">
        <f t="shared" si="62"/>
        <v>0</v>
      </c>
      <c r="AN59" s="442">
        <f t="shared" si="62"/>
        <v>58</v>
      </c>
      <c r="AO59" s="442">
        <f t="shared" si="62"/>
        <v>0</v>
      </c>
      <c r="AP59" s="442">
        <f t="shared" si="62"/>
        <v>4</v>
      </c>
      <c r="AQ59" s="442">
        <f t="shared" si="62"/>
        <v>0</v>
      </c>
      <c r="AR59" s="442">
        <f t="shared" si="62"/>
        <v>22</v>
      </c>
      <c r="AS59" s="442">
        <f t="shared" si="62"/>
        <v>0</v>
      </c>
      <c r="AT59" s="442">
        <f t="shared" si="62"/>
        <v>37</v>
      </c>
      <c r="AU59" s="442">
        <f t="shared" si="62"/>
        <v>0</v>
      </c>
      <c r="AV59" s="442">
        <f t="shared" si="62"/>
        <v>39</v>
      </c>
      <c r="AW59" s="442">
        <f t="shared" si="62"/>
        <v>0</v>
      </c>
      <c r="AX59" s="442">
        <f t="shared" si="62"/>
        <v>55</v>
      </c>
      <c r="AY59" s="442">
        <f t="shared" si="62"/>
        <v>0</v>
      </c>
      <c r="AZ59" s="442">
        <f t="shared" si="62"/>
        <v>61</v>
      </c>
      <c r="BA59" s="442">
        <f t="shared" si="62"/>
        <v>0</v>
      </c>
      <c r="BB59" s="442">
        <f t="shared" si="62"/>
        <v>55</v>
      </c>
      <c r="BC59" s="442">
        <f t="shared" si="62"/>
        <v>0</v>
      </c>
      <c r="BD59" s="442">
        <f t="shared" si="62"/>
        <v>120</v>
      </c>
      <c r="BE59" s="442">
        <f t="shared" si="62"/>
        <v>0</v>
      </c>
      <c r="BF59" s="442">
        <f t="shared" si="62"/>
        <v>36</v>
      </c>
      <c r="BG59" s="442">
        <f t="shared" si="62"/>
        <v>737</v>
      </c>
    </row>
    <row r="60" spans="1:74" ht="24" customHeight="1">
      <c r="AA60" s="561"/>
    </row>
    <row r="61" spans="1:74" ht="24" customHeight="1">
      <c r="C61" s="422"/>
      <c r="BJ61" s="422"/>
    </row>
    <row r="62" spans="1:74" ht="24" customHeight="1">
      <c r="BJ62" s="422">
        <f>G50-BK50</f>
        <v>0</v>
      </c>
    </row>
  </sheetData>
  <mergeCells count="41">
    <mergeCell ref="A4:B4"/>
    <mergeCell ref="C4:Q4"/>
    <mergeCell ref="A1:Q1"/>
    <mergeCell ref="A2:B2"/>
    <mergeCell ref="C2:Q2"/>
    <mergeCell ref="A3:B3"/>
    <mergeCell ref="C3:Q3"/>
    <mergeCell ref="A5:B5"/>
    <mergeCell ref="C5:Q5"/>
    <mergeCell ref="A6:B6"/>
    <mergeCell ref="C6:Q6"/>
    <mergeCell ref="A7:E7"/>
    <mergeCell ref="F7:G7"/>
    <mergeCell ref="H7:Q7"/>
    <mergeCell ref="AF7:AG7"/>
    <mergeCell ref="BJ7:BK7"/>
    <mergeCell ref="BN7:BR7"/>
    <mergeCell ref="BS7:BU7"/>
    <mergeCell ref="BV7:BV8"/>
    <mergeCell ref="AT7:AU7"/>
    <mergeCell ref="AV7:AW7"/>
    <mergeCell ref="AX7:AY7"/>
    <mergeCell ref="AZ7:BA7"/>
    <mergeCell ref="BB7:BC7"/>
    <mergeCell ref="BD7:BE7"/>
    <mergeCell ref="A9:A50"/>
    <mergeCell ref="F52:G52"/>
    <mergeCell ref="F54:G54"/>
    <mergeCell ref="BF7:BG7"/>
    <mergeCell ref="BH7:BI7"/>
    <mergeCell ref="AH7:AI7"/>
    <mergeCell ref="AJ7:AK7"/>
    <mergeCell ref="AL7:AM7"/>
    <mergeCell ref="AN7:AO7"/>
    <mergeCell ref="AP7:AQ7"/>
    <mergeCell ref="AR7:AS7"/>
    <mergeCell ref="R7:U7"/>
    <mergeCell ref="V7:Y7"/>
    <mergeCell ref="Z7:AA7"/>
    <mergeCell ref="AB7:AC7"/>
    <mergeCell ref="AD7:AE7"/>
  </mergeCells>
  <pageMargins left="0.17" right="0.17" top="0.5" bottom="0.75" header="0.3" footer="0.3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9">
    <tabColor rgb="FF00B0F0"/>
    <pageSetUpPr fitToPage="1"/>
  </sheetPr>
  <dimension ref="A1:BU68"/>
  <sheetViews>
    <sheetView zoomScaleNormal="100" workbookViewId="0">
      <pane xSplit="6" ySplit="7" topLeftCell="BI59" activePane="bottomRight" state="frozen"/>
      <selection activeCell="C1" sqref="C1"/>
      <selection pane="topRight" activeCell="H1" sqref="H1"/>
      <selection pane="bottomLeft" activeCell="C8" sqref="C8"/>
      <selection pane="bottomRight" activeCell="C68" sqref="C68"/>
    </sheetView>
  </sheetViews>
  <sheetFormatPr defaultColWidth="12.28515625" defaultRowHeight="33.75" customHeight="1"/>
  <cols>
    <col min="1" max="1" width="12.28515625" style="140"/>
    <col min="2" max="2" width="57" style="178" customWidth="1"/>
    <col min="3" max="3" width="13.42578125" style="179" customWidth="1"/>
    <col min="4" max="4" width="14.42578125" style="179" customWidth="1"/>
    <col min="5" max="5" width="12.28515625" style="179" customWidth="1"/>
    <col min="6" max="6" width="18.42578125" style="179" customWidth="1"/>
    <col min="7" max="7" width="14.7109375" style="179" customWidth="1"/>
    <col min="8" max="8" width="15.7109375" style="179" customWidth="1"/>
    <col min="9" max="15" width="12.28515625" style="179" customWidth="1"/>
    <col min="16" max="16" width="10" style="179" customWidth="1"/>
    <col min="17" max="20" width="12.28515625" style="139" customWidth="1"/>
    <col min="21" max="21" width="14.85546875" style="139" customWidth="1"/>
    <col min="22" max="22" width="13.140625" style="139" bestFit="1" customWidth="1"/>
    <col min="23" max="23" width="16.28515625" style="139" customWidth="1"/>
    <col min="24" max="24" width="16.42578125" style="139" customWidth="1"/>
    <col min="25" max="25" width="12.28515625" style="139" customWidth="1"/>
    <col min="26" max="26" width="14.42578125" style="139" customWidth="1"/>
    <col min="27" max="27" width="12.28515625" style="139" customWidth="1"/>
    <col min="28" max="28" width="15.140625" style="139" customWidth="1"/>
    <col min="29" max="29" width="12.28515625" style="139" customWidth="1"/>
    <col min="30" max="30" width="15.140625" style="139" customWidth="1"/>
    <col min="31" max="31" width="12.28515625" style="139" customWidth="1"/>
    <col min="32" max="32" width="14.140625" style="139" customWidth="1"/>
    <col min="33" max="33" width="12.28515625" style="139" customWidth="1"/>
    <col min="34" max="34" width="13.140625" style="139" bestFit="1" customWidth="1"/>
    <col min="35" max="35" width="12.28515625" style="139" customWidth="1"/>
    <col min="36" max="36" width="13.7109375" style="139" customWidth="1"/>
    <col min="37" max="37" width="12.28515625" style="139" customWidth="1"/>
    <col min="38" max="38" width="14.28515625" style="139" customWidth="1"/>
    <col min="39" max="39" width="12.28515625" style="139" customWidth="1"/>
    <col min="40" max="40" width="14" style="139" customWidth="1"/>
    <col min="41" max="41" width="12.28515625" style="139" customWidth="1"/>
    <col min="42" max="42" width="15" style="139" customWidth="1"/>
    <col min="43" max="43" width="12.28515625" style="139" customWidth="1"/>
    <col min="44" max="44" width="14.28515625" style="139" customWidth="1"/>
    <col min="45" max="45" width="12.28515625" style="139" customWidth="1"/>
    <col min="46" max="46" width="13.7109375" style="139" customWidth="1"/>
    <col min="47" max="47" width="12.28515625" style="139" customWidth="1"/>
    <col min="48" max="48" width="16.42578125" style="139" customWidth="1"/>
    <col min="49" max="49" width="12.28515625" style="139" customWidth="1"/>
    <col min="50" max="50" width="15.28515625" style="139" customWidth="1"/>
    <col min="51" max="51" width="12.28515625" style="139" customWidth="1"/>
    <col min="52" max="52" width="15.140625" style="139" customWidth="1"/>
    <col min="53" max="53" width="12.28515625" style="139" customWidth="1"/>
    <col min="54" max="54" width="15.140625" style="139" customWidth="1"/>
    <col min="55" max="55" width="12.28515625" style="139" customWidth="1"/>
    <col min="56" max="56" width="14.28515625" style="139" customWidth="1"/>
    <col min="57" max="57" width="12.28515625" style="139" customWidth="1"/>
    <col min="58" max="58" width="15.140625" style="139" customWidth="1"/>
    <col min="59" max="59" width="12.28515625" style="139" customWidth="1"/>
    <col min="60" max="60" width="17.28515625" style="139" customWidth="1"/>
    <col min="61" max="61" width="12.28515625" style="139" customWidth="1"/>
    <col min="62" max="62" width="18.85546875" style="139" customWidth="1"/>
    <col min="63" max="63" width="22.42578125" style="139" hidden="1" customWidth="1"/>
    <col min="64" max="64" width="7.5703125" style="139" customWidth="1"/>
    <col min="65" max="65" width="12.28515625" style="139"/>
    <col min="66" max="66" width="15.140625" style="139" customWidth="1"/>
    <col min="67" max="67" width="16.28515625" style="139" customWidth="1"/>
    <col min="68" max="68" width="16" style="139" customWidth="1"/>
    <col min="69" max="69" width="16.7109375" style="139" customWidth="1"/>
    <col min="70" max="72" width="12.28515625" style="139"/>
    <col min="73" max="73" width="18.140625" style="139" customWidth="1"/>
    <col min="74" max="16384" width="12.28515625" style="139"/>
  </cols>
  <sheetData>
    <row r="1" spans="1:73" ht="24.75" customHeight="1">
      <c r="A1" s="894" t="s">
        <v>157</v>
      </c>
      <c r="B1" s="894"/>
      <c r="C1" s="894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23"/>
      <c r="R1" s="23"/>
      <c r="S1" s="23"/>
      <c r="T1" s="23"/>
      <c r="U1" s="23"/>
      <c r="V1" s="23"/>
      <c r="W1" s="23"/>
      <c r="X1" s="23"/>
    </row>
    <row r="2" spans="1:73" ht="18.75" customHeight="1">
      <c r="A2" s="894" t="s">
        <v>158</v>
      </c>
      <c r="B2" s="894"/>
      <c r="C2" s="894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23"/>
      <c r="R2" s="23"/>
      <c r="S2" s="23"/>
      <c r="T2" s="23"/>
      <c r="U2" s="23"/>
      <c r="V2" s="23"/>
      <c r="W2" s="23"/>
      <c r="X2" s="23"/>
      <c r="Y2" s="140" t="s">
        <v>299</v>
      </c>
      <c r="Z2" s="140">
        <v>8.34</v>
      </c>
      <c r="AA2" s="140"/>
      <c r="AB2" s="140">
        <v>2.85</v>
      </c>
      <c r="AC2" s="140"/>
      <c r="AD2" s="140">
        <v>8.3800000000000008</v>
      </c>
      <c r="AE2" s="140"/>
      <c r="AF2" s="140">
        <v>7.49</v>
      </c>
      <c r="AG2" s="140"/>
      <c r="AH2" s="140">
        <v>3.33</v>
      </c>
      <c r="AI2" s="140"/>
      <c r="AJ2" s="140">
        <v>6.64</v>
      </c>
      <c r="AK2" s="140"/>
      <c r="AL2" s="140">
        <v>3.67</v>
      </c>
      <c r="AM2" s="140"/>
      <c r="AN2" s="140">
        <v>5.0599999999999996</v>
      </c>
      <c r="AO2" s="140"/>
      <c r="AP2" s="140">
        <v>5.94</v>
      </c>
      <c r="AQ2" s="140"/>
      <c r="AR2" s="140">
        <v>6.85</v>
      </c>
      <c r="AS2" s="140"/>
      <c r="AT2" s="140">
        <v>7.45</v>
      </c>
      <c r="AU2" s="140"/>
      <c r="AV2" s="140">
        <v>5.13</v>
      </c>
      <c r="AW2" s="140"/>
      <c r="AX2" s="140">
        <v>4.8600000000000003</v>
      </c>
      <c r="AY2" s="140"/>
      <c r="AZ2" s="140">
        <v>5.79</v>
      </c>
      <c r="BA2" s="140"/>
      <c r="BB2" s="140">
        <v>5.3</v>
      </c>
      <c r="BC2" s="140"/>
      <c r="BD2" s="140">
        <v>3.47</v>
      </c>
      <c r="BE2" s="140"/>
      <c r="BF2" s="140">
        <v>9.42</v>
      </c>
      <c r="BG2" s="140"/>
      <c r="BH2" s="140"/>
      <c r="BI2" s="140"/>
      <c r="BJ2" s="140"/>
    </row>
    <row r="3" spans="1:73" ht="18.75" customHeight="1">
      <c r="A3" s="894" t="s">
        <v>950</v>
      </c>
      <c r="B3" s="894"/>
      <c r="C3" s="894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23"/>
      <c r="R3" s="23"/>
      <c r="S3" s="23"/>
      <c r="T3" s="23"/>
      <c r="U3" s="23"/>
      <c r="V3" s="23"/>
      <c r="W3" s="23"/>
      <c r="X3" s="23"/>
      <c r="Y3" s="140" t="s">
        <v>297</v>
      </c>
      <c r="Z3" s="140">
        <v>48</v>
      </c>
      <c r="AA3" s="140"/>
      <c r="AB3" s="140">
        <v>23</v>
      </c>
      <c r="AC3" s="140"/>
      <c r="AD3" s="140">
        <v>80</v>
      </c>
      <c r="AE3" s="140"/>
      <c r="AF3" s="140">
        <v>105</v>
      </c>
      <c r="AG3" s="140"/>
      <c r="AH3" s="140">
        <v>43</v>
      </c>
      <c r="AI3" s="140"/>
      <c r="AJ3" s="140">
        <v>75</v>
      </c>
      <c r="AK3" s="140"/>
      <c r="AL3" s="140">
        <v>41</v>
      </c>
      <c r="AM3" s="140"/>
      <c r="AN3" s="140">
        <v>101</v>
      </c>
      <c r="AO3" s="140"/>
      <c r="AP3" s="140">
        <v>8</v>
      </c>
      <c r="AQ3" s="140"/>
      <c r="AR3" s="140">
        <v>33</v>
      </c>
      <c r="AS3" s="140"/>
      <c r="AT3" s="140">
        <v>53</v>
      </c>
      <c r="AU3" s="140"/>
      <c r="AV3" s="140">
        <v>52</v>
      </c>
      <c r="AW3" s="140"/>
      <c r="AX3" s="140">
        <v>76</v>
      </c>
      <c r="AY3" s="140"/>
      <c r="AZ3" s="140">
        <v>82</v>
      </c>
      <c r="BA3" s="140"/>
      <c r="BB3" s="140">
        <v>104</v>
      </c>
      <c r="BC3" s="140"/>
      <c r="BD3" s="140">
        <v>147</v>
      </c>
      <c r="BE3" s="140"/>
      <c r="BF3" s="140">
        <v>54</v>
      </c>
      <c r="BG3" s="140"/>
      <c r="BH3" s="140"/>
      <c r="BI3" s="140"/>
      <c r="BJ3" s="140"/>
    </row>
    <row r="4" spans="1:73" ht="13.5" customHeight="1">
      <c r="A4" s="894" t="s">
        <v>0</v>
      </c>
      <c r="B4" s="894"/>
      <c r="C4" s="894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23"/>
      <c r="R4" s="23"/>
      <c r="S4" s="23"/>
      <c r="T4" s="23"/>
      <c r="U4" s="23"/>
      <c r="V4" s="23"/>
      <c r="W4" s="23"/>
      <c r="X4" s="23"/>
      <c r="Y4" s="140" t="s">
        <v>298</v>
      </c>
      <c r="Z4" s="141">
        <f>Z3/1125*100</f>
        <v>4.2666666666666666</v>
      </c>
      <c r="AA4" s="141">
        <f t="shared" ref="AA4:BF4" si="0">AA3/1125*100</f>
        <v>0</v>
      </c>
      <c r="AB4" s="141">
        <f t="shared" si="0"/>
        <v>2.0444444444444447</v>
      </c>
      <c r="AC4" s="141">
        <f t="shared" si="0"/>
        <v>0</v>
      </c>
      <c r="AD4" s="141">
        <f t="shared" si="0"/>
        <v>7.1111111111111107</v>
      </c>
      <c r="AE4" s="141">
        <f t="shared" si="0"/>
        <v>0</v>
      </c>
      <c r="AF4" s="141">
        <f t="shared" si="0"/>
        <v>9.3333333333333339</v>
      </c>
      <c r="AG4" s="141">
        <f t="shared" si="0"/>
        <v>0</v>
      </c>
      <c r="AH4" s="141">
        <f t="shared" si="0"/>
        <v>3.822222222222222</v>
      </c>
      <c r="AI4" s="141">
        <f t="shared" si="0"/>
        <v>0</v>
      </c>
      <c r="AJ4" s="141">
        <f t="shared" si="0"/>
        <v>6.666666666666667</v>
      </c>
      <c r="AK4" s="141">
        <f t="shared" si="0"/>
        <v>0</v>
      </c>
      <c r="AL4" s="141">
        <f t="shared" si="0"/>
        <v>3.6444444444444448</v>
      </c>
      <c r="AM4" s="141">
        <f t="shared" si="0"/>
        <v>0</v>
      </c>
      <c r="AN4" s="141">
        <f t="shared" si="0"/>
        <v>8.9777777777777779</v>
      </c>
      <c r="AO4" s="141">
        <f t="shared" si="0"/>
        <v>0</v>
      </c>
      <c r="AP4" s="141">
        <f t="shared" si="0"/>
        <v>0.71111111111111114</v>
      </c>
      <c r="AQ4" s="141">
        <f t="shared" si="0"/>
        <v>0</v>
      </c>
      <c r="AR4" s="141">
        <f t="shared" si="0"/>
        <v>2.9333333333333331</v>
      </c>
      <c r="AS4" s="141">
        <f t="shared" si="0"/>
        <v>0</v>
      </c>
      <c r="AT4" s="141">
        <f t="shared" si="0"/>
        <v>4.7111111111111112</v>
      </c>
      <c r="AU4" s="141">
        <f t="shared" si="0"/>
        <v>0</v>
      </c>
      <c r="AV4" s="141">
        <f t="shared" si="0"/>
        <v>4.6222222222222218</v>
      </c>
      <c r="AW4" s="141">
        <f t="shared" si="0"/>
        <v>0</v>
      </c>
      <c r="AX4" s="141">
        <f t="shared" si="0"/>
        <v>6.7555555555555546</v>
      </c>
      <c r="AY4" s="141">
        <f t="shared" si="0"/>
        <v>0</v>
      </c>
      <c r="AZ4" s="141">
        <f t="shared" si="0"/>
        <v>7.2888888888888896</v>
      </c>
      <c r="BA4" s="141">
        <f t="shared" si="0"/>
        <v>0</v>
      </c>
      <c r="BB4" s="141">
        <f t="shared" si="0"/>
        <v>9.2444444444444436</v>
      </c>
      <c r="BC4" s="141">
        <f t="shared" si="0"/>
        <v>0</v>
      </c>
      <c r="BD4" s="141">
        <f t="shared" si="0"/>
        <v>13.066666666666665</v>
      </c>
      <c r="BE4" s="141">
        <f t="shared" si="0"/>
        <v>0</v>
      </c>
      <c r="BF4" s="141">
        <f t="shared" si="0"/>
        <v>4.8</v>
      </c>
      <c r="BG4" s="140"/>
      <c r="BH4" s="140"/>
      <c r="BI4" s="140"/>
      <c r="BJ4" s="140"/>
    </row>
    <row r="5" spans="1:73" ht="22.7" customHeight="1">
      <c r="B5" s="138" t="s">
        <v>181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23"/>
      <c r="R5" s="23"/>
      <c r="S5" s="23"/>
      <c r="T5" s="23"/>
      <c r="U5" s="23"/>
      <c r="V5" s="23"/>
      <c r="W5" s="23"/>
      <c r="X5" s="23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</row>
    <row r="6" spans="1:73" ht="18.600000000000001" customHeight="1">
      <c r="A6" s="142" t="s">
        <v>20</v>
      </c>
      <c r="B6" s="143"/>
      <c r="C6" s="143"/>
      <c r="D6" s="144"/>
      <c r="E6" s="895" t="s">
        <v>11</v>
      </c>
      <c r="F6" s="896"/>
      <c r="G6" s="897" t="s">
        <v>156</v>
      </c>
      <c r="H6" s="898"/>
      <c r="I6" s="898"/>
      <c r="J6" s="898"/>
      <c r="K6" s="898"/>
      <c r="L6" s="898"/>
      <c r="M6" s="898"/>
      <c r="N6" s="898"/>
      <c r="O6" s="898"/>
      <c r="P6" s="899"/>
      <c r="Q6" s="882" t="s">
        <v>61</v>
      </c>
      <c r="R6" s="900"/>
      <c r="S6" s="900"/>
      <c r="T6" s="888"/>
      <c r="U6" s="887" t="s">
        <v>6</v>
      </c>
      <c r="V6" s="900"/>
      <c r="W6" s="900"/>
      <c r="X6" s="888"/>
      <c r="Y6" s="893" t="s">
        <v>184</v>
      </c>
      <c r="Z6" s="893"/>
      <c r="AA6" s="874" t="s">
        <v>185</v>
      </c>
      <c r="AB6" s="874"/>
      <c r="AC6" s="874" t="s">
        <v>186</v>
      </c>
      <c r="AD6" s="874"/>
      <c r="AE6" s="874" t="s">
        <v>187</v>
      </c>
      <c r="AF6" s="874"/>
      <c r="AG6" s="874" t="s">
        <v>188</v>
      </c>
      <c r="AH6" s="874"/>
      <c r="AI6" s="893" t="s">
        <v>189</v>
      </c>
      <c r="AJ6" s="893"/>
      <c r="AK6" s="893" t="s">
        <v>190</v>
      </c>
      <c r="AL6" s="893"/>
      <c r="AM6" s="874" t="s">
        <v>191</v>
      </c>
      <c r="AN6" s="874"/>
      <c r="AO6" s="874" t="s">
        <v>192</v>
      </c>
      <c r="AP6" s="874"/>
      <c r="AQ6" s="874" t="s">
        <v>193</v>
      </c>
      <c r="AR6" s="874"/>
      <c r="AS6" s="874" t="s">
        <v>194</v>
      </c>
      <c r="AT6" s="874"/>
      <c r="AU6" s="875" t="s">
        <v>195</v>
      </c>
      <c r="AV6" s="876"/>
      <c r="AW6" s="875" t="s">
        <v>196</v>
      </c>
      <c r="AX6" s="876"/>
      <c r="AY6" s="874" t="s">
        <v>197</v>
      </c>
      <c r="AZ6" s="874"/>
      <c r="BA6" s="875" t="s">
        <v>198</v>
      </c>
      <c r="BB6" s="876"/>
      <c r="BC6" s="882" t="s">
        <v>199</v>
      </c>
      <c r="BD6" s="883"/>
      <c r="BE6" s="875" t="s">
        <v>200</v>
      </c>
      <c r="BF6" s="876"/>
      <c r="BG6" s="887" t="s">
        <v>201</v>
      </c>
      <c r="BH6" s="888"/>
      <c r="BI6" s="891" t="s">
        <v>17</v>
      </c>
      <c r="BJ6" s="891"/>
      <c r="BK6" s="145"/>
    </row>
    <row r="7" spans="1:73" ht="33.950000000000003" customHeight="1">
      <c r="B7" s="143" t="s">
        <v>12</v>
      </c>
      <c r="C7" s="146" t="s">
        <v>14</v>
      </c>
      <c r="D7" s="147" t="s">
        <v>18</v>
      </c>
      <c r="E7" s="147" t="s">
        <v>19</v>
      </c>
      <c r="F7" s="147" t="s">
        <v>15</v>
      </c>
      <c r="G7" s="148" t="s">
        <v>204</v>
      </c>
      <c r="H7" s="148" t="s">
        <v>205</v>
      </c>
      <c r="I7" s="148" t="s">
        <v>206</v>
      </c>
      <c r="J7" s="148" t="s">
        <v>207</v>
      </c>
      <c r="K7" s="148" t="s">
        <v>208</v>
      </c>
      <c r="L7" s="148" t="s">
        <v>209</v>
      </c>
      <c r="M7" s="148" t="s">
        <v>210</v>
      </c>
      <c r="N7" s="148" t="s">
        <v>211</v>
      </c>
      <c r="O7" s="148" t="s">
        <v>212</v>
      </c>
      <c r="P7" s="148" t="s">
        <v>818</v>
      </c>
      <c r="Q7" s="889"/>
      <c r="R7" s="901"/>
      <c r="S7" s="901"/>
      <c r="T7" s="890"/>
      <c r="U7" s="889"/>
      <c r="V7" s="901"/>
      <c r="W7" s="901"/>
      <c r="X7" s="890"/>
      <c r="Y7" s="893"/>
      <c r="Z7" s="893"/>
      <c r="AA7" s="874"/>
      <c r="AB7" s="874"/>
      <c r="AC7" s="874"/>
      <c r="AD7" s="874"/>
      <c r="AE7" s="874"/>
      <c r="AF7" s="874"/>
      <c r="AG7" s="874"/>
      <c r="AH7" s="874"/>
      <c r="AI7" s="893"/>
      <c r="AJ7" s="893"/>
      <c r="AK7" s="893"/>
      <c r="AL7" s="893"/>
      <c r="AM7" s="874"/>
      <c r="AN7" s="874"/>
      <c r="AO7" s="874"/>
      <c r="AP7" s="874"/>
      <c r="AQ7" s="874"/>
      <c r="AR7" s="874"/>
      <c r="AS7" s="874"/>
      <c r="AT7" s="874"/>
      <c r="AU7" s="877"/>
      <c r="AV7" s="878"/>
      <c r="AW7" s="877"/>
      <c r="AX7" s="878"/>
      <c r="AY7" s="874"/>
      <c r="AZ7" s="874"/>
      <c r="BA7" s="877"/>
      <c r="BB7" s="878"/>
      <c r="BC7" s="884"/>
      <c r="BD7" s="885"/>
      <c r="BE7" s="877"/>
      <c r="BF7" s="878"/>
      <c r="BG7" s="889"/>
      <c r="BH7" s="890"/>
      <c r="BI7" s="891"/>
      <c r="BJ7" s="891"/>
      <c r="BK7" s="149" t="s">
        <v>236</v>
      </c>
      <c r="BM7" s="879" t="s">
        <v>234</v>
      </c>
      <c r="BN7" s="880"/>
      <c r="BO7" s="880"/>
      <c r="BP7" s="880"/>
      <c r="BQ7" s="881"/>
      <c r="BR7" s="892" t="s">
        <v>235</v>
      </c>
      <c r="BS7" s="892"/>
      <c r="BT7" s="892"/>
      <c r="BU7" s="886" t="s">
        <v>17</v>
      </c>
    </row>
    <row r="8" spans="1:73" ht="46.35" customHeight="1">
      <c r="A8" s="150"/>
      <c r="B8" s="151"/>
      <c r="C8" s="152"/>
      <c r="D8" s="153"/>
      <c r="E8" s="153"/>
      <c r="F8" s="153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48" t="s">
        <v>7</v>
      </c>
      <c r="R8" s="148" t="s">
        <v>8</v>
      </c>
      <c r="S8" s="148" t="s">
        <v>9</v>
      </c>
      <c r="T8" s="148" t="s">
        <v>10</v>
      </c>
      <c r="U8" s="148" t="s">
        <v>7</v>
      </c>
      <c r="V8" s="148" t="s">
        <v>8</v>
      </c>
      <c r="W8" s="148" t="s">
        <v>9</v>
      </c>
      <c r="X8" s="148" t="s">
        <v>10</v>
      </c>
      <c r="Y8" s="148" t="s">
        <v>14</v>
      </c>
      <c r="Z8" s="148" t="s">
        <v>15</v>
      </c>
      <c r="AA8" s="148" t="s">
        <v>14</v>
      </c>
      <c r="AB8" s="148" t="s">
        <v>15</v>
      </c>
      <c r="AC8" s="148" t="s">
        <v>14</v>
      </c>
      <c r="AD8" s="148" t="s">
        <v>15</v>
      </c>
      <c r="AE8" s="148" t="s">
        <v>14</v>
      </c>
      <c r="AF8" s="148" t="s">
        <v>15</v>
      </c>
      <c r="AG8" s="148" t="s">
        <v>14</v>
      </c>
      <c r="AH8" s="148" t="s">
        <v>15</v>
      </c>
      <c r="AI8" s="148" t="s">
        <v>14</v>
      </c>
      <c r="AJ8" s="148" t="s">
        <v>15</v>
      </c>
      <c r="AK8" s="148" t="s">
        <v>14</v>
      </c>
      <c r="AL8" s="148" t="s">
        <v>15</v>
      </c>
      <c r="AM8" s="148" t="s">
        <v>14</v>
      </c>
      <c r="AN8" s="148" t="s">
        <v>15</v>
      </c>
      <c r="AO8" s="148" t="s">
        <v>14</v>
      </c>
      <c r="AP8" s="148" t="s">
        <v>15</v>
      </c>
      <c r="AQ8" s="148" t="s">
        <v>14</v>
      </c>
      <c r="AR8" s="148" t="s">
        <v>15</v>
      </c>
      <c r="AS8" s="148" t="s">
        <v>14</v>
      </c>
      <c r="AT8" s="148" t="s">
        <v>15</v>
      </c>
      <c r="AU8" s="148" t="s">
        <v>14</v>
      </c>
      <c r="AV8" s="148" t="s">
        <v>15</v>
      </c>
      <c r="AW8" s="148" t="s">
        <v>14</v>
      </c>
      <c r="AX8" s="148" t="s">
        <v>15</v>
      </c>
      <c r="AY8" s="148" t="s">
        <v>14</v>
      </c>
      <c r="AZ8" s="148" t="s">
        <v>15</v>
      </c>
      <c r="BA8" s="148" t="s">
        <v>14</v>
      </c>
      <c r="BB8" s="148" t="s">
        <v>15</v>
      </c>
      <c r="BC8" s="148" t="s">
        <v>14</v>
      </c>
      <c r="BD8" s="148" t="s">
        <v>15</v>
      </c>
      <c r="BE8" s="148" t="s">
        <v>14</v>
      </c>
      <c r="BF8" s="148" t="s">
        <v>15</v>
      </c>
      <c r="BG8" s="148" t="s">
        <v>14</v>
      </c>
      <c r="BH8" s="148" t="s">
        <v>15</v>
      </c>
      <c r="BI8" s="148" t="s">
        <v>14</v>
      </c>
      <c r="BJ8" s="148" t="s">
        <v>15</v>
      </c>
      <c r="BK8" s="149"/>
      <c r="BM8" s="155" t="s">
        <v>225</v>
      </c>
      <c r="BN8" s="156" t="s">
        <v>226</v>
      </c>
      <c r="BO8" s="156" t="s">
        <v>227</v>
      </c>
      <c r="BP8" s="157" t="s">
        <v>228</v>
      </c>
      <c r="BQ8" s="156" t="s">
        <v>229</v>
      </c>
      <c r="BR8" s="156" t="s">
        <v>230</v>
      </c>
      <c r="BS8" s="156" t="s">
        <v>231</v>
      </c>
      <c r="BT8" s="156" t="s">
        <v>232</v>
      </c>
      <c r="BU8" s="886"/>
    </row>
    <row r="9" spans="1:73" ht="24" customHeight="1">
      <c r="A9" s="150"/>
      <c r="B9" s="158" t="s">
        <v>327</v>
      </c>
      <c r="C9" s="159"/>
      <c r="D9" s="159"/>
      <c r="E9" s="145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48"/>
      <c r="R9" s="148"/>
      <c r="S9" s="148"/>
      <c r="T9" s="148"/>
      <c r="U9" s="148"/>
      <c r="V9" s="148"/>
      <c r="W9" s="148"/>
      <c r="X9" s="148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2"/>
      <c r="BK9" s="159"/>
      <c r="BM9" s="163"/>
      <c r="BN9" s="163"/>
      <c r="BO9" s="163"/>
      <c r="BP9" s="163"/>
      <c r="BQ9" s="163"/>
      <c r="BR9" s="163"/>
      <c r="BS9" s="163"/>
      <c r="BT9" s="163"/>
      <c r="BU9" s="164"/>
    </row>
    <row r="10" spans="1:73" ht="15.75">
      <c r="A10" s="150"/>
      <c r="B10" s="158" t="s">
        <v>945</v>
      </c>
      <c r="C10" s="159"/>
      <c r="D10" s="159"/>
      <c r="E10" s="145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48"/>
      <c r="R10" s="148"/>
      <c r="S10" s="148"/>
      <c r="T10" s="148"/>
      <c r="U10" s="148"/>
      <c r="V10" s="148"/>
      <c r="W10" s="148"/>
      <c r="X10" s="148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2"/>
      <c r="BK10" s="159"/>
      <c r="BM10" s="163"/>
      <c r="BN10" s="163"/>
      <c r="BO10" s="163"/>
      <c r="BP10" s="163"/>
      <c r="BQ10" s="163"/>
      <c r="BR10" s="163"/>
      <c r="BS10" s="163"/>
      <c r="BT10" s="163"/>
      <c r="BU10" s="164"/>
    </row>
    <row r="11" spans="1:73" ht="15.75">
      <c r="A11" s="150"/>
      <c r="B11" s="158" t="s">
        <v>455</v>
      </c>
      <c r="C11" s="159"/>
      <c r="D11" s="159"/>
      <c r="E11" s="14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1"/>
      <c r="BJ11" s="162"/>
      <c r="BK11" s="159"/>
      <c r="BM11" s="163"/>
      <c r="BN11" s="163"/>
      <c r="BO11" s="163"/>
      <c r="BP11" s="163"/>
      <c r="BQ11" s="163"/>
      <c r="BR11" s="163"/>
      <c r="BS11" s="163"/>
      <c r="BT11" s="163"/>
      <c r="BU11" s="164"/>
    </row>
    <row r="12" spans="1:73" ht="15.75">
      <c r="A12" s="150" t="s">
        <v>772</v>
      </c>
      <c r="B12" s="166" t="s">
        <v>686</v>
      </c>
      <c r="C12" s="159" t="s">
        <v>69</v>
      </c>
      <c r="D12" s="135">
        <v>200</v>
      </c>
      <c r="E12" s="161">
        <f>BI12</f>
        <v>458</v>
      </c>
      <c r="F12" s="165">
        <f>BJ12</f>
        <v>91600</v>
      </c>
      <c r="G12" s="165">
        <f>F12*0.2</f>
        <v>18320</v>
      </c>
      <c r="H12" s="165">
        <f>F12*0.8</f>
        <v>73280</v>
      </c>
      <c r="I12" s="165"/>
      <c r="J12" s="165"/>
      <c r="K12" s="165"/>
      <c r="L12" s="165"/>
      <c r="M12" s="165"/>
      <c r="N12" s="165"/>
      <c r="O12" s="165"/>
      <c r="P12" s="165"/>
      <c r="Q12" s="165">
        <f>E12*0.25</f>
        <v>114.5</v>
      </c>
      <c r="R12" s="165">
        <f>E12*0.25</f>
        <v>114.5</v>
      </c>
      <c r="S12" s="165">
        <f>E12*0.25</f>
        <v>114.5</v>
      </c>
      <c r="T12" s="165">
        <f>E12*0.25</f>
        <v>114.5</v>
      </c>
      <c r="U12" s="165">
        <f>Q12*D12</f>
        <v>22900</v>
      </c>
      <c r="V12" s="165">
        <f>R12*D12</f>
        <v>22900</v>
      </c>
      <c r="W12" s="165">
        <f>S12*D12</f>
        <v>22900</v>
      </c>
      <c r="X12" s="165">
        <f>T12*D12</f>
        <v>22900</v>
      </c>
      <c r="Y12" s="497">
        <v>0</v>
      </c>
      <c r="Z12" s="497">
        <f>Y12*D12</f>
        <v>0</v>
      </c>
      <c r="AA12" s="165">
        <v>20</v>
      </c>
      <c r="AB12" s="165">
        <f>D12*AA12</f>
        <v>4000</v>
      </c>
      <c r="AC12" s="497">
        <v>0</v>
      </c>
      <c r="AD12" s="497">
        <f>AC12*D12</f>
        <v>0</v>
      </c>
      <c r="AE12" s="165">
        <v>305</v>
      </c>
      <c r="AF12" s="165">
        <f>AE12*D12</f>
        <v>61000</v>
      </c>
      <c r="AG12" s="497">
        <v>0</v>
      </c>
      <c r="AH12" s="497">
        <f>AG12*D12</f>
        <v>0</v>
      </c>
      <c r="AI12" s="165">
        <v>20</v>
      </c>
      <c r="AJ12" s="165">
        <f>D12*AI12</f>
        <v>4000</v>
      </c>
      <c r="AK12" s="497">
        <v>0</v>
      </c>
      <c r="AL12" s="165">
        <f>D12*AK12</f>
        <v>0</v>
      </c>
      <c r="AM12" s="165">
        <v>20</v>
      </c>
      <c r="AN12" s="165">
        <f>D12*AM12</f>
        <v>4000</v>
      </c>
      <c r="AO12" s="165">
        <v>0</v>
      </c>
      <c r="AP12" s="165">
        <f>AO12*D12</f>
        <v>0</v>
      </c>
      <c r="AQ12" s="497">
        <v>3</v>
      </c>
      <c r="AR12" s="497">
        <f>AQ12*D12</f>
        <v>600</v>
      </c>
      <c r="AS12" s="165">
        <v>0</v>
      </c>
      <c r="AT12" s="165">
        <f>AS12*D12</f>
        <v>0</v>
      </c>
      <c r="AU12" s="165">
        <v>20</v>
      </c>
      <c r="AV12" s="165">
        <f>AU12*D12</f>
        <v>4000</v>
      </c>
      <c r="AW12" s="497">
        <v>0</v>
      </c>
      <c r="AX12" s="165">
        <f>AW12*D12</f>
        <v>0</v>
      </c>
      <c r="AY12" s="165">
        <v>0</v>
      </c>
      <c r="AZ12" s="165">
        <f>AY12*D12</f>
        <v>0</v>
      </c>
      <c r="BA12" s="165">
        <v>20</v>
      </c>
      <c r="BB12" s="165">
        <f>D12*BA12</f>
        <v>4000</v>
      </c>
      <c r="BC12" s="165">
        <v>0</v>
      </c>
      <c r="BD12" s="165">
        <f>BC12*D12</f>
        <v>0</v>
      </c>
      <c r="BE12" s="165">
        <v>50</v>
      </c>
      <c r="BF12" s="165">
        <f>BE12*D12</f>
        <v>10000</v>
      </c>
      <c r="BG12" s="165"/>
      <c r="BH12" s="165">
        <f>BG12*D12</f>
        <v>0</v>
      </c>
      <c r="BI12" s="161">
        <f t="shared" ref="BI12:BJ14" si="1">BG12+BE12+BC12+BA12+AY12+AW12+AU12+AS12+AQ12+AO12+AM12+AK12+AI12+AG12+AE12+AC12+AA12+Y12</f>
        <v>458</v>
      </c>
      <c r="BJ12" s="161">
        <f t="shared" si="1"/>
        <v>91600</v>
      </c>
      <c r="BK12" s="159" t="s">
        <v>216</v>
      </c>
      <c r="BM12" s="163">
        <v>0</v>
      </c>
      <c r="BN12" s="163">
        <f>BJ12</f>
        <v>91600</v>
      </c>
      <c r="BO12" s="163">
        <v>0</v>
      </c>
      <c r="BP12" s="163">
        <v>0</v>
      </c>
      <c r="BQ12" s="163">
        <f>BM12+BN12+BO12+BP12</f>
        <v>91600</v>
      </c>
      <c r="BR12" s="163">
        <v>0</v>
      </c>
      <c r="BS12" s="163">
        <v>0</v>
      </c>
      <c r="BT12" s="163">
        <f>BR12+BS12</f>
        <v>0</v>
      </c>
      <c r="BU12" s="164">
        <f t="shared" ref="BU12:BU61" si="2">BQ12+BT12</f>
        <v>91600</v>
      </c>
    </row>
    <row r="13" spans="1:73" ht="15.75">
      <c r="A13" s="150" t="s">
        <v>773</v>
      </c>
      <c r="B13" s="166" t="s">
        <v>687</v>
      </c>
      <c r="C13" s="159" t="s">
        <v>688</v>
      </c>
      <c r="D13" s="135">
        <v>1000</v>
      </c>
      <c r="E13" s="161">
        <v>150</v>
      </c>
      <c r="F13" s="165">
        <f>D13*E13</f>
        <v>150000</v>
      </c>
      <c r="G13" s="165">
        <f>F13*0.2</f>
        <v>30000</v>
      </c>
      <c r="H13" s="165">
        <f>F13*0.8</f>
        <v>120000</v>
      </c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>
        <v>10</v>
      </c>
      <c r="Z13" s="165">
        <f>Y13*D13</f>
        <v>10000</v>
      </c>
      <c r="AA13" s="165">
        <v>10</v>
      </c>
      <c r="AB13" s="165">
        <f>D13*AA13</f>
        <v>10000</v>
      </c>
      <c r="AC13" s="165">
        <v>10</v>
      </c>
      <c r="AD13" s="165">
        <f>AC13*D13</f>
        <v>10000</v>
      </c>
      <c r="AE13" s="165">
        <v>50</v>
      </c>
      <c r="AF13" s="165">
        <f>AE13*D13</f>
        <v>50000</v>
      </c>
      <c r="AG13" s="165">
        <v>10</v>
      </c>
      <c r="AH13" s="165">
        <f>AG13*D13</f>
        <v>10000</v>
      </c>
      <c r="AI13" s="165">
        <v>10</v>
      </c>
      <c r="AJ13" s="165">
        <f>D13*AI13</f>
        <v>10000</v>
      </c>
      <c r="AK13" s="165">
        <v>5</v>
      </c>
      <c r="AL13" s="165">
        <f>D13*AK13</f>
        <v>5000</v>
      </c>
      <c r="AM13" s="165">
        <v>10</v>
      </c>
      <c r="AN13" s="165">
        <f>D13*AM13</f>
        <v>10000</v>
      </c>
      <c r="AO13" s="165"/>
      <c r="AP13" s="165">
        <f>AO13*D13</f>
        <v>0</v>
      </c>
      <c r="AQ13" s="165"/>
      <c r="AR13" s="165">
        <f>AQ13*D13</f>
        <v>0</v>
      </c>
      <c r="AS13" s="165"/>
      <c r="AT13" s="165">
        <f>AS13*D13</f>
        <v>0</v>
      </c>
      <c r="AU13" s="165">
        <v>10</v>
      </c>
      <c r="AV13" s="165">
        <f>AU13*D13</f>
        <v>10000</v>
      </c>
      <c r="AW13" s="165">
        <v>5</v>
      </c>
      <c r="AX13" s="165">
        <f>AW13*D13</f>
        <v>5000</v>
      </c>
      <c r="AY13" s="165"/>
      <c r="AZ13" s="165">
        <f>AY13*D13</f>
        <v>0</v>
      </c>
      <c r="BA13" s="165">
        <v>5</v>
      </c>
      <c r="BB13" s="165">
        <f>D13*BA13</f>
        <v>5000</v>
      </c>
      <c r="BC13" s="165"/>
      <c r="BD13" s="165">
        <f>BC13*D13</f>
        <v>0</v>
      </c>
      <c r="BE13" s="165">
        <v>15</v>
      </c>
      <c r="BF13" s="165">
        <f>BE13*D13</f>
        <v>15000</v>
      </c>
      <c r="BG13" s="165"/>
      <c r="BH13" s="165"/>
      <c r="BI13" s="161">
        <f t="shared" si="1"/>
        <v>150</v>
      </c>
      <c r="BJ13" s="161">
        <f t="shared" si="1"/>
        <v>150000</v>
      </c>
      <c r="BK13" s="159"/>
      <c r="BM13" s="163"/>
      <c r="BN13" s="163"/>
      <c r="BO13" s="163"/>
      <c r="BP13" s="163"/>
      <c r="BQ13" s="163"/>
      <c r="BR13" s="163"/>
      <c r="BS13" s="163"/>
      <c r="BT13" s="163"/>
      <c r="BU13" s="164"/>
    </row>
    <row r="14" spans="1:73" ht="31.5">
      <c r="A14" s="150" t="s">
        <v>774</v>
      </c>
      <c r="B14" s="134" t="s">
        <v>689</v>
      </c>
      <c r="C14" s="159" t="s">
        <v>486</v>
      </c>
      <c r="D14" s="135">
        <v>900</v>
      </c>
      <c r="E14" s="145">
        <f>BI14</f>
        <v>535</v>
      </c>
      <c r="F14" s="165">
        <f>BJ14</f>
        <v>535500</v>
      </c>
      <c r="G14" s="165">
        <f>F14*0.2</f>
        <v>107100</v>
      </c>
      <c r="H14" s="165">
        <f>F14*0.8</f>
        <v>428400</v>
      </c>
      <c r="I14" s="165"/>
      <c r="J14" s="165"/>
      <c r="K14" s="165"/>
      <c r="L14" s="165"/>
      <c r="M14" s="165"/>
      <c r="N14" s="165"/>
      <c r="O14" s="165"/>
      <c r="P14" s="165"/>
      <c r="Q14" s="165">
        <f>E14*0.25</f>
        <v>133.75</v>
      </c>
      <c r="R14" s="165">
        <f>E14*0.25</f>
        <v>133.75</v>
      </c>
      <c r="S14" s="165">
        <f>E14*0.25</f>
        <v>133.75</v>
      </c>
      <c r="T14" s="165">
        <f>E14*0.25</f>
        <v>133.75</v>
      </c>
      <c r="U14" s="165">
        <f>Q14*D14</f>
        <v>120375</v>
      </c>
      <c r="V14" s="165">
        <f>R14*D14</f>
        <v>120375</v>
      </c>
      <c r="W14" s="165">
        <f>S14*D14</f>
        <v>120375</v>
      </c>
      <c r="X14" s="165">
        <f>F14-89250</f>
        <v>446250</v>
      </c>
      <c r="Y14" s="165">
        <v>28</v>
      </c>
      <c r="Z14" s="165">
        <f>Y14*D14</f>
        <v>25200</v>
      </c>
      <c r="AA14" s="165">
        <v>10</v>
      </c>
      <c r="AB14" s="165">
        <f>D14*AA14</f>
        <v>9000</v>
      </c>
      <c r="AC14" s="165">
        <v>20</v>
      </c>
      <c r="AD14" s="165">
        <f>AC14*D14</f>
        <v>18000</v>
      </c>
      <c r="AE14" s="165">
        <v>180</v>
      </c>
      <c r="AF14" s="165">
        <f>AE14*D14</f>
        <v>162000</v>
      </c>
      <c r="AG14" s="165">
        <v>20</v>
      </c>
      <c r="AH14" s="165">
        <f>AG14*D14</f>
        <v>18000</v>
      </c>
      <c r="AI14" s="165">
        <v>10</v>
      </c>
      <c r="AJ14" s="165">
        <f>D14*AI14</f>
        <v>9000</v>
      </c>
      <c r="AK14" s="165">
        <v>10</v>
      </c>
      <c r="AL14" s="165">
        <f>D14*AK14</f>
        <v>9000</v>
      </c>
      <c r="AM14" s="165">
        <v>20</v>
      </c>
      <c r="AN14" s="165">
        <f>D14*AM14*4</f>
        <v>72000</v>
      </c>
      <c r="AO14" s="165">
        <v>10</v>
      </c>
      <c r="AP14" s="165">
        <f>AO14*D14</f>
        <v>9000</v>
      </c>
      <c r="AQ14" s="165">
        <v>7</v>
      </c>
      <c r="AR14" s="165">
        <f>AQ14*D14</f>
        <v>6300</v>
      </c>
      <c r="AS14" s="165">
        <v>40</v>
      </c>
      <c r="AT14" s="165">
        <f>AS14*D14</f>
        <v>36000</v>
      </c>
      <c r="AU14" s="165">
        <v>10</v>
      </c>
      <c r="AV14" s="165">
        <f>AU14*D14</f>
        <v>9000</v>
      </c>
      <c r="AW14" s="165">
        <v>50</v>
      </c>
      <c r="AX14" s="165">
        <f>AW14*D14</f>
        <v>45000</v>
      </c>
      <c r="AY14" s="165">
        <v>15</v>
      </c>
      <c r="AZ14" s="165">
        <f>AY14*D14</f>
        <v>13500</v>
      </c>
      <c r="BA14" s="165">
        <v>20</v>
      </c>
      <c r="BB14" s="165">
        <f>D14*BA14</f>
        <v>18000</v>
      </c>
      <c r="BC14" s="165">
        <v>25</v>
      </c>
      <c r="BD14" s="165">
        <f>BC14*D14</f>
        <v>22500</v>
      </c>
      <c r="BE14" s="165">
        <v>60</v>
      </c>
      <c r="BF14" s="165">
        <f>BE14*D14</f>
        <v>54000</v>
      </c>
      <c r="BG14" s="165">
        <v>0</v>
      </c>
      <c r="BH14" s="165">
        <f>BG14*D14</f>
        <v>0</v>
      </c>
      <c r="BI14" s="161">
        <f t="shared" si="1"/>
        <v>535</v>
      </c>
      <c r="BJ14" s="161">
        <f t="shared" si="1"/>
        <v>535500</v>
      </c>
      <c r="BK14" s="159" t="s">
        <v>216</v>
      </c>
      <c r="BM14" s="163">
        <v>0</v>
      </c>
      <c r="BN14" s="163">
        <f>BJ14</f>
        <v>535500</v>
      </c>
      <c r="BO14" s="163">
        <v>0</v>
      </c>
      <c r="BP14" s="163">
        <v>0</v>
      </c>
      <c r="BQ14" s="163">
        <f>BM14+BN14+BO14+BP14</f>
        <v>535500</v>
      </c>
      <c r="BR14" s="163">
        <v>0</v>
      </c>
      <c r="BS14" s="163">
        <v>0</v>
      </c>
      <c r="BT14" s="163">
        <f>BR14+BS14</f>
        <v>0</v>
      </c>
      <c r="BU14" s="164">
        <f t="shared" si="2"/>
        <v>535500</v>
      </c>
    </row>
    <row r="15" spans="1:73" ht="15.75">
      <c r="A15" s="150" t="s">
        <v>775</v>
      </c>
      <c r="B15" s="158" t="s">
        <v>456</v>
      </c>
      <c r="C15" s="159" t="s">
        <v>115</v>
      </c>
      <c r="D15" s="135" t="s">
        <v>115</v>
      </c>
      <c r="E15" s="148">
        <f>SUM(E12:E14)</f>
        <v>1143</v>
      </c>
      <c r="F15" s="148">
        <f>SUM(F12:F14)</f>
        <v>777100</v>
      </c>
      <c r="G15" s="148">
        <f>SUM(G12:G14)</f>
        <v>155420</v>
      </c>
      <c r="H15" s="148">
        <f t="shared" ref="H15:P15" si="3">SUM(H12:H14)</f>
        <v>621680</v>
      </c>
      <c r="I15" s="148">
        <f t="shared" si="3"/>
        <v>0</v>
      </c>
      <c r="J15" s="148">
        <f t="shared" si="3"/>
        <v>0</v>
      </c>
      <c r="K15" s="148">
        <f t="shared" si="3"/>
        <v>0</v>
      </c>
      <c r="L15" s="148">
        <f t="shared" si="3"/>
        <v>0</v>
      </c>
      <c r="M15" s="148">
        <f t="shared" si="3"/>
        <v>0</v>
      </c>
      <c r="N15" s="148">
        <f t="shared" si="3"/>
        <v>0</v>
      </c>
      <c r="O15" s="148">
        <f t="shared" si="3"/>
        <v>0</v>
      </c>
      <c r="P15" s="148">
        <f t="shared" si="3"/>
        <v>0</v>
      </c>
      <c r="Q15" s="148"/>
      <c r="R15" s="148"/>
      <c r="S15" s="148"/>
      <c r="T15" s="148"/>
      <c r="U15" s="148">
        <f>SUM(U12:U14)</f>
        <v>143275</v>
      </c>
      <c r="V15" s="148">
        <f>SUM(V12:V14)</f>
        <v>143275</v>
      </c>
      <c r="W15" s="148">
        <f>SUM(W12:W14)</f>
        <v>143275</v>
      </c>
      <c r="X15" s="148">
        <f>SUM(X12:X14)</f>
        <v>469150</v>
      </c>
      <c r="Y15" s="165">
        <f>SUM(Y12:Y14)</f>
        <v>38</v>
      </c>
      <c r="Z15" s="165">
        <f t="shared" ref="Z15:BU15" si="4">SUM(Z12:Z14)</f>
        <v>35200</v>
      </c>
      <c r="AA15" s="165">
        <f t="shared" si="4"/>
        <v>40</v>
      </c>
      <c r="AB15" s="165">
        <f t="shared" si="4"/>
        <v>23000</v>
      </c>
      <c r="AC15" s="165">
        <f t="shared" si="4"/>
        <v>30</v>
      </c>
      <c r="AD15" s="165">
        <f t="shared" si="4"/>
        <v>28000</v>
      </c>
      <c r="AE15" s="165">
        <f t="shared" si="4"/>
        <v>535</v>
      </c>
      <c r="AF15" s="165">
        <f t="shared" si="4"/>
        <v>273000</v>
      </c>
      <c r="AG15" s="165">
        <f t="shared" si="4"/>
        <v>30</v>
      </c>
      <c r="AH15" s="165">
        <f t="shared" si="4"/>
        <v>28000</v>
      </c>
      <c r="AI15" s="165">
        <f t="shared" si="4"/>
        <v>40</v>
      </c>
      <c r="AJ15" s="165">
        <f t="shared" si="4"/>
        <v>23000</v>
      </c>
      <c r="AK15" s="165">
        <f t="shared" si="4"/>
        <v>15</v>
      </c>
      <c r="AL15" s="165">
        <f t="shared" si="4"/>
        <v>14000</v>
      </c>
      <c r="AM15" s="165">
        <f t="shared" si="4"/>
        <v>50</v>
      </c>
      <c r="AN15" s="165">
        <f t="shared" si="4"/>
        <v>86000</v>
      </c>
      <c r="AO15" s="165">
        <f t="shared" si="4"/>
        <v>10</v>
      </c>
      <c r="AP15" s="165">
        <f t="shared" si="4"/>
        <v>9000</v>
      </c>
      <c r="AQ15" s="165">
        <f t="shared" si="4"/>
        <v>10</v>
      </c>
      <c r="AR15" s="165">
        <f t="shared" si="4"/>
        <v>6900</v>
      </c>
      <c r="AS15" s="165">
        <f t="shared" si="4"/>
        <v>40</v>
      </c>
      <c r="AT15" s="165">
        <f t="shared" si="4"/>
        <v>36000</v>
      </c>
      <c r="AU15" s="165">
        <f t="shared" si="4"/>
        <v>40</v>
      </c>
      <c r="AV15" s="165">
        <f t="shared" si="4"/>
        <v>23000</v>
      </c>
      <c r="AW15" s="165">
        <f t="shared" si="4"/>
        <v>55</v>
      </c>
      <c r="AX15" s="165">
        <f t="shared" si="4"/>
        <v>50000</v>
      </c>
      <c r="AY15" s="165">
        <f t="shared" si="4"/>
        <v>15</v>
      </c>
      <c r="AZ15" s="165">
        <f t="shared" si="4"/>
        <v>13500</v>
      </c>
      <c r="BA15" s="165">
        <f t="shared" si="4"/>
        <v>45</v>
      </c>
      <c r="BB15" s="165">
        <f t="shared" si="4"/>
        <v>27000</v>
      </c>
      <c r="BC15" s="165">
        <f t="shared" si="4"/>
        <v>25</v>
      </c>
      <c r="BD15" s="165">
        <f t="shared" si="4"/>
        <v>22500</v>
      </c>
      <c r="BE15" s="165">
        <f t="shared" si="4"/>
        <v>125</v>
      </c>
      <c r="BF15" s="165">
        <f t="shared" si="4"/>
        <v>79000</v>
      </c>
      <c r="BG15" s="165">
        <f t="shared" si="4"/>
        <v>0</v>
      </c>
      <c r="BH15" s="165">
        <f t="shared" si="4"/>
        <v>0</v>
      </c>
      <c r="BI15" s="165">
        <f t="shared" si="4"/>
        <v>1143</v>
      </c>
      <c r="BJ15" s="165">
        <f t="shared" si="4"/>
        <v>777100</v>
      </c>
      <c r="BK15" s="165">
        <f t="shared" si="4"/>
        <v>0</v>
      </c>
      <c r="BL15" s="165">
        <f t="shared" si="4"/>
        <v>0</v>
      </c>
      <c r="BM15" s="165">
        <f t="shared" si="4"/>
        <v>0</v>
      </c>
      <c r="BN15" s="165">
        <f t="shared" si="4"/>
        <v>627100</v>
      </c>
      <c r="BO15" s="165">
        <f t="shared" si="4"/>
        <v>0</v>
      </c>
      <c r="BP15" s="165">
        <f t="shared" si="4"/>
        <v>0</v>
      </c>
      <c r="BQ15" s="165">
        <f t="shared" si="4"/>
        <v>627100</v>
      </c>
      <c r="BR15" s="165">
        <f t="shared" si="4"/>
        <v>0</v>
      </c>
      <c r="BS15" s="165">
        <f t="shared" si="4"/>
        <v>0</v>
      </c>
      <c r="BT15" s="165">
        <f t="shared" si="4"/>
        <v>0</v>
      </c>
      <c r="BU15" s="165">
        <f t="shared" si="4"/>
        <v>627100</v>
      </c>
    </row>
    <row r="16" spans="1:73" ht="48" customHeight="1">
      <c r="A16" s="150" t="s">
        <v>776</v>
      </c>
      <c r="B16" s="134" t="s">
        <v>690</v>
      </c>
      <c r="C16" s="159" t="s">
        <v>69</v>
      </c>
      <c r="D16" s="135" t="s">
        <v>490</v>
      </c>
      <c r="E16" s="145">
        <f>BI16</f>
        <v>395</v>
      </c>
      <c r="F16" s="165">
        <f>E16*D16</f>
        <v>256750</v>
      </c>
      <c r="G16" s="165">
        <f>F16*0.2</f>
        <v>51350</v>
      </c>
      <c r="H16" s="165">
        <f>F16*0.8</f>
        <v>205400</v>
      </c>
      <c r="I16" s="165"/>
      <c r="J16" s="165"/>
      <c r="K16" s="165"/>
      <c r="L16" s="165"/>
      <c r="M16" s="165"/>
      <c r="N16" s="165"/>
      <c r="O16" s="165"/>
      <c r="P16" s="165"/>
      <c r="Q16" s="167">
        <f>E16*0.25</f>
        <v>98.75</v>
      </c>
      <c r="R16" s="167">
        <f>E16*0.25</f>
        <v>98.75</v>
      </c>
      <c r="S16" s="167">
        <f>E16*0.25</f>
        <v>98.75</v>
      </c>
      <c r="T16" s="167">
        <f>E16*0.25</f>
        <v>98.75</v>
      </c>
      <c r="U16" s="165">
        <f>Q16*D16</f>
        <v>64187.5</v>
      </c>
      <c r="V16" s="165">
        <f>R16*D16</f>
        <v>64187.5</v>
      </c>
      <c r="W16" s="165">
        <f>S16*D16</f>
        <v>64187.5</v>
      </c>
      <c r="X16" s="165">
        <f>T16*D16</f>
        <v>64187.5</v>
      </c>
      <c r="Y16" s="165">
        <v>0</v>
      </c>
      <c r="Z16" s="165">
        <f>Y16*D16</f>
        <v>0</v>
      </c>
      <c r="AA16" s="165">
        <v>20</v>
      </c>
      <c r="AB16" s="165">
        <f>D16*AA16</f>
        <v>13000</v>
      </c>
      <c r="AC16" s="165">
        <v>20</v>
      </c>
      <c r="AD16" s="165">
        <f>AC16*D16</f>
        <v>13000</v>
      </c>
      <c r="AE16" s="165">
        <v>20</v>
      </c>
      <c r="AF16" s="165">
        <f>AE16*D16</f>
        <v>13000</v>
      </c>
      <c r="AG16" s="165">
        <v>0</v>
      </c>
      <c r="AH16" s="165">
        <f>AG16*D16</f>
        <v>0</v>
      </c>
      <c r="AI16" s="165">
        <v>20</v>
      </c>
      <c r="AJ16" s="165">
        <f>D16*AI16</f>
        <v>13000</v>
      </c>
      <c r="AK16" s="165">
        <v>20</v>
      </c>
      <c r="AL16" s="165">
        <f>D16*AK16</f>
        <v>13000</v>
      </c>
      <c r="AM16" s="165">
        <v>100</v>
      </c>
      <c r="AN16" s="165">
        <f>D16*AM16</f>
        <v>65000</v>
      </c>
      <c r="AO16" s="165">
        <v>5</v>
      </c>
      <c r="AP16" s="165">
        <f>AO16*D16</f>
        <v>3250</v>
      </c>
      <c r="AQ16" s="165">
        <v>10</v>
      </c>
      <c r="AR16" s="165">
        <f>AQ16*D16</f>
        <v>6500</v>
      </c>
      <c r="AS16" s="165">
        <v>0</v>
      </c>
      <c r="AT16" s="165">
        <f>AS16*D16</f>
        <v>0</v>
      </c>
      <c r="AU16" s="165">
        <v>100</v>
      </c>
      <c r="AV16" s="165">
        <f>AU16*D16</f>
        <v>65000</v>
      </c>
      <c r="AW16" s="165">
        <v>20</v>
      </c>
      <c r="AX16" s="165">
        <f>AW16*D16</f>
        <v>13000</v>
      </c>
      <c r="AY16" s="165">
        <v>20</v>
      </c>
      <c r="AZ16" s="165">
        <f>AY16*D16</f>
        <v>13000</v>
      </c>
      <c r="BA16" s="497">
        <v>0</v>
      </c>
      <c r="BB16" s="497">
        <f>D16*BA16</f>
        <v>0</v>
      </c>
      <c r="BC16" s="165">
        <v>20</v>
      </c>
      <c r="BD16" s="165">
        <f>BC16*D16</f>
        <v>13000</v>
      </c>
      <c r="BE16" s="165">
        <v>20</v>
      </c>
      <c r="BF16" s="165">
        <f>BE16*D16</f>
        <v>13000</v>
      </c>
      <c r="BG16" s="165">
        <v>0</v>
      </c>
      <c r="BH16" s="165">
        <f>BG16*D16</f>
        <v>0</v>
      </c>
      <c r="BI16" s="161">
        <f>BG16+BE16+BC16+BA16+AY16+AW16+AU16+AS16+AQ16+AO16+AM16+AK16+AI16+AG16+AE16+AC16+AA16+Y16</f>
        <v>395</v>
      </c>
      <c r="BJ16" s="161">
        <f>BH16+BF16+BD16+BB16+AZ16+AX16+AV16+AT16+AR16+AP16+AN16+AL16+AJ16+AH16+AF16+AD16+AB16+Z16</f>
        <v>256750</v>
      </c>
      <c r="BK16" s="159" t="s">
        <v>216</v>
      </c>
      <c r="BM16" s="163"/>
      <c r="BN16" s="163"/>
      <c r="BO16" s="163">
        <f>F16</f>
        <v>256750</v>
      </c>
      <c r="BP16" s="163"/>
      <c r="BQ16" s="163">
        <f>BM16+BN16+BO16+BP16</f>
        <v>256750</v>
      </c>
      <c r="BR16" s="163"/>
      <c r="BS16" s="163"/>
      <c r="BT16" s="163"/>
      <c r="BU16" s="164">
        <f t="shared" si="2"/>
        <v>256750</v>
      </c>
    </row>
    <row r="17" spans="1:73" ht="15.75">
      <c r="A17" s="150"/>
      <c r="B17" s="158" t="s">
        <v>457</v>
      </c>
      <c r="C17" s="168" t="s">
        <v>115</v>
      </c>
      <c r="D17" s="135" t="s">
        <v>115</v>
      </c>
      <c r="E17" s="148">
        <f>E16</f>
        <v>395</v>
      </c>
      <c r="F17" s="148">
        <f>F16</f>
        <v>256750</v>
      </c>
      <c r="G17" s="148">
        <f>G16</f>
        <v>51350</v>
      </c>
      <c r="H17" s="148">
        <f t="shared" ref="H17:P17" si="5">H16</f>
        <v>205400</v>
      </c>
      <c r="I17" s="148">
        <f t="shared" si="5"/>
        <v>0</v>
      </c>
      <c r="J17" s="148">
        <f t="shared" si="5"/>
        <v>0</v>
      </c>
      <c r="K17" s="148">
        <f t="shared" si="5"/>
        <v>0</v>
      </c>
      <c r="L17" s="148">
        <f t="shared" si="5"/>
        <v>0</v>
      </c>
      <c r="M17" s="148">
        <f t="shared" si="5"/>
        <v>0</v>
      </c>
      <c r="N17" s="148">
        <f t="shared" si="5"/>
        <v>0</v>
      </c>
      <c r="O17" s="148">
        <f t="shared" si="5"/>
        <v>0</v>
      </c>
      <c r="P17" s="148">
        <f t="shared" si="5"/>
        <v>0</v>
      </c>
      <c r="Q17" s="148"/>
      <c r="R17" s="169"/>
      <c r="S17" s="169"/>
      <c r="T17" s="169"/>
      <c r="U17" s="148">
        <f>SUM(U16)</f>
        <v>64187.5</v>
      </c>
      <c r="V17" s="148">
        <f>SUM(V16)</f>
        <v>64187.5</v>
      </c>
      <c r="W17" s="148">
        <f>SUM(W16)</f>
        <v>64187.5</v>
      </c>
      <c r="X17" s="148">
        <f>SUM(X16)</f>
        <v>64187.5</v>
      </c>
      <c r="Y17" s="165">
        <f>SUM(Y16)</f>
        <v>0</v>
      </c>
      <c r="Z17" s="165">
        <f t="shared" ref="Z17:BU17" si="6">SUM(Z16)</f>
        <v>0</v>
      </c>
      <c r="AA17" s="165">
        <f t="shared" si="6"/>
        <v>20</v>
      </c>
      <c r="AB17" s="165">
        <f t="shared" si="6"/>
        <v>13000</v>
      </c>
      <c r="AC17" s="165">
        <f t="shared" si="6"/>
        <v>20</v>
      </c>
      <c r="AD17" s="165">
        <f t="shared" si="6"/>
        <v>13000</v>
      </c>
      <c r="AE17" s="165">
        <f t="shared" si="6"/>
        <v>20</v>
      </c>
      <c r="AF17" s="165">
        <f t="shared" si="6"/>
        <v>13000</v>
      </c>
      <c r="AG17" s="165">
        <f t="shared" si="6"/>
        <v>0</v>
      </c>
      <c r="AH17" s="165">
        <f t="shared" si="6"/>
        <v>0</v>
      </c>
      <c r="AI17" s="165">
        <f t="shared" si="6"/>
        <v>20</v>
      </c>
      <c r="AJ17" s="165">
        <f t="shared" si="6"/>
        <v>13000</v>
      </c>
      <c r="AK17" s="165">
        <f t="shared" si="6"/>
        <v>20</v>
      </c>
      <c r="AL17" s="165">
        <f t="shared" si="6"/>
        <v>13000</v>
      </c>
      <c r="AM17" s="165">
        <f t="shared" si="6"/>
        <v>100</v>
      </c>
      <c r="AN17" s="165">
        <f t="shared" si="6"/>
        <v>65000</v>
      </c>
      <c r="AO17" s="165">
        <f t="shared" si="6"/>
        <v>5</v>
      </c>
      <c r="AP17" s="165">
        <f t="shared" si="6"/>
        <v>3250</v>
      </c>
      <c r="AQ17" s="165">
        <f t="shared" si="6"/>
        <v>10</v>
      </c>
      <c r="AR17" s="165">
        <f t="shared" si="6"/>
        <v>6500</v>
      </c>
      <c r="AS17" s="165">
        <f t="shared" si="6"/>
        <v>0</v>
      </c>
      <c r="AT17" s="165">
        <f t="shared" si="6"/>
        <v>0</v>
      </c>
      <c r="AU17" s="165">
        <f t="shared" si="6"/>
        <v>100</v>
      </c>
      <c r="AV17" s="165">
        <f t="shared" si="6"/>
        <v>65000</v>
      </c>
      <c r="AW17" s="165">
        <f t="shared" si="6"/>
        <v>20</v>
      </c>
      <c r="AX17" s="165">
        <f t="shared" si="6"/>
        <v>13000</v>
      </c>
      <c r="AY17" s="165">
        <f t="shared" si="6"/>
        <v>20</v>
      </c>
      <c r="AZ17" s="165">
        <f t="shared" si="6"/>
        <v>13000</v>
      </c>
      <c r="BA17" s="165">
        <f t="shared" si="6"/>
        <v>0</v>
      </c>
      <c r="BB17" s="165">
        <f t="shared" si="6"/>
        <v>0</v>
      </c>
      <c r="BC17" s="165">
        <f t="shared" si="6"/>
        <v>20</v>
      </c>
      <c r="BD17" s="165">
        <f t="shared" si="6"/>
        <v>13000</v>
      </c>
      <c r="BE17" s="165">
        <f t="shared" si="6"/>
        <v>20</v>
      </c>
      <c r="BF17" s="165">
        <f t="shared" si="6"/>
        <v>13000</v>
      </c>
      <c r="BG17" s="165">
        <f t="shared" si="6"/>
        <v>0</v>
      </c>
      <c r="BH17" s="165">
        <f t="shared" si="6"/>
        <v>0</v>
      </c>
      <c r="BI17" s="165">
        <f t="shared" si="6"/>
        <v>395</v>
      </c>
      <c r="BJ17" s="165">
        <f t="shared" si="6"/>
        <v>256750</v>
      </c>
      <c r="BK17" s="165">
        <f t="shared" si="6"/>
        <v>0</v>
      </c>
      <c r="BL17" s="165">
        <f t="shared" si="6"/>
        <v>0</v>
      </c>
      <c r="BM17" s="165">
        <f t="shared" si="6"/>
        <v>0</v>
      </c>
      <c r="BN17" s="165">
        <f t="shared" si="6"/>
        <v>0</v>
      </c>
      <c r="BO17" s="165">
        <f t="shared" si="6"/>
        <v>256750</v>
      </c>
      <c r="BP17" s="165">
        <f t="shared" si="6"/>
        <v>0</v>
      </c>
      <c r="BQ17" s="165">
        <f t="shared" si="6"/>
        <v>256750</v>
      </c>
      <c r="BR17" s="165">
        <f t="shared" si="6"/>
        <v>0</v>
      </c>
      <c r="BS17" s="165">
        <f t="shared" si="6"/>
        <v>0</v>
      </c>
      <c r="BT17" s="165">
        <f t="shared" si="6"/>
        <v>0</v>
      </c>
      <c r="BU17" s="165">
        <f t="shared" si="6"/>
        <v>256750</v>
      </c>
    </row>
    <row r="18" spans="1:73" s="23" customFormat="1" ht="15.75">
      <c r="A18" s="170"/>
      <c r="B18" s="158" t="s">
        <v>458</v>
      </c>
      <c r="C18" s="159"/>
      <c r="D18" s="159"/>
      <c r="E18" s="155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69"/>
      <c r="R18" s="169"/>
      <c r="S18" s="169"/>
      <c r="T18" s="169"/>
      <c r="U18" s="148"/>
      <c r="V18" s="148"/>
      <c r="W18" s="148"/>
      <c r="X18" s="148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1"/>
      <c r="BJ18" s="162"/>
      <c r="BK18" s="159"/>
      <c r="BM18" s="148"/>
      <c r="BN18" s="148"/>
      <c r="BO18" s="148"/>
      <c r="BP18" s="148"/>
      <c r="BQ18" s="148"/>
      <c r="BR18" s="148"/>
      <c r="BS18" s="148"/>
      <c r="BT18" s="148"/>
      <c r="BU18" s="171"/>
    </row>
    <row r="19" spans="1:73" ht="15.75">
      <c r="A19" s="150"/>
      <c r="B19" s="158" t="s">
        <v>459</v>
      </c>
      <c r="C19" s="159"/>
      <c r="D19" s="159"/>
      <c r="E19" s="14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7"/>
      <c r="R19" s="167"/>
      <c r="S19" s="167"/>
      <c r="T19" s="167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1"/>
      <c r="BJ19" s="162"/>
      <c r="BK19" s="159"/>
      <c r="BM19" s="163"/>
      <c r="BN19" s="163"/>
      <c r="BO19" s="163"/>
      <c r="BP19" s="163"/>
      <c r="BQ19" s="163"/>
      <c r="BR19" s="163"/>
      <c r="BS19" s="163"/>
      <c r="BT19" s="163"/>
      <c r="BU19" s="164">
        <f t="shared" si="2"/>
        <v>0</v>
      </c>
    </row>
    <row r="20" spans="1:73" s="500" customFormat="1" ht="31.5">
      <c r="A20" s="493" t="s">
        <v>777</v>
      </c>
      <c r="B20" s="554" t="s">
        <v>691</v>
      </c>
      <c r="C20" s="494" t="s">
        <v>486</v>
      </c>
      <c r="D20" s="495">
        <v>500</v>
      </c>
      <c r="E20" s="499">
        <f>BI20</f>
        <v>204</v>
      </c>
      <c r="F20" s="497">
        <f>E20*D20</f>
        <v>102000</v>
      </c>
      <c r="G20" s="497">
        <f>F20*0.2</f>
        <v>20400</v>
      </c>
      <c r="H20" s="497">
        <f>F20*0.8</f>
        <v>81600</v>
      </c>
      <c r="I20" s="497"/>
      <c r="J20" s="497"/>
      <c r="K20" s="497"/>
      <c r="L20" s="497"/>
      <c r="M20" s="497"/>
      <c r="N20" s="497"/>
      <c r="O20" s="497"/>
      <c r="P20" s="497"/>
      <c r="Q20" s="614">
        <f>E20*0.25</f>
        <v>51</v>
      </c>
      <c r="R20" s="614">
        <f>E20*0.25</f>
        <v>51</v>
      </c>
      <c r="S20" s="614">
        <f>E20*0.25</f>
        <v>51</v>
      </c>
      <c r="T20" s="614">
        <f>E20*0.25</f>
        <v>51</v>
      </c>
      <c r="U20" s="497">
        <f>Q20*D20</f>
        <v>25500</v>
      </c>
      <c r="V20" s="497">
        <f>R20*D20</f>
        <v>25500</v>
      </c>
      <c r="W20" s="497">
        <f>S20*D20</f>
        <v>25500</v>
      </c>
      <c r="X20" s="497">
        <f>T20*D20</f>
        <v>25500</v>
      </c>
      <c r="Y20" s="497">
        <v>0</v>
      </c>
      <c r="Z20" s="497">
        <f>Y20*D20</f>
        <v>0</v>
      </c>
      <c r="AA20" s="497">
        <v>0</v>
      </c>
      <c r="AB20" s="497">
        <f>AA20*D20</f>
        <v>0</v>
      </c>
      <c r="AC20" s="497">
        <v>0</v>
      </c>
      <c r="AD20" s="497">
        <f>AC20*D20</f>
        <v>0</v>
      </c>
      <c r="AE20" s="497">
        <v>0</v>
      </c>
      <c r="AF20" s="497">
        <f>AE20*D20</f>
        <v>0</v>
      </c>
      <c r="AG20" s="497">
        <v>0</v>
      </c>
      <c r="AH20" s="497">
        <f>AG20*D20</f>
        <v>0</v>
      </c>
      <c r="AI20" s="497">
        <v>0</v>
      </c>
      <c r="AJ20" s="497">
        <f>D20*AI20</f>
        <v>0</v>
      </c>
      <c r="AK20" s="497">
        <v>0</v>
      </c>
      <c r="AL20" s="497">
        <f>D20*AK20</f>
        <v>0</v>
      </c>
      <c r="AM20" s="497">
        <v>0</v>
      </c>
      <c r="AN20" s="497">
        <f>D20*AM20</f>
        <v>0</v>
      </c>
      <c r="AO20" s="497">
        <v>0</v>
      </c>
      <c r="AP20" s="497">
        <f>AO20*D20</f>
        <v>0</v>
      </c>
      <c r="AQ20" s="497">
        <v>0</v>
      </c>
      <c r="AR20" s="497">
        <f>AQ20*D20</f>
        <v>0</v>
      </c>
      <c r="AS20" s="497">
        <v>0</v>
      </c>
      <c r="AT20" s="497">
        <f>AS20*D20</f>
        <v>0</v>
      </c>
      <c r="AU20" s="497">
        <v>0</v>
      </c>
      <c r="AV20" s="497">
        <f>AU20*D20</f>
        <v>0</v>
      </c>
      <c r="AW20" s="497">
        <v>0</v>
      </c>
      <c r="AX20" s="497">
        <f>AW20*D20</f>
        <v>0</v>
      </c>
      <c r="AY20" s="497">
        <v>0</v>
      </c>
      <c r="AZ20" s="497">
        <f>AY20*D20</f>
        <v>0</v>
      </c>
      <c r="BA20" s="497">
        <v>0</v>
      </c>
      <c r="BB20" s="497">
        <f>D20*BA20</f>
        <v>0</v>
      </c>
      <c r="BC20" s="497">
        <v>0</v>
      </c>
      <c r="BD20" s="497">
        <f>BC20*D20</f>
        <v>0</v>
      </c>
      <c r="BE20" s="497">
        <v>0</v>
      </c>
      <c r="BF20" s="497">
        <f>BE20*D20</f>
        <v>0</v>
      </c>
      <c r="BG20" s="497">
        <f>17*3*4</f>
        <v>204</v>
      </c>
      <c r="BH20" s="497">
        <f>BG20*D20</f>
        <v>102000</v>
      </c>
      <c r="BI20" s="499">
        <f t="shared" ref="BI20:BJ24" si="7">BG20+BE20+BC20+BA20+AY20+AW20+AU20+AS20+AQ20+AO20+AM20+AK20+AI20+AG20+AE20+AC20+AA20+Y20</f>
        <v>204</v>
      </c>
      <c r="BJ20" s="499">
        <f t="shared" si="7"/>
        <v>102000</v>
      </c>
      <c r="BK20" s="494" t="s">
        <v>216</v>
      </c>
      <c r="BM20" s="501"/>
      <c r="BN20" s="501">
        <f>BJ20</f>
        <v>102000</v>
      </c>
      <c r="BO20" s="501"/>
      <c r="BP20" s="501"/>
      <c r="BQ20" s="501">
        <f>BM20+BN20+BO20+BP20</f>
        <v>102000</v>
      </c>
      <c r="BR20" s="501"/>
      <c r="BS20" s="501"/>
      <c r="BT20" s="501"/>
      <c r="BU20" s="502">
        <f t="shared" si="2"/>
        <v>102000</v>
      </c>
    </row>
    <row r="21" spans="1:73" ht="15.75">
      <c r="A21" s="150" t="s">
        <v>778</v>
      </c>
      <c r="B21" s="166" t="s">
        <v>946</v>
      </c>
      <c r="C21" s="159" t="s">
        <v>486</v>
      </c>
      <c r="D21" s="135">
        <v>150</v>
      </c>
      <c r="E21" s="145">
        <f>BI21</f>
        <v>1270</v>
      </c>
      <c r="F21" s="165">
        <f>E21*D21</f>
        <v>190500</v>
      </c>
      <c r="G21" s="165">
        <f>F21*0.2</f>
        <v>38100</v>
      </c>
      <c r="H21" s="165">
        <f>F21*0.8</f>
        <v>152400</v>
      </c>
      <c r="I21" s="165"/>
      <c r="J21" s="165"/>
      <c r="K21" s="165"/>
      <c r="L21" s="165"/>
      <c r="M21" s="165"/>
      <c r="N21" s="165"/>
      <c r="O21" s="165"/>
      <c r="P21" s="165"/>
      <c r="Q21" s="167">
        <f>E21*0.25</f>
        <v>317.5</v>
      </c>
      <c r="R21" s="167">
        <f>E21*0.25</f>
        <v>317.5</v>
      </c>
      <c r="S21" s="167">
        <f>E21*0.25</f>
        <v>317.5</v>
      </c>
      <c r="T21" s="167">
        <f>E21*0.25</f>
        <v>317.5</v>
      </c>
      <c r="U21" s="165">
        <f>Q21*D21</f>
        <v>47625</v>
      </c>
      <c r="V21" s="165">
        <f>R21*D21</f>
        <v>47625</v>
      </c>
      <c r="W21" s="165">
        <f>S21*D21</f>
        <v>47625</v>
      </c>
      <c r="X21" s="165">
        <f>T21*D21</f>
        <v>47625</v>
      </c>
      <c r="Y21" s="165">
        <f>30*2</f>
        <v>60</v>
      </c>
      <c r="Z21" s="165">
        <f>Y21*D21</f>
        <v>9000</v>
      </c>
      <c r="AA21" s="165">
        <f>23*2</f>
        <v>46</v>
      </c>
      <c r="AB21" s="165">
        <f>AA21*D21</f>
        <v>6900</v>
      </c>
      <c r="AC21" s="165">
        <f>30*2</f>
        <v>60</v>
      </c>
      <c r="AD21" s="165">
        <f>AC21*D21</f>
        <v>9000</v>
      </c>
      <c r="AE21" s="165">
        <f>70*2</f>
        <v>140</v>
      </c>
      <c r="AF21" s="165">
        <f>AE21*D21</f>
        <v>21000</v>
      </c>
      <c r="AG21" s="165">
        <f>30*2</f>
        <v>60</v>
      </c>
      <c r="AH21" s="165">
        <f>AG21*D21</f>
        <v>9000</v>
      </c>
      <c r="AI21" s="165">
        <f>35*2</f>
        <v>70</v>
      </c>
      <c r="AJ21" s="165">
        <f>D21*AI21</f>
        <v>10500</v>
      </c>
      <c r="AK21" s="165">
        <f>30*2</f>
        <v>60</v>
      </c>
      <c r="AL21" s="165">
        <f>D21*AK21</f>
        <v>9000</v>
      </c>
      <c r="AM21" s="165">
        <f>45*2</f>
        <v>90</v>
      </c>
      <c r="AN21" s="165">
        <f>D21*AM21</f>
        <v>13500</v>
      </c>
      <c r="AO21" s="165">
        <v>24</v>
      </c>
      <c r="AP21" s="165">
        <f>AO21*D21</f>
        <v>3600</v>
      </c>
      <c r="AQ21" s="165">
        <f>30*2</f>
        <v>60</v>
      </c>
      <c r="AR21" s="165">
        <f>AQ21*D21</f>
        <v>9000</v>
      </c>
      <c r="AS21" s="165">
        <f>30*2</f>
        <v>60</v>
      </c>
      <c r="AT21" s="165">
        <f>AS21*D21</f>
        <v>9000</v>
      </c>
      <c r="AU21" s="165">
        <v>120</v>
      </c>
      <c r="AV21" s="165">
        <f>AU21*D21</f>
        <v>18000</v>
      </c>
      <c r="AW21" s="497">
        <v>80</v>
      </c>
      <c r="AX21" s="165">
        <f>AW21*D21</f>
        <v>12000</v>
      </c>
      <c r="AY21" s="165">
        <f>35*2</f>
        <v>70</v>
      </c>
      <c r="AZ21" s="165">
        <f>AY21*D21</f>
        <v>10500</v>
      </c>
      <c r="BA21" s="165">
        <f>35*2</f>
        <v>70</v>
      </c>
      <c r="BB21" s="165">
        <f>D21*BA21</f>
        <v>10500</v>
      </c>
      <c r="BC21" s="165">
        <f>70*2</f>
        <v>140</v>
      </c>
      <c r="BD21" s="165">
        <f>BC21*D21</f>
        <v>21000</v>
      </c>
      <c r="BE21" s="165">
        <f>30*2</f>
        <v>60</v>
      </c>
      <c r="BF21" s="165">
        <f>BE21*D21</f>
        <v>9000</v>
      </c>
      <c r="BG21" s="165">
        <v>0</v>
      </c>
      <c r="BH21" s="165">
        <f>BG21*D21</f>
        <v>0</v>
      </c>
      <c r="BI21" s="161">
        <f t="shared" si="7"/>
        <v>1270</v>
      </c>
      <c r="BJ21" s="161">
        <f t="shared" si="7"/>
        <v>190500</v>
      </c>
      <c r="BK21" s="159" t="s">
        <v>216</v>
      </c>
      <c r="BM21" s="163"/>
      <c r="BN21" s="163">
        <f>BJ21</f>
        <v>190500</v>
      </c>
      <c r="BO21" s="163"/>
      <c r="BP21" s="163"/>
      <c r="BQ21" s="163">
        <f>BM21+BN21+BO21+BP21</f>
        <v>190500</v>
      </c>
      <c r="BR21" s="163"/>
      <c r="BS21" s="163"/>
      <c r="BT21" s="163"/>
      <c r="BU21" s="164">
        <f t="shared" si="2"/>
        <v>190500</v>
      </c>
    </row>
    <row r="22" spans="1:73" ht="15.75">
      <c r="A22" s="150" t="s">
        <v>779</v>
      </c>
      <c r="B22" s="166" t="s">
        <v>654</v>
      </c>
      <c r="C22" s="159" t="s">
        <v>486</v>
      </c>
      <c r="D22" s="135">
        <v>100</v>
      </c>
      <c r="E22" s="145">
        <f>BI22</f>
        <v>0</v>
      </c>
      <c r="F22" s="165">
        <f>E22*D22</f>
        <v>0</v>
      </c>
      <c r="G22" s="165">
        <f>F22*0.2</f>
        <v>0</v>
      </c>
      <c r="H22" s="165">
        <f>F22*0.8</f>
        <v>0</v>
      </c>
      <c r="I22" s="165"/>
      <c r="J22" s="165"/>
      <c r="K22" s="165"/>
      <c r="L22" s="165"/>
      <c r="M22" s="165"/>
      <c r="N22" s="165"/>
      <c r="O22" s="165"/>
      <c r="P22" s="165"/>
      <c r="Q22" s="167">
        <f>E22*0.25</f>
        <v>0</v>
      </c>
      <c r="R22" s="167">
        <f>E22*0.25</f>
        <v>0</v>
      </c>
      <c r="S22" s="167">
        <f>E22*0.25</f>
        <v>0</v>
      </c>
      <c r="T22" s="167">
        <f>E22*0.25</f>
        <v>0</v>
      </c>
      <c r="U22" s="165">
        <f>Q22*D22</f>
        <v>0</v>
      </c>
      <c r="V22" s="165">
        <f>R22*D22</f>
        <v>0</v>
      </c>
      <c r="W22" s="165">
        <f>S22*D22</f>
        <v>0</v>
      </c>
      <c r="X22" s="165">
        <f>T22*D22</f>
        <v>0</v>
      </c>
      <c r="Y22" s="165">
        <v>0</v>
      </c>
      <c r="Z22" s="165">
        <f>Y22*D22</f>
        <v>0</v>
      </c>
      <c r="AA22" s="165">
        <v>0</v>
      </c>
      <c r="AB22" s="165">
        <f>AA22*D22</f>
        <v>0</v>
      </c>
      <c r="AC22" s="165">
        <v>0</v>
      </c>
      <c r="AD22" s="165">
        <f>AC22*D22</f>
        <v>0</v>
      </c>
      <c r="AE22" s="165">
        <v>0</v>
      </c>
      <c r="AF22" s="165">
        <f>AE22*D22</f>
        <v>0</v>
      </c>
      <c r="AG22" s="165">
        <v>0</v>
      </c>
      <c r="AH22" s="165">
        <f>AG22*D22</f>
        <v>0</v>
      </c>
      <c r="AI22" s="165">
        <v>0</v>
      </c>
      <c r="AJ22" s="165">
        <f>D22*AI22</f>
        <v>0</v>
      </c>
      <c r="AK22" s="165">
        <v>0</v>
      </c>
      <c r="AL22" s="165">
        <f>D22*AK22</f>
        <v>0</v>
      </c>
      <c r="AM22" s="165">
        <v>0</v>
      </c>
      <c r="AN22" s="165">
        <f>D22*AM22</f>
        <v>0</v>
      </c>
      <c r="AO22" s="165">
        <v>0</v>
      </c>
      <c r="AP22" s="165">
        <f>AO22*D22</f>
        <v>0</v>
      </c>
      <c r="AQ22" s="165">
        <v>0</v>
      </c>
      <c r="AR22" s="165">
        <f>AQ22*D22</f>
        <v>0</v>
      </c>
      <c r="AS22" s="165">
        <v>0</v>
      </c>
      <c r="AT22" s="165">
        <f>AS22*D22</f>
        <v>0</v>
      </c>
      <c r="AU22" s="165">
        <v>0</v>
      </c>
      <c r="AV22" s="165">
        <f>AU22*D22</f>
        <v>0</v>
      </c>
      <c r="AW22" s="165">
        <v>0</v>
      </c>
      <c r="AX22" s="165">
        <f>AW22*D22</f>
        <v>0</v>
      </c>
      <c r="AY22" s="165">
        <v>0</v>
      </c>
      <c r="AZ22" s="165">
        <f>AY22*D22</f>
        <v>0</v>
      </c>
      <c r="BA22" s="165">
        <v>0</v>
      </c>
      <c r="BB22" s="165">
        <f>D22*BA22</f>
        <v>0</v>
      </c>
      <c r="BC22" s="165">
        <v>0</v>
      </c>
      <c r="BD22" s="165">
        <f>BC22*D22</f>
        <v>0</v>
      </c>
      <c r="BE22" s="165">
        <v>0</v>
      </c>
      <c r="BF22" s="165">
        <f>BE22*D22</f>
        <v>0</v>
      </c>
      <c r="BG22" s="165">
        <v>0</v>
      </c>
      <c r="BH22" s="165">
        <f>BG22*D22</f>
        <v>0</v>
      </c>
      <c r="BI22" s="161">
        <f t="shared" si="7"/>
        <v>0</v>
      </c>
      <c r="BJ22" s="161">
        <f t="shared" si="7"/>
        <v>0</v>
      </c>
      <c r="BK22" s="159" t="s">
        <v>216</v>
      </c>
      <c r="BM22" s="163"/>
      <c r="BN22" s="163">
        <f>BJ22</f>
        <v>0</v>
      </c>
      <c r="BO22" s="163">
        <v>0</v>
      </c>
      <c r="BP22" s="163">
        <v>0</v>
      </c>
      <c r="BQ22" s="163">
        <f>BM22+BN22+BO22+BP22</f>
        <v>0</v>
      </c>
      <c r="BR22" s="163">
        <v>0</v>
      </c>
      <c r="BS22" s="163">
        <v>0</v>
      </c>
      <c r="BT22" s="163">
        <f>BR22+BS22</f>
        <v>0</v>
      </c>
      <c r="BU22" s="164">
        <f t="shared" si="2"/>
        <v>0</v>
      </c>
    </row>
    <row r="23" spans="1:73" ht="15.75">
      <c r="A23" s="150" t="s">
        <v>780</v>
      </c>
      <c r="B23" s="166" t="s">
        <v>655</v>
      </c>
      <c r="C23" s="159" t="s">
        <v>486</v>
      </c>
      <c r="D23" s="135">
        <v>100</v>
      </c>
      <c r="E23" s="145">
        <f>BI23</f>
        <v>0</v>
      </c>
      <c r="F23" s="165">
        <f>E23*D23</f>
        <v>0</v>
      </c>
      <c r="G23" s="165">
        <f>F23*0.2</f>
        <v>0</v>
      </c>
      <c r="H23" s="165">
        <f>F23*0.8</f>
        <v>0</v>
      </c>
      <c r="I23" s="165"/>
      <c r="J23" s="165"/>
      <c r="K23" s="165"/>
      <c r="L23" s="165"/>
      <c r="M23" s="165"/>
      <c r="N23" s="165"/>
      <c r="O23" s="165"/>
      <c r="P23" s="165"/>
      <c r="Q23" s="167">
        <f>E23*0.25</f>
        <v>0</v>
      </c>
      <c r="R23" s="167">
        <f>E23*0.25</f>
        <v>0</v>
      </c>
      <c r="S23" s="167">
        <f>E23*0.25</f>
        <v>0</v>
      </c>
      <c r="T23" s="167">
        <f>E23*0.25</f>
        <v>0</v>
      </c>
      <c r="U23" s="165">
        <f>Q23*D23</f>
        <v>0</v>
      </c>
      <c r="V23" s="165">
        <f>R23*D23</f>
        <v>0</v>
      </c>
      <c r="W23" s="165">
        <f>S23*D23</f>
        <v>0</v>
      </c>
      <c r="X23" s="165">
        <f>T23*D23</f>
        <v>0</v>
      </c>
      <c r="Y23" s="165">
        <v>0</v>
      </c>
      <c r="Z23" s="165">
        <f>Y23*D23</f>
        <v>0</v>
      </c>
      <c r="AA23" s="165">
        <v>0</v>
      </c>
      <c r="AB23" s="165">
        <f>AA23*D23</f>
        <v>0</v>
      </c>
      <c r="AC23" s="165">
        <v>0</v>
      </c>
      <c r="AD23" s="165">
        <f>AC23*D23</f>
        <v>0</v>
      </c>
      <c r="AE23" s="165">
        <v>0</v>
      </c>
      <c r="AF23" s="165">
        <f>AE23*D23</f>
        <v>0</v>
      </c>
      <c r="AG23" s="165">
        <v>0</v>
      </c>
      <c r="AH23" s="165">
        <f>AG23*D23</f>
        <v>0</v>
      </c>
      <c r="AI23" s="165">
        <v>0</v>
      </c>
      <c r="AJ23" s="165">
        <f>D23*AI23</f>
        <v>0</v>
      </c>
      <c r="AK23" s="165">
        <v>0</v>
      </c>
      <c r="AL23" s="165">
        <f>D23*AK23</f>
        <v>0</v>
      </c>
      <c r="AM23" s="165">
        <v>0</v>
      </c>
      <c r="AN23" s="165">
        <f>D23*AM23</f>
        <v>0</v>
      </c>
      <c r="AO23" s="165">
        <v>0</v>
      </c>
      <c r="AP23" s="165">
        <f>AO23*D23</f>
        <v>0</v>
      </c>
      <c r="AQ23" s="165">
        <v>0</v>
      </c>
      <c r="AR23" s="165">
        <f>AQ23*D23</f>
        <v>0</v>
      </c>
      <c r="AS23" s="165">
        <v>0</v>
      </c>
      <c r="AT23" s="165">
        <f>AS23*D23</f>
        <v>0</v>
      </c>
      <c r="AU23" s="165">
        <v>0</v>
      </c>
      <c r="AV23" s="165">
        <f>AU23*D23</f>
        <v>0</v>
      </c>
      <c r="AW23" s="165">
        <v>0</v>
      </c>
      <c r="AX23" s="165">
        <f>AW23*D23</f>
        <v>0</v>
      </c>
      <c r="AY23" s="165">
        <v>0</v>
      </c>
      <c r="AZ23" s="165">
        <f>AY23*D23</f>
        <v>0</v>
      </c>
      <c r="BA23" s="165">
        <v>0</v>
      </c>
      <c r="BB23" s="165">
        <f>D23*BA23</f>
        <v>0</v>
      </c>
      <c r="BC23" s="165">
        <v>0</v>
      </c>
      <c r="BD23" s="165">
        <f>BC23*D23</f>
        <v>0</v>
      </c>
      <c r="BE23" s="165">
        <v>0</v>
      </c>
      <c r="BF23" s="165">
        <f>BE23*D23</f>
        <v>0</v>
      </c>
      <c r="BG23" s="165">
        <v>0</v>
      </c>
      <c r="BH23" s="165">
        <f>BG23*D23</f>
        <v>0</v>
      </c>
      <c r="BI23" s="161">
        <f t="shared" si="7"/>
        <v>0</v>
      </c>
      <c r="BJ23" s="161">
        <f t="shared" si="7"/>
        <v>0</v>
      </c>
      <c r="BK23" s="159" t="s">
        <v>216</v>
      </c>
      <c r="BM23" s="163"/>
      <c r="BN23" s="163">
        <f>BJ23</f>
        <v>0</v>
      </c>
      <c r="BO23" s="163">
        <v>0</v>
      </c>
      <c r="BP23" s="163">
        <v>0</v>
      </c>
      <c r="BQ23" s="163">
        <f>BM23+BN23+BO23+BP23</f>
        <v>0</v>
      </c>
      <c r="BR23" s="163">
        <v>0</v>
      </c>
      <c r="BS23" s="163">
        <v>0</v>
      </c>
      <c r="BT23" s="163">
        <f>BR23+BS23</f>
        <v>0</v>
      </c>
      <c r="BU23" s="164">
        <f t="shared" si="2"/>
        <v>0</v>
      </c>
    </row>
    <row r="24" spans="1:73" ht="15.75">
      <c r="A24" s="150" t="s">
        <v>781</v>
      </c>
      <c r="B24" s="166" t="s">
        <v>656</v>
      </c>
      <c r="C24" s="159" t="s">
        <v>486</v>
      </c>
      <c r="D24" s="135">
        <v>100</v>
      </c>
      <c r="E24" s="145">
        <f>BI24</f>
        <v>748</v>
      </c>
      <c r="F24" s="165">
        <f>E24*D24</f>
        <v>74800</v>
      </c>
      <c r="G24" s="165">
        <f>F24*0.2</f>
        <v>14960</v>
      </c>
      <c r="H24" s="165">
        <f>F24*0.8</f>
        <v>59840</v>
      </c>
      <c r="I24" s="165"/>
      <c r="J24" s="165"/>
      <c r="K24" s="165"/>
      <c r="L24" s="165"/>
      <c r="M24" s="165"/>
      <c r="N24" s="165"/>
      <c r="O24" s="165"/>
      <c r="P24" s="165"/>
      <c r="Q24" s="167">
        <f>E24*0.25</f>
        <v>187</v>
      </c>
      <c r="R24" s="167">
        <f>E24*0.25</f>
        <v>187</v>
      </c>
      <c r="S24" s="167">
        <f>E24*0.25</f>
        <v>187</v>
      </c>
      <c r="T24" s="167">
        <f>E24*0.25</f>
        <v>187</v>
      </c>
      <c r="U24" s="165">
        <f>Q24*D24</f>
        <v>18700</v>
      </c>
      <c r="V24" s="165">
        <f>R24*D24</f>
        <v>18700</v>
      </c>
      <c r="W24" s="165">
        <f>S24*D24</f>
        <v>18700</v>
      </c>
      <c r="X24" s="165">
        <f>T24*D24</f>
        <v>18700</v>
      </c>
      <c r="Y24" s="165">
        <v>40</v>
      </c>
      <c r="Z24" s="165">
        <f>Y24*D24</f>
        <v>4000</v>
      </c>
      <c r="AA24" s="165">
        <v>30</v>
      </c>
      <c r="AB24" s="165">
        <f>AA24*D24</f>
        <v>3000</v>
      </c>
      <c r="AC24" s="165">
        <f>40</f>
        <v>40</v>
      </c>
      <c r="AD24" s="165">
        <f>AC24*D24</f>
        <v>4000</v>
      </c>
      <c r="AE24" s="165">
        <v>80</v>
      </c>
      <c r="AF24" s="165">
        <f>AE24*D24</f>
        <v>8000</v>
      </c>
      <c r="AG24" s="165">
        <v>30</v>
      </c>
      <c r="AH24" s="165">
        <f>AG24*D24</f>
        <v>3000</v>
      </c>
      <c r="AI24" s="165">
        <v>35</v>
      </c>
      <c r="AJ24" s="165">
        <f>D24*AI24</f>
        <v>3500</v>
      </c>
      <c r="AK24" s="165">
        <v>35</v>
      </c>
      <c r="AL24" s="165">
        <f>D24*AK24</f>
        <v>3500</v>
      </c>
      <c r="AM24" s="165">
        <v>50</v>
      </c>
      <c r="AN24" s="165">
        <f>D24*AM24</f>
        <v>5000</v>
      </c>
      <c r="AO24" s="165">
        <v>24</v>
      </c>
      <c r="AP24" s="165">
        <f>AO24*D24</f>
        <v>2400</v>
      </c>
      <c r="AQ24" s="165">
        <f>3*3*2</f>
        <v>18</v>
      </c>
      <c r="AR24" s="165">
        <f>AQ24*D24</f>
        <v>1800</v>
      </c>
      <c r="AS24" s="165">
        <f>6*3*2</f>
        <v>36</v>
      </c>
      <c r="AT24" s="165">
        <f>AS24*D24</f>
        <v>3600</v>
      </c>
      <c r="AU24" s="165">
        <v>40</v>
      </c>
      <c r="AV24" s="165">
        <f>AU24*D24</f>
        <v>4000</v>
      </c>
      <c r="AW24" s="165">
        <v>40</v>
      </c>
      <c r="AX24" s="165">
        <f>AW24*D24</f>
        <v>4000</v>
      </c>
      <c r="AY24" s="165">
        <f>50*2</f>
        <v>100</v>
      </c>
      <c r="AZ24" s="165">
        <f>AY24*D24</f>
        <v>10000</v>
      </c>
      <c r="BA24" s="165">
        <v>40</v>
      </c>
      <c r="BB24" s="165">
        <f>D24*BA24</f>
        <v>4000</v>
      </c>
      <c r="BC24" s="165">
        <v>70</v>
      </c>
      <c r="BD24" s="165">
        <f>BC24*D24</f>
        <v>7000</v>
      </c>
      <c r="BE24" s="165">
        <v>40</v>
      </c>
      <c r="BF24" s="165">
        <f>BE24*D24</f>
        <v>4000</v>
      </c>
      <c r="BG24" s="165">
        <v>0</v>
      </c>
      <c r="BH24" s="165">
        <f>BG24*D24</f>
        <v>0</v>
      </c>
      <c r="BI24" s="161">
        <f t="shared" si="7"/>
        <v>748</v>
      </c>
      <c r="BJ24" s="161">
        <f t="shared" si="7"/>
        <v>74800</v>
      </c>
      <c r="BK24" s="159" t="s">
        <v>216</v>
      </c>
      <c r="BM24" s="163"/>
      <c r="BN24" s="163">
        <f>BJ24</f>
        <v>74800</v>
      </c>
      <c r="BO24" s="163">
        <v>0</v>
      </c>
      <c r="BP24" s="163">
        <v>0</v>
      </c>
      <c r="BQ24" s="163">
        <f>BM24+BN24+BO24+BP24</f>
        <v>74800</v>
      </c>
      <c r="BR24" s="163">
        <v>0</v>
      </c>
      <c r="BS24" s="163">
        <v>0</v>
      </c>
      <c r="BT24" s="163">
        <f>BR24+BS24</f>
        <v>0</v>
      </c>
      <c r="BU24" s="164">
        <f t="shared" si="2"/>
        <v>74800</v>
      </c>
    </row>
    <row r="25" spans="1:73" s="23" customFormat="1" ht="15.75">
      <c r="A25" s="170"/>
      <c r="B25" s="158" t="s">
        <v>460</v>
      </c>
      <c r="C25" s="159" t="s">
        <v>115</v>
      </c>
      <c r="D25" s="135" t="s">
        <v>115</v>
      </c>
      <c r="E25" s="155">
        <f>SUM(E20:E24)</f>
        <v>2222</v>
      </c>
      <c r="F25" s="155">
        <f t="shared" ref="F25:BQ25" si="8">SUM(F20:F24)</f>
        <v>367300</v>
      </c>
      <c r="G25" s="155">
        <f t="shared" si="8"/>
        <v>73460</v>
      </c>
      <c r="H25" s="155">
        <f t="shared" si="8"/>
        <v>293840</v>
      </c>
      <c r="I25" s="155">
        <f t="shared" si="8"/>
        <v>0</v>
      </c>
      <c r="J25" s="155">
        <f t="shared" si="8"/>
        <v>0</v>
      </c>
      <c r="K25" s="155">
        <f t="shared" si="8"/>
        <v>0</v>
      </c>
      <c r="L25" s="155">
        <f t="shared" si="8"/>
        <v>0</v>
      </c>
      <c r="M25" s="155">
        <f t="shared" si="8"/>
        <v>0</v>
      </c>
      <c r="N25" s="155">
        <f t="shared" si="8"/>
        <v>0</v>
      </c>
      <c r="O25" s="155">
        <f t="shared" si="8"/>
        <v>0</v>
      </c>
      <c r="P25" s="155">
        <f t="shared" si="8"/>
        <v>0</v>
      </c>
      <c r="Q25" s="155">
        <f t="shared" si="8"/>
        <v>555.5</v>
      </c>
      <c r="R25" s="155">
        <f t="shared" si="8"/>
        <v>555.5</v>
      </c>
      <c r="S25" s="155">
        <f t="shared" si="8"/>
        <v>555.5</v>
      </c>
      <c r="T25" s="155">
        <f t="shared" si="8"/>
        <v>555.5</v>
      </c>
      <c r="U25" s="155">
        <f t="shared" si="8"/>
        <v>91825</v>
      </c>
      <c r="V25" s="155">
        <f t="shared" si="8"/>
        <v>91825</v>
      </c>
      <c r="W25" s="155">
        <f t="shared" si="8"/>
        <v>91825</v>
      </c>
      <c r="X25" s="155">
        <f t="shared" si="8"/>
        <v>91825</v>
      </c>
      <c r="Y25" s="155">
        <f t="shared" si="8"/>
        <v>100</v>
      </c>
      <c r="Z25" s="155">
        <f t="shared" si="8"/>
        <v>13000</v>
      </c>
      <c r="AA25" s="155">
        <f t="shared" si="8"/>
        <v>76</v>
      </c>
      <c r="AB25" s="155">
        <f t="shared" si="8"/>
        <v>9900</v>
      </c>
      <c r="AC25" s="155">
        <f t="shared" si="8"/>
        <v>100</v>
      </c>
      <c r="AD25" s="155">
        <f t="shared" si="8"/>
        <v>13000</v>
      </c>
      <c r="AE25" s="155">
        <f t="shared" si="8"/>
        <v>220</v>
      </c>
      <c r="AF25" s="155">
        <f t="shared" si="8"/>
        <v>29000</v>
      </c>
      <c r="AG25" s="155">
        <f t="shared" si="8"/>
        <v>90</v>
      </c>
      <c r="AH25" s="155">
        <f t="shared" si="8"/>
        <v>12000</v>
      </c>
      <c r="AI25" s="155">
        <f t="shared" si="8"/>
        <v>105</v>
      </c>
      <c r="AJ25" s="155">
        <f t="shared" si="8"/>
        <v>14000</v>
      </c>
      <c r="AK25" s="155">
        <f t="shared" si="8"/>
        <v>95</v>
      </c>
      <c r="AL25" s="155">
        <f t="shared" si="8"/>
        <v>12500</v>
      </c>
      <c r="AM25" s="155">
        <f t="shared" si="8"/>
        <v>140</v>
      </c>
      <c r="AN25" s="155">
        <f t="shared" si="8"/>
        <v>18500</v>
      </c>
      <c r="AO25" s="155">
        <f t="shared" si="8"/>
        <v>48</v>
      </c>
      <c r="AP25" s="155">
        <f t="shared" si="8"/>
        <v>6000</v>
      </c>
      <c r="AQ25" s="155">
        <f t="shared" si="8"/>
        <v>78</v>
      </c>
      <c r="AR25" s="155">
        <f t="shared" si="8"/>
        <v>10800</v>
      </c>
      <c r="AS25" s="155">
        <f t="shared" si="8"/>
        <v>96</v>
      </c>
      <c r="AT25" s="155">
        <f t="shared" si="8"/>
        <v>12600</v>
      </c>
      <c r="AU25" s="155">
        <f t="shared" si="8"/>
        <v>160</v>
      </c>
      <c r="AV25" s="155">
        <f t="shared" si="8"/>
        <v>22000</v>
      </c>
      <c r="AW25" s="155">
        <f t="shared" si="8"/>
        <v>120</v>
      </c>
      <c r="AX25" s="155">
        <f t="shared" si="8"/>
        <v>16000</v>
      </c>
      <c r="AY25" s="155">
        <f t="shared" si="8"/>
        <v>170</v>
      </c>
      <c r="AZ25" s="155">
        <f t="shared" si="8"/>
        <v>20500</v>
      </c>
      <c r="BA25" s="155">
        <f t="shared" si="8"/>
        <v>110</v>
      </c>
      <c r="BB25" s="155">
        <f t="shared" si="8"/>
        <v>14500</v>
      </c>
      <c r="BC25" s="155">
        <f t="shared" si="8"/>
        <v>210</v>
      </c>
      <c r="BD25" s="155">
        <f t="shared" si="8"/>
        <v>28000</v>
      </c>
      <c r="BE25" s="155">
        <f t="shared" si="8"/>
        <v>100</v>
      </c>
      <c r="BF25" s="155">
        <f t="shared" si="8"/>
        <v>13000</v>
      </c>
      <c r="BG25" s="155">
        <f t="shared" si="8"/>
        <v>204</v>
      </c>
      <c r="BH25" s="155">
        <f t="shared" si="8"/>
        <v>102000</v>
      </c>
      <c r="BI25" s="155">
        <f t="shared" si="8"/>
        <v>2222</v>
      </c>
      <c r="BJ25" s="155">
        <f t="shared" si="8"/>
        <v>367300</v>
      </c>
      <c r="BK25" s="155">
        <f t="shared" si="8"/>
        <v>0</v>
      </c>
      <c r="BL25" s="155">
        <f t="shared" si="8"/>
        <v>0</v>
      </c>
      <c r="BM25" s="155">
        <f t="shared" si="8"/>
        <v>0</v>
      </c>
      <c r="BN25" s="155">
        <f t="shared" si="8"/>
        <v>367300</v>
      </c>
      <c r="BO25" s="155">
        <f t="shared" si="8"/>
        <v>0</v>
      </c>
      <c r="BP25" s="155">
        <f t="shared" si="8"/>
        <v>0</v>
      </c>
      <c r="BQ25" s="155">
        <f t="shared" si="8"/>
        <v>367300</v>
      </c>
      <c r="BR25" s="155">
        <f>SUM(BR20:BR24)</f>
        <v>0</v>
      </c>
      <c r="BS25" s="155">
        <f>SUM(BS20:BS24)</f>
        <v>0</v>
      </c>
      <c r="BT25" s="155">
        <f>SUM(BT20:BT24)</f>
        <v>0</v>
      </c>
      <c r="BU25" s="155">
        <f>SUM(BU20:BU24)</f>
        <v>367300</v>
      </c>
    </row>
    <row r="26" spans="1:73" s="23" customFormat="1" ht="15.75">
      <c r="A26" s="170"/>
      <c r="B26" s="158" t="s">
        <v>947</v>
      </c>
      <c r="C26" s="159"/>
      <c r="D26" s="159"/>
      <c r="E26" s="155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69"/>
      <c r="R26" s="169"/>
      <c r="S26" s="169"/>
      <c r="T26" s="169"/>
      <c r="U26" s="148"/>
      <c r="V26" s="148"/>
      <c r="W26" s="148"/>
      <c r="X26" s="148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1"/>
      <c r="BJ26" s="162"/>
      <c r="BK26" s="159"/>
      <c r="BM26" s="148"/>
      <c r="BN26" s="148"/>
      <c r="BO26" s="148"/>
      <c r="BP26" s="148"/>
      <c r="BQ26" s="148"/>
      <c r="BR26" s="148"/>
      <c r="BS26" s="148"/>
      <c r="BT26" s="148"/>
      <c r="BU26" s="171"/>
    </row>
    <row r="27" spans="1:73" ht="15.75">
      <c r="A27" s="150" t="s">
        <v>782</v>
      </c>
      <c r="B27" s="166" t="s">
        <v>461</v>
      </c>
      <c r="C27" s="159" t="s">
        <v>486</v>
      </c>
      <c r="D27" s="135">
        <v>500</v>
      </c>
      <c r="E27" s="145">
        <f>BI27</f>
        <v>102</v>
      </c>
      <c r="F27" s="165">
        <f>E27*D27</f>
        <v>51000</v>
      </c>
      <c r="G27" s="165">
        <f>F27*0.2</f>
        <v>10200</v>
      </c>
      <c r="H27" s="165">
        <f>F27*0.8</f>
        <v>40800</v>
      </c>
      <c r="I27" s="165"/>
      <c r="J27" s="165"/>
      <c r="K27" s="165"/>
      <c r="L27" s="165"/>
      <c r="M27" s="165"/>
      <c r="N27" s="165"/>
      <c r="O27" s="165"/>
      <c r="P27" s="165"/>
      <c r="Q27" s="167">
        <f>E27*0.25</f>
        <v>25.5</v>
      </c>
      <c r="R27" s="167">
        <f>E27*0.25</f>
        <v>25.5</v>
      </c>
      <c r="S27" s="167">
        <f>E27*0.25</f>
        <v>25.5</v>
      </c>
      <c r="T27" s="167">
        <f>E27*0.25</f>
        <v>25.5</v>
      </c>
      <c r="U27" s="165">
        <f>Q27*D27</f>
        <v>12750</v>
      </c>
      <c r="V27" s="165">
        <f>R27*D27</f>
        <v>12750</v>
      </c>
      <c r="W27" s="165">
        <f>S27*D27</f>
        <v>12750</v>
      </c>
      <c r="X27" s="165">
        <f>T27*D27</f>
        <v>12750</v>
      </c>
      <c r="Y27" s="165">
        <v>0</v>
      </c>
      <c r="Z27" s="165">
        <f>Y27*D27</f>
        <v>0</v>
      </c>
      <c r="AA27" s="165">
        <v>0</v>
      </c>
      <c r="AB27" s="165">
        <f>AA27*D27</f>
        <v>0</v>
      </c>
      <c r="AC27" s="165">
        <v>0</v>
      </c>
      <c r="AD27" s="165">
        <f>AC27*D27</f>
        <v>0</v>
      </c>
      <c r="AE27" s="165">
        <v>0</v>
      </c>
      <c r="AF27" s="165">
        <f>AE27*D27</f>
        <v>0</v>
      </c>
      <c r="AG27" s="165">
        <v>0</v>
      </c>
      <c r="AH27" s="165">
        <f>AG27*D27</f>
        <v>0</v>
      </c>
      <c r="AI27" s="165">
        <v>0</v>
      </c>
      <c r="AJ27" s="165">
        <f>D27*AI27</f>
        <v>0</v>
      </c>
      <c r="AK27" s="165">
        <v>0</v>
      </c>
      <c r="AL27" s="165">
        <f>D27*AK27</f>
        <v>0</v>
      </c>
      <c r="AM27" s="165">
        <v>0</v>
      </c>
      <c r="AN27" s="165">
        <f>D27*AM27</f>
        <v>0</v>
      </c>
      <c r="AO27" s="165">
        <v>0</v>
      </c>
      <c r="AP27" s="165">
        <f>AO27*D27</f>
        <v>0</v>
      </c>
      <c r="AQ27" s="165">
        <v>0</v>
      </c>
      <c r="AR27" s="165">
        <f>AQ27*D27</f>
        <v>0</v>
      </c>
      <c r="AS27" s="165">
        <v>0</v>
      </c>
      <c r="AT27" s="165">
        <f>AS27*D27</f>
        <v>0</v>
      </c>
      <c r="AU27" s="165">
        <v>0</v>
      </c>
      <c r="AV27" s="165">
        <f>AU27*D27</f>
        <v>0</v>
      </c>
      <c r="AW27" s="165">
        <v>0</v>
      </c>
      <c r="AX27" s="165">
        <f>AW27*D27</f>
        <v>0</v>
      </c>
      <c r="AY27" s="165">
        <v>0</v>
      </c>
      <c r="AZ27" s="165">
        <f>AY27*D27</f>
        <v>0</v>
      </c>
      <c r="BA27" s="165">
        <v>0</v>
      </c>
      <c r="BB27" s="165">
        <f>D27*BA27</f>
        <v>0</v>
      </c>
      <c r="BC27" s="165">
        <v>0</v>
      </c>
      <c r="BD27" s="165">
        <f>BC27*D27</f>
        <v>0</v>
      </c>
      <c r="BE27" s="165">
        <v>0</v>
      </c>
      <c r="BF27" s="165">
        <f>BE27*D27</f>
        <v>0</v>
      </c>
      <c r="BG27" s="165">
        <f>17*3*2</f>
        <v>102</v>
      </c>
      <c r="BH27" s="165">
        <f>BG27*D27</f>
        <v>51000</v>
      </c>
      <c r="BI27" s="161">
        <f t="shared" ref="BI27:BJ31" si="9">BG27+BE27+BC27+BA27+AY27+AW27+AU27+AS27+AQ27+AO27+AM27+AK27+AI27+AG27+AE27+AC27+AA27+Y27</f>
        <v>102</v>
      </c>
      <c r="BJ27" s="161">
        <f t="shared" si="9"/>
        <v>51000</v>
      </c>
      <c r="BK27" s="159" t="s">
        <v>216</v>
      </c>
      <c r="BM27" s="163"/>
      <c r="BN27" s="163">
        <f>BJ27</f>
        <v>51000</v>
      </c>
      <c r="BO27" s="163"/>
      <c r="BP27" s="163"/>
      <c r="BQ27" s="163">
        <f>BM27+BN27+BO27+BP27</f>
        <v>51000</v>
      </c>
      <c r="BR27" s="163"/>
      <c r="BS27" s="163"/>
      <c r="BT27" s="163"/>
      <c r="BU27" s="164">
        <f t="shared" si="2"/>
        <v>51000</v>
      </c>
    </row>
    <row r="28" spans="1:73" ht="31.5">
      <c r="A28" s="150" t="s">
        <v>783</v>
      </c>
      <c r="B28" s="134" t="s">
        <v>692</v>
      </c>
      <c r="C28" s="159" t="s">
        <v>486</v>
      </c>
      <c r="D28" s="135">
        <v>150</v>
      </c>
      <c r="E28" s="145">
        <f>BI28</f>
        <v>1140</v>
      </c>
      <c r="F28" s="165">
        <f>E28*D28</f>
        <v>171000</v>
      </c>
      <c r="G28" s="165">
        <f>F28*0.2</f>
        <v>34200</v>
      </c>
      <c r="H28" s="165">
        <f>F28*0.8</f>
        <v>136800</v>
      </c>
      <c r="I28" s="165"/>
      <c r="J28" s="165"/>
      <c r="K28" s="165"/>
      <c r="L28" s="165"/>
      <c r="M28" s="165"/>
      <c r="N28" s="165"/>
      <c r="O28" s="165"/>
      <c r="P28" s="165"/>
      <c r="Q28" s="167">
        <f>E28*0.25</f>
        <v>285</v>
      </c>
      <c r="R28" s="167">
        <f>E28*0.25</f>
        <v>285</v>
      </c>
      <c r="S28" s="167">
        <f>E28*0.25</f>
        <v>285</v>
      </c>
      <c r="T28" s="167">
        <f>E28*0.25</f>
        <v>285</v>
      </c>
      <c r="U28" s="165">
        <f>Q28*D28</f>
        <v>42750</v>
      </c>
      <c r="V28" s="165">
        <f>R28*D28</f>
        <v>42750</v>
      </c>
      <c r="W28" s="165">
        <f>S28*D28</f>
        <v>42750</v>
      </c>
      <c r="X28" s="165">
        <f>T28*D28</f>
        <v>42750</v>
      </c>
      <c r="Y28" s="165">
        <f>30*2</f>
        <v>60</v>
      </c>
      <c r="Z28" s="165">
        <f>Y28*D28</f>
        <v>9000</v>
      </c>
      <c r="AA28" s="165">
        <f>23*2</f>
        <v>46</v>
      </c>
      <c r="AB28" s="165">
        <f>AA28*D28</f>
        <v>6900</v>
      </c>
      <c r="AC28" s="165">
        <f>30*2</f>
        <v>60</v>
      </c>
      <c r="AD28" s="165">
        <f>AC28*D28</f>
        <v>9000</v>
      </c>
      <c r="AE28" s="165">
        <f>70*2</f>
        <v>140</v>
      </c>
      <c r="AF28" s="165">
        <f>AE28*D28</f>
        <v>21000</v>
      </c>
      <c r="AG28" s="165">
        <f>30*2</f>
        <v>60</v>
      </c>
      <c r="AH28" s="165">
        <f>AG28*D28</f>
        <v>9000</v>
      </c>
      <c r="AI28" s="165">
        <f>35*2</f>
        <v>70</v>
      </c>
      <c r="AJ28" s="165">
        <f>D28*AI28</f>
        <v>10500</v>
      </c>
      <c r="AK28" s="165">
        <f>30*2</f>
        <v>60</v>
      </c>
      <c r="AL28" s="165">
        <f>D28*AK28</f>
        <v>9000</v>
      </c>
      <c r="AM28" s="165">
        <v>90</v>
      </c>
      <c r="AN28" s="165">
        <f>D28*AM28</f>
        <v>13500</v>
      </c>
      <c r="AO28" s="165">
        <v>24</v>
      </c>
      <c r="AP28" s="165">
        <f>AO28*D28</f>
        <v>3600</v>
      </c>
      <c r="AQ28" s="165">
        <f>30*2</f>
        <v>60</v>
      </c>
      <c r="AR28" s="165">
        <f>AQ28*D28</f>
        <v>9000</v>
      </c>
      <c r="AS28" s="165">
        <f>35*2</f>
        <v>70</v>
      </c>
      <c r="AT28" s="165">
        <f>AS28*D28</f>
        <v>10500</v>
      </c>
      <c r="AU28" s="165">
        <v>60</v>
      </c>
      <c r="AV28" s="165">
        <f>AU28*D28</f>
        <v>9000</v>
      </c>
      <c r="AW28" s="165">
        <v>0</v>
      </c>
      <c r="AX28" s="165">
        <f>AW28*D28</f>
        <v>0</v>
      </c>
      <c r="AY28" s="165">
        <f>35*2</f>
        <v>70</v>
      </c>
      <c r="AZ28" s="165">
        <f>AY28*D28</f>
        <v>10500</v>
      </c>
      <c r="BA28" s="497">
        <v>70</v>
      </c>
      <c r="BB28" s="165">
        <f>D28*BA28</f>
        <v>10500</v>
      </c>
      <c r="BC28" s="165">
        <v>140</v>
      </c>
      <c r="BD28" s="165">
        <f>BC28*D28</f>
        <v>21000</v>
      </c>
      <c r="BE28" s="165">
        <f>30*2</f>
        <v>60</v>
      </c>
      <c r="BF28" s="165">
        <f>BE28*D28</f>
        <v>9000</v>
      </c>
      <c r="BG28" s="165">
        <v>0</v>
      </c>
      <c r="BH28" s="165">
        <f>BG28*D28</f>
        <v>0</v>
      </c>
      <c r="BI28" s="161">
        <f t="shared" si="9"/>
        <v>1140</v>
      </c>
      <c r="BJ28" s="161">
        <f t="shared" si="9"/>
        <v>171000</v>
      </c>
      <c r="BK28" s="159" t="s">
        <v>216</v>
      </c>
      <c r="BM28" s="163">
        <v>0</v>
      </c>
      <c r="BN28" s="163">
        <f>BJ28</f>
        <v>171000</v>
      </c>
      <c r="BO28" s="163">
        <v>0</v>
      </c>
      <c r="BP28" s="163">
        <v>0</v>
      </c>
      <c r="BQ28" s="163">
        <f>BM28+BN28+BO28+BP28</f>
        <v>171000</v>
      </c>
      <c r="BR28" s="163">
        <v>0</v>
      </c>
      <c r="BS28" s="163">
        <v>0</v>
      </c>
      <c r="BT28" s="163">
        <f>BR28+BS28</f>
        <v>0</v>
      </c>
      <c r="BU28" s="164">
        <f t="shared" si="2"/>
        <v>171000</v>
      </c>
    </row>
    <row r="29" spans="1:73" ht="15.75">
      <c r="A29" s="150" t="s">
        <v>784</v>
      </c>
      <c r="B29" s="166" t="s">
        <v>462</v>
      </c>
      <c r="C29" s="159" t="s">
        <v>486</v>
      </c>
      <c r="D29" s="135">
        <v>100</v>
      </c>
      <c r="E29" s="145">
        <f>BI29</f>
        <v>0</v>
      </c>
      <c r="F29" s="165">
        <f>E29*D29</f>
        <v>0</v>
      </c>
      <c r="G29" s="165">
        <f>F29*0.2</f>
        <v>0</v>
      </c>
      <c r="H29" s="165">
        <f>F29*0.8</f>
        <v>0</v>
      </c>
      <c r="I29" s="165"/>
      <c r="J29" s="165"/>
      <c r="K29" s="165"/>
      <c r="L29" s="165"/>
      <c r="M29" s="165"/>
      <c r="N29" s="165"/>
      <c r="O29" s="165"/>
      <c r="P29" s="165"/>
      <c r="Q29" s="167">
        <f>E29*0.25</f>
        <v>0</v>
      </c>
      <c r="R29" s="167">
        <f>E29*0.25</f>
        <v>0</v>
      </c>
      <c r="S29" s="145">
        <f>E29*0.25</f>
        <v>0</v>
      </c>
      <c r="T29" s="145">
        <f>E29*0.25</f>
        <v>0</v>
      </c>
      <c r="U29" s="165">
        <f>Q29*D29</f>
        <v>0</v>
      </c>
      <c r="V29" s="165">
        <f>R29*D29</f>
        <v>0</v>
      </c>
      <c r="W29" s="165">
        <f>S29*D29</f>
        <v>0</v>
      </c>
      <c r="X29" s="165">
        <f>T29*D29</f>
        <v>0</v>
      </c>
      <c r="Y29" s="165">
        <v>0</v>
      </c>
      <c r="Z29" s="165">
        <f>Y29*D29</f>
        <v>0</v>
      </c>
      <c r="AA29" s="165">
        <v>0</v>
      </c>
      <c r="AB29" s="165">
        <f>AA29*D29</f>
        <v>0</v>
      </c>
      <c r="AC29" s="165">
        <v>0</v>
      </c>
      <c r="AD29" s="165">
        <f>AC29*D29</f>
        <v>0</v>
      </c>
      <c r="AE29" s="165">
        <v>0</v>
      </c>
      <c r="AF29" s="165">
        <f>AE29*D29</f>
        <v>0</v>
      </c>
      <c r="AG29" s="165">
        <v>0</v>
      </c>
      <c r="AH29" s="165">
        <f>AG29*D29</f>
        <v>0</v>
      </c>
      <c r="AI29" s="165">
        <v>0</v>
      </c>
      <c r="AJ29" s="165">
        <f>D29*AI29</f>
        <v>0</v>
      </c>
      <c r="AK29" s="165">
        <v>0</v>
      </c>
      <c r="AL29" s="165">
        <f>D29*AK29</f>
        <v>0</v>
      </c>
      <c r="AM29" s="165">
        <v>0</v>
      </c>
      <c r="AN29" s="165">
        <f>D29*AM29</f>
        <v>0</v>
      </c>
      <c r="AO29" s="165">
        <v>0</v>
      </c>
      <c r="AP29" s="165">
        <f>AO29*D29</f>
        <v>0</v>
      </c>
      <c r="AQ29" s="165">
        <v>0</v>
      </c>
      <c r="AR29" s="165">
        <f>AQ29*D29</f>
        <v>0</v>
      </c>
      <c r="AS29" s="165">
        <v>0</v>
      </c>
      <c r="AT29" s="165">
        <f>AS29*D29</f>
        <v>0</v>
      </c>
      <c r="AU29" s="165">
        <v>0</v>
      </c>
      <c r="AV29" s="165">
        <f>AU29*D29</f>
        <v>0</v>
      </c>
      <c r="AW29" s="165">
        <v>0</v>
      </c>
      <c r="AX29" s="165">
        <f>AW29*D29</f>
        <v>0</v>
      </c>
      <c r="AY29" s="165">
        <v>0</v>
      </c>
      <c r="AZ29" s="165">
        <f>AY29*D29</f>
        <v>0</v>
      </c>
      <c r="BA29" s="165">
        <v>0</v>
      </c>
      <c r="BB29" s="165">
        <f>D29*BA29</f>
        <v>0</v>
      </c>
      <c r="BC29" s="165">
        <v>0</v>
      </c>
      <c r="BD29" s="165">
        <f>BC29*D29</f>
        <v>0</v>
      </c>
      <c r="BE29" s="165">
        <v>0</v>
      </c>
      <c r="BF29" s="165">
        <f>BE29*D29</f>
        <v>0</v>
      </c>
      <c r="BG29" s="165">
        <v>0</v>
      </c>
      <c r="BH29" s="165">
        <f>BG29*D29</f>
        <v>0</v>
      </c>
      <c r="BI29" s="161">
        <f t="shared" si="9"/>
        <v>0</v>
      </c>
      <c r="BJ29" s="161">
        <f t="shared" si="9"/>
        <v>0</v>
      </c>
      <c r="BK29" s="159" t="s">
        <v>216</v>
      </c>
      <c r="BM29" s="163">
        <v>0</v>
      </c>
      <c r="BN29" s="163">
        <f>BJ29</f>
        <v>0</v>
      </c>
      <c r="BO29" s="163">
        <v>0</v>
      </c>
      <c r="BP29" s="163">
        <v>0</v>
      </c>
      <c r="BQ29" s="163">
        <f>BM29+BN29+BO29+BP29</f>
        <v>0</v>
      </c>
      <c r="BR29" s="163">
        <v>0</v>
      </c>
      <c r="BS29" s="163">
        <v>0</v>
      </c>
      <c r="BT29" s="163">
        <f>BR29+BS29</f>
        <v>0</v>
      </c>
      <c r="BU29" s="164">
        <f t="shared" si="2"/>
        <v>0</v>
      </c>
    </row>
    <row r="30" spans="1:73" ht="15.75">
      <c r="A30" s="150" t="s">
        <v>785</v>
      </c>
      <c r="B30" s="166" t="s">
        <v>463</v>
      </c>
      <c r="C30" s="159" t="s">
        <v>486</v>
      </c>
      <c r="D30" s="135">
        <v>100</v>
      </c>
      <c r="E30" s="145">
        <f>BI30</f>
        <v>0</v>
      </c>
      <c r="F30" s="165">
        <f>E30*D30</f>
        <v>0</v>
      </c>
      <c r="G30" s="165">
        <f>F30*0.2</f>
        <v>0</v>
      </c>
      <c r="H30" s="165">
        <f>F30*0.8</f>
        <v>0</v>
      </c>
      <c r="I30" s="165"/>
      <c r="J30" s="165"/>
      <c r="K30" s="165"/>
      <c r="L30" s="165"/>
      <c r="M30" s="165"/>
      <c r="N30" s="165"/>
      <c r="O30" s="165"/>
      <c r="P30" s="165"/>
      <c r="Q30" s="167">
        <f>E30*0.25</f>
        <v>0</v>
      </c>
      <c r="R30" s="167">
        <f>E30*0.25</f>
        <v>0</v>
      </c>
      <c r="S30" s="167">
        <f>E30*0.25</f>
        <v>0</v>
      </c>
      <c r="T30" s="167">
        <f>E30*0.25</f>
        <v>0</v>
      </c>
      <c r="U30" s="165">
        <f>Q30*D30</f>
        <v>0</v>
      </c>
      <c r="V30" s="165">
        <f>R30*D30</f>
        <v>0</v>
      </c>
      <c r="W30" s="165">
        <f>S30*D30</f>
        <v>0</v>
      </c>
      <c r="X30" s="165">
        <f>T30*D30</f>
        <v>0</v>
      </c>
      <c r="Y30" s="165">
        <v>0</v>
      </c>
      <c r="Z30" s="165">
        <f>Y30*D30</f>
        <v>0</v>
      </c>
      <c r="AA30" s="165">
        <v>0</v>
      </c>
      <c r="AB30" s="165">
        <f>AA30*D30</f>
        <v>0</v>
      </c>
      <c r="AC30" s="165">
        <v>0</v>
      </c>
      <c r="AD30" s="165">
        <f>AC30*D30</f>
        <v>0</v>
      </c>
      <c r="AE30" s="165">
        <v>0</v>
      </c>
      <c r="AF30" s="165">
        <f>AE30*D30</f>
        <v>0</v>
      </c>
      <c r="AG30" s="165">
        <v>0</v>
      </c>
      <c r="AH30" s="165">
        <f>AG30*D30</f>
        <v>0</v>
      </c>
      <c r="AI30" s="165">
        <v>0</v>
      </c>
      <c r="AJ30" s="165">
        <f>D30*AI30</f>
        <v>0</v>
      </c>
      <c r="AK30" s="165">
        <v>0</v>
      </c>
      <c r="AL30" s="165">
        <f>D30*AK30</f>
        <v>0</v>
      </c>
      <c r="AM30" s="165">
        <v>0</v>
      </c>
      <c r="AN30" s="165">
        <f>D30*AM30</f>
        <v>0</v>
      </c>
      <c r="AO30" s="165">
        <v>0</v>
      </c>
      <c r="AP30" s="165">
        <f>AO30*D30</f>
        <v>0</v>
      </c>
      <c r="AQ30" s="165">
        <v>0</v>
      </c>
      <c r="AR30" s="165">
        <f>AQ30*D30</f>
        <v>0</v>
      </c>
      <c r="AS30" s="165">
        <v>0</v>
      </c>
      <c r="AT30" s="165">
        <f>AS30*D30</f>
        <v>0</v>
      </c>
      <c r="AU30" s="165">
        <v>0</v>
      </c>
      <c r="AV30" s="165">
        <f>AU30*D30</f>
        <v>0</v>
      </c>
      <c r="AW30" s="165">
        <v>0</v>
      </c>
      <c r="AX30" s="165">
        <f>AW30*D30</f>
        <v>0</v>
      </c>
      <c r="AY30" s="165">
        <v>0</v>
      </c>
      <c r="AZ30" s="165">
        <f>AY30*D30</f>
        <v>0</v>
      </c>
      <c r="BA30" s="165">
        <v>0</v>
      </c>
      <c r="BB30" s="165">
        <f>D30*BA30</f>
        <v>0</v>
      </c>
      <c r="BC30" s="165">
        <v>0</v>
      </c>
      <c r="BD30" s="165">
        <f>BC30*D30</f>
        <v>0</v>
      </c>
      <c r="BE30" s="165">
        <v>0</v>
      </c>
      <c r="BF30" s="165">
        <f>BE30*D30</f>
        <v>0</v>
      </c>
      <c r="BG30" s="165">
        <v>0</v>
      </c>
      <c r="BH30" s="165">
        <f>BG30*D30</f>
        <v>0</v>
      </c>
      <c r="BI30" s="161">
        <f t="shared" si="9"/>
        <v>0</v>
      </c>
      <c r="BJ30" s="161">
        <f t="shared" si="9"/>
        <v>0</v>
      </c>
      <c r="BK30" s="159" t="s">
        <v>216</v>
      </c>
      <c r="BM30" s="163">
        <v>0</v>
      </c>
      <c r="BN30" s="163">
        <f>BJ30</f>
        <v>0</v>
      </c>
      <c r="BO30" s="163">
        <v>0</v>
      </c>
      <c r="BP30" s="163">
        <v>0</v>
      </c>
      <c r="BQ30" s="163">
        <f>BM30+BN30+BO30+BP30</f>
        <v>0</v>
      </c>
      <c r="BR30" s="163">
        <v>0</v>
      </c>
      <c r="BS30" s="163">
        <v>0</v>
      </c>
      <c r="BT30" s="163">
        <f>BR30+BS30</f>
        <v>0</v>
      </c>
      <c r="BU30" s="164">
        <f t="shared" si="2"/>
        <v>0</v>
      </c>
    </row>
    <row r="31" spans="1:73" ht="15.75">
      <c r="A31" s="150" t="s">
        <v>786</v>
      </c>
      <c r="B31" s="166" t="s">
        <v>464</v>
      </c>
      <c r="C31" s="159" t="s">
        <v>487</v>
      </c>
      <c r="D31" s="135" t="s">
        <v>316</v>
      </c>
      <c r="E31" s="145">
        <f>BI31</f>
        <v>0</v>
      </c>
      <c r="F31" s="148">
        <f>E31*D31</f>
        <v>0</v>
      </c>
      <c r="G31" s="165">
        <f>F31*0.2</f>
        <v>0</v>
      </c>
      <c r="H31" s="165">
        <f>F31*0.8</f>
        <v>0</v>
      </c>
      <c r="I31" s="148"/>
      <c r="J31" s="148"/>
      <c r="K31" s="148"/>
      <c r="L31" s="148"/>
      <c r="M31" s="148"/>
      <c r="N31" s="148"/>
      <c r="O31" s="148"/>
      <c r="P31" s="148"/>
      <c r="Q31" s="169">
        <f>E31*0.25</f>
        <v>0</v>
      </c>
      <c r="R31" s="169">
        <f>E31*0.25</f>
        <v>0</v>
      </c>
      <c r="S31" s="169">
        <f>E31*0.25</f>
        <v>0</v>
      </c>
      <c r="T31" s="169">
        <f>E31*0.25</f>
        <v>0</v>
      </c>
      <c r="U31" s="148">
        <f>Q31*D31</f>
        <v>0</v>
      </c>
      <c r="V31" s="148">
        <f>R31*D31</f>
        <v>0</v>
      </c>
      <c r="W31" s="148">
        <f>S31*D31</f>
        <v>0</v>
      </c>
      <c r="X31" s="148">
        <f>T31*D31</f>
        <v>0</v>
      </c>
      <c r="Y31" s="165">
        <v>0</v>
      </c>
      <c r="Z31" s="165">
        <f>Y31*D31</f>
        <v>0</v>
      </c>
      <c r="AA31" s="165">
        <v>0</v>
      </c>
      <c r="AB31" s="165">
        <f>AA31*D31</f>
        <v>0</v>
      </c>
      <c r="AC31" s="165">
        <v>0</v>
      </c>
      <c r="AD31" s="165">
        <f>AC31*D31</f>
        <v>0</v>
      </c>
      <c r="AE31" s="165">
        <v>0</v>
      </c>
      <c r="AF31" s="165">
        <f>AE31*D31</f>
        <v>0</v>
      </c>
      <c r="AG31" s="165">
        <v>0</v>
      </c>
      <c r="AH31" s="165">
        <f>AG31*D31</f>
        <v>0</v>
      </c>
      <c r="AI31" s="165">
        <v>0</v>
      </c>
      <c r="AJ31" s="165">
        <f>D31*AI31</f>
        <v>0</v>
      </c>
      <c r="AK31" s="165">
        <v>0</v>
      </c>
      <c r="AL31" s="165">
        <f>D31*AK31</f>
        <v>0</v>
      </c>
      <c r="AM31" s="165">
        <v>0</v>
      </c>
      <c r="AN31" s="165">
        <f>D31*AM31</f>
        <v>0</v>
      </c>
      <c r="AO31" s="165">
        <v>0</v>
      </c>
      <c r="AP31" s="165">
        <f>AO31*D31</f>
        <v>0</v>
      </c>
      <c r="AQ31" s="165">
        <v>0</v>
      </c>
      <c r="AR31" s="165">
        <f>AQ31*D31</f>
        <v>0</v>
      </c>
      <c r="AS31" s="165">
        <v>0</v>
      </c>
      <c r="AT31" s="165">
        <f>AS31*D31</f>
        <v>0</v>
      </c>
      <c r="AU31" s="165">
        <v>0</v>
      </c>
      <c r="AV31" s="165">
        <f>AU31*D31</f>
        <v>0</v>
      </c>
      <c r="AW31" s="165">
        <v>0</v>
      </c>
      <c r="AX31" s="165">
        <f>AW31*D31</f>
        <v>0</v>
      </c>
      <c r="AY31" s="165">
        <v>0</v>
      </c>
      <c r="AZ31" s="165">
        <f>AY31*D31</f>
        <v>0</v>
      </c>
      <c r="BA31" s="165">
        <v>0</v>
      </c>
      <c r="BB31" s="165">
        <f>D31*BA31</f>
        <v>0</v>
      </c>
      <c r="BC31" s="165">
        <v>0</v>
      </c>
      <c r="BD31" s="165">
        <f>BC31*D31</f>
        <v>0</v>
      </c>
      <c r="BE31" s="165">
        <v>0</v>
      </c>
      <c r="BF31" s="165">
        <f>BE31*D31</f>
        <v>0</v>
      </c>
      <c r="BG31" s="165">
        <v>0</v>
      </c>
      <c r="BH31" s="165">
        <f>BG31*D31</f>
        <v>0</v>
      </c>
      <c r="BI31" s="161">
        <f t="shared" si="9"/>
        <v>0</v>
      </c>
      <c r="BJ31" s="161">
        <f t="shared" si="9"/>
        <v>0</v>
      </c>
      <c r="BK31" s="159" t="s">
        <v>216</v>
      </c>
      <c r="BM31" s="161">
        <f t="shared" ref="BM31:BT31" si="10">SUM(BM28:BM30)</f>
        <v>0</v>
      </c>
      <c r="BN31" s="163">
        <f>BJ31</f>
        <v>0</v>
      </c>
      <c r="BO31" s="161">
        <f t="shared" si="10"/>
        <v>0</v>
      </c>
      <c r="BP31" s="161">
        <f t="shared" si="10"/>
        <v>0</v>
      </c>
      <c r="BQ31" s="163">
        <f>BM31+BN31+BO31+BP31</f>
        <v>0</v>
      </c>
      <c r="BR31" s="161">
        <f t="shared" si="10"/>
        <v>0</v>
      </c>
      <c r="BS31" s="161">
        <f t="shared" si="10"/>
        <v>0</v>
      </c>
      <c r="BT31" s="161">
        <f t="shared" si="10"/>
        <v>0</v>
      </c>
      <c r="BU31" s="164">
        <f t="shared" si="2"/>
        <v>0</v>
      </c>
    </row>
    <row r="32" spans="1:73" s="23" customFormat="1" ht="15.75">
      <c r="A32" s="170"/>
      <c r="B32" s="158" t="s">
        <v>465</v>
      </c>
      <c r="C32" s="159" t="s">
        <v>115</v>
      </c>
      <c r="D32" s="135" t="s">
        <v>115</v>
      </c>
      <c r="E32" s="155">
        <f>SUM(E27:E31)</f>
        <v>1242</v>
      </c>
      <c r="F32" s="155">
        <f t="shared" ref="F32:X32" si="11">SUM(F27:F31)</f>
        <v>222000</v>
      </c>
      <c r="G32" s="155">
        <f t="shared" si="11"/>
        <v>44400</v>
      </c>
      <c r="H32" s="155">
        <f t="shared" si="11"/>
        <v>177600</v>
      </c>
      <c r="I32" s="155">
        <f t="shared" si="11"/>
        <v>0</v>
      </c>
      <c r="J32" s="155">
        <f t="shared" si="11"/>
        <v>0</v>
      </c>
      <c r="K32" s="155">
        <f t="shared" si="11"/>
        <v>0</v>
      </c>
      <c r="L32" s="155">
        <f t="shared" si="11"/>
        <v>0</v>
      </c>
      <c r="M32" s="155">
        <f t="shared" si="11"/>
        <v>0</v>
      </c>
      <c r="N32" s="155">
        <f t="shared" si="11"/>
        <v>0</v>
      </c>
      <c r="O32" s="155">
        <f t="shared" si="11"/>
        <v>0</v>
      </c>
      <c r="P32" s="155">
        <f t="shared" si="11"/>
        <v>0</v>
      </c>
      <c r="Q32" s="155">
        <f t="shared" si="11"/>
        <v>310.5</v>
      </c>
      <c r="R32" s="155">
        <f t="shared" si="11"/>
        <v>310.5</v>
      </c>
      <c r="S32" s="155">
        <f t="shared" si="11"/>
        <v>310.5</v>
      </c>
      <c r="T32" s="155">
        <f t="shared" si="11"/>
        <v>310.5</v>
      </c>
      <c r="U32" s="155">
        <f t="shared" si="11"/>
        <v>55500</v>
      </c>
      <c r="V32" s="155">
        <f t="shared" si="11"/>
        <v>55500</v>
      </c>
      <c r="W32" s="155">
        <f t="shared" si="11"/>
        <v>55500</v>
      </c>
      <c r="X32" s="155">
        <f t="shared" si="11"/>
        <v>55500</v>
      </c>
      <c r="Y32" s="165">
        <f>SUM(Y27:Y31)</f>
        <v>60</v>
      </c>
      <c r="Z32" s="165">
        <f t="shared" ref="Z32:BU32" si="12">SUM(Z27:Z31)</f>
        <v>9000</v>
      </c>
      <c r="AA32" s="165">
        <f t="shared" si="12"/>
        <v>46</v>
      </c>
      <c r="AB32" s="165">
        <f t="shared" si="12"/>
        <v>6900</v>
      </c>
      <c r="AC32" s="165">
        <f t="shared" si="12"/>
        <v>60</v>
      </c>
      <c r="AD32" s="165">
        <f t="shared" si="12"/>
        <v>9000</v>
      </c>
      <c r="AE32" s="165">
        <f t="shared" si="12"/>
        <v>140</v>
      </c>
      <c r="AF32" s="165">
        <f t="shared" si="12"/>
        <v>21000</v>
      </c>
      <c r="AG32" s="165">
        <f t="shared" si="12"/>
        <v>60</v>
      </c>
      <c r="AH32" s="165">
        <f t="shared" si="12"/>
        <v>9000</v>
      </c>
      <c r="AI32" s="165">
        <f t="shared" si="12"/>
        <v>70</v>
      </c>
      <c r="AJ32" s="165">
        <f t="shared" si="12"/>
        <v>10500</v>
      </c>
      <c r="AK32" s="165">
        <f t="shared" si="12"/>
        <v>60</v>
      </c>
      <c r="AL32" s="165">
        <f t="shared" si="12"/>
        <v>9000</v>
      </c>
      <c r="AM32" s="165">
        <f t="shared" si="12"/>
        <v>90</v>
      </c>
      <c r="AN32" s="165">
        <f t="shared" si="12"/>
        <v>13500</v>
      </c>
      <c r="AO32" s="165">
        <f t="shared" si="12"/>
        <v>24</v>
      </c>
      <c r="AP32" s="165">
        <f t="shared" si="12"/>
        <v>3600</v>
      </c>
      <c r="AQ32" s="165">
        <f t="shared" si="12"/>
        <v>60</v>
      </c>
      <c r="AR32" s="165">
        <f t="shared" si="12"/>
        <v>9000</v>
      </c>
      <c r="AS32" s="165">
        <f t="shared" si="12"/>
        <v>70</v>
      </c>
      <c r="AT32" s="165">
        <f t="shared" si="12"/>
        <v>10500</v>
      </c>
      <c r="AU32" s="165">
        <f t="shared" si="12"/>
        <v>60</v>
      </c>
      <c r="AV32" s="165">
        <f t="shared" si="12"/>
        <v>9000</v>
      </c>
      <c r="AW32" s="165">
        <f t="shared" si="12"/>
        <v>0</v>
      </c>
      <c r="AX32" s="165">
        <f t="shared" si="12"/>
        <v>0</v>
      </c>
      <c r="AY32" s="165">
        <f t="shared" si="12"/>
        <v>70</v>
      </c>
      <c r="AZ32" s="165">
        <f t="shared" si="12"/>
        <v>10500</v>
      </c>
      <c r="BA32" s="165">
        <f t="shared" si="12"/>
        <v>70</v>
      </c>
      <c r="BB32" s="165">
        <f t="shared" si="12"/>
        <v>10500</v>
      </c>
      <c r="BC32" s="165">
        <f t="shared" si="12"/>
        <v>140</v>
      </c>
      <c r="BD32" s="165">
        <f t="shared" si="12"/>
        <v>21000</v>
      </c>
      <c r="BE32" s="165">
        <f t="shared" si="12"/>
        <v>60</v>
      </c>
      <c r="BF32" s="165">
        <f t="shared" si="12"/>
        <v>9000</v>
      </c>
      <c r="BG32" s="165">
        <f t="shared" si="12"/>
        <v>102</v>
      </c>
      <c r="BH32" s="165">
        <f t="shared" si="12"/>
        <v>51000</v>
      </c>
      <c r="BI32" s="165">
        <f t="shared" si="12"/>
        <v>1242</v>
      </c>
      <c r="BJ32" s="165">
        <f t="shared" si="12"/>
        <v>222000</v>
      </c>
      <c r="BK32" s="165">
        <f t="shared" si="12"/>
        <v>0</v>
      </c>
      <c r="BL32" s="165">
        <f t="shared" si="12"/>
        <v>0</v>
      </c>
      <c r="BM32" s="165">
        <f t="shared" si="12"/>
        <v>0</v>
      </c>
      <c r="BN32" s="165">
        <f t="shared" si="12"/>
        <v>222000</v>
      </c>
      <c r="BO32" s="165">
        <f t="shared" si="12"/>
        <v>0</v>
      </c>
      <c r="BP32" s="165">
        <f t="shared" si="12"/>
        <v>0</v>
      </c>
      <c r="BQ32" s="165">
        <f t="shared" si="12"/>
        <v>222000</v>
      </c>
      <c r="BR32" s="165">
        <f t="shared" si="12"/>
        <v>0</v>
      </c>
      <c r="BS32" s="165">
        <f t="shared" si="12"/>
        <v>0</v>
      </c>
      <c r="BT32" s="165">
        <f t="shared" si="12"/>
        <v>0</v>
      </c>
      <c r="BU32" s="165">
        <f t="shared" si="12"/>
        <v>222000</v>
      </c>
    </row>
    <row r="33" spans="1:73" ht="15.75">
      <c r="A33" s="150"/>
      <c r="B33" s="158" t="s">
        <v>466</v>
      </c>
      <c r="C33" s="159"/>
      <c r="D33" s="159"/>
      <c r="E33" s="14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7"/>
      <c r="R33" s="167"/>
      <c r="S33" s="167"/>
      <c r="T33" s="167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1"/>
      <c r="BJ33" s="162"/>
      <c r="BK33" s="159"/>
      <c r="BM33" s="163"/>
      <c r="BN33" s="163"/>
      <c r="BO33" s="163"/>
      <c r="BP33" s="163"/>
      <c r="BQ33" s="163"/>
      <c r="BR33" s="163"/>
      <c r="BS33" s="163"/>
      <c r="BT33" s="163"/>
      <c r="BU33" s="164">
        <f t="shared" si="2"/>
        <v>0</v>
      </c>
    </row>
    <row r="34" spans="1:73" ht="15.75">
      <c r="A34" s="150" t="s">
        <v>787</v>
      </c>
      <c r="B34" s="166" t="s">
        <v>769</v>
      </c>
      <c r="C34" s="159" t="s">
        <v>67</v>
      </c>
      <c r="D34" s="135">
        <v>150</v>
      </c>
      <c r="E34" s="145">
        <f>BI34</f>
        <v>677</v>
      </c>
      <c r="F34" s="165">
        <f>E34*D34</f>
        <v>101550</v>
      </c>
      <c r="G34" s="165">
        <f>F34*0.2</f>
        <v>20310</v>
      </c>
      <c r="H34" s="165">
        <f>F34*0.8</f>
        <v>81240</v>
      </c>
      <c r="I34" s="165"/>
      <c r="J34" s="165"/>
      <c r="K34" s="165"/>
      <c r="L34" s="165"/>
      <c r="M34" s="165"/>
      <c r="N34" s="165"/>
      <c r="O34" s="165"/>
      <c r="P34" s="165"/>
      <c r="Q34" s="167">
        <f>E34*0.25</f>
        <v>169.25</v>
      </c>
      <c r="R34" s="167">
        <f>E34*0.25</f>
        <v>169.25</v>
      </c>
      <c r="S34" s="167">
        <f>E34*0.25</f>
        <v>169.25</v>
      </c>
      <c r="T34" s="167">
        <f>E34*0.25</f>
        <v>169.25</v>
      </c>
      <c r="U34" s="165">
        <f>Q34*D34</f>
        <v>25387.5</v>
      </c>
      <c r="V34" s="165">
        <f>R34*D34</f>
        <v>25387.5</v>
      </c>
      <c r="W34" s="165">
        <f>S34*D34</f>
        <v>25387.5</v>
      </c>
      <c r="X34" s="165">
        <f>T34*D34</f>
        <v>25387.5</v>
      </c>
      <c r="Y34" s="165">
        <v>40</v>
      </c>
      <c r="Z34" s="165">
        <f>Y34*D34</f>
        <v>6000</v>
      </c>
      <c r="AA34" s="165">
        <v>30</v>
      </c>
      <c r="AB34" s="165">
        <f>AA34*D34</f>
        <v>4500</v>
      </c>
      <c r="AC34" s="165">
        <v>40</v>
      </c>
      <c r="AD34" s="165">
        <f>AC34*D34</f>
        <v>6000</v>
      </c>
      <c r="AE34" s="165">
        <v>80</v>
      </c>
      <c r="AF34" s="165">
        <f>AE34*D34</f>
        <v>12000</v>
      </c>
      <c r="AG34" s="165">
        <v>40</v>
      </c>
      <c r="AH34" s="165">
        <f>AG34*D34</f>
        <v>6000</v>
      </c>
      <c r="AI34" s="165">
        <v>40</v>
      </c>
      <c r="AJ34" s="165">
        <f>D34*AI34</f>
        <v>6000</v>
      </c>
      <c r="AK34" s="165">
        <v>40</v>
      </c>
      <c r="AL34" s="165">
        <f>D34*AK34</f>
        <v>6000</v>
      </c>
      <c r="AM34" s="165">
        <v>50</v>
      </c>
      <c r="AN34" s="165">
        <f>D34*AM34</f>
        <v>7500</v>
      </c>
      <c r="AO34" s="165">
        <v>12</v>
      </c>
      <c r="AP34" s="165">
        <f>AO34*D34</f>
        <v>1800</v>
      </c>
      <c r="AQ34" s="165">
        <v>30</v>
      </c>
      <c r="AR34" s="165">
        <f>AQ34*D34</f>
        <v>4500</v>
      </c>
      <c r="AS34" s="165">
        <v>30</v>
      </c>
      <c r="AT34" s="165">
        <f>AS34*D34</f>
        <v>4500</v>
      </c>
      <c r="AU34" s="165">
        <v>30</v>
      </c>
      <c r="AV34" s="165">
        <f>AU34*D34</f>
        <v>4500</v>
      </c>
      <c r="AW34" s="165">
        <v>40</v>
      </c>
      <c r="AX34" s="165">
        <f>AW34*D34</f>
        <v>6000</v>
      </c>
      <c r="AY34" s="165">
        <v>35</v>
      </c>
      <c r="AZ34" s="165">
        <f>AY34*D34</f>
        <v>5250</v>
      </c>
      <c r="BA34" s="165">
        <v>40</v>
      </c>
      <c r="BB34" s="165">
        <f>D34*BA34</f>
        <v>6000</v>
      </c>
      <c r="BC34" s="165">
        <v>70</v>
      </c>
      <c r="BD34" s="165">
        <f>BC34*D34</f>
        <v>10500</v>
      </c>
      <c r="BE34" s="165">
        <v>30</v>
      </c>
      <c r="BF34" s="165">
        <f>BE34*D34</f>
        <v>4500</v>
      </c>
      <c r="BG34" s="165">
        <v>0</v>
      </c>
      <c r="BH34" s="165">
        <f>BG34*D34</f>
        <v>0</v>
      </c>
      <c r="BI34" s="161">
        <f>BG34+BE34+BC34+BA34+AY34+AW34+AU34+AS34+AQ34+AO34+AM34+AK34+AI34+AG34+AE34+AC34+AA34+Y34</f>
        <v>677</v>
      </c>
      <c r="BJ34" s="161">
        <f>BH34+BF34+BD34+BB34+AZ34+AX34+AV34+AT34+AR34+AP34+AN34+AL34+AJ34+AH34+AF34+AD34+AB34+Z34</f>
        <v>101550</v>
      </c>
      <c r="BK34" s="159" t="s">
        <v>216</v>
      </c>
      <c r="BM34" s="163"/>
      <c r="BN34" s="163">
        <f>BJ34</f>
        <v>101550</v>
      </c>
      <c r="BO34" s="163"/>
      <c r="BP34" s="163"/>
      <c r="BQ34" s="163">
        <f>BM34+BN34+BO34+BP34</f>
        <v>101550</v>
      </c>
      <c r="BR34" s="163"/>
      <c r="BS34" s="163"/>
      <c r="BT34" s="163"/>
      <c r="BU34" s="164">
        <f t="shared" si="2"/>
        <v>101550</v>
      </c>
    </row>
    <row r="35" spans="1:73" ht="15.75">
      <c r="A35" s="150"/>
      <c r="B35" s="158" t="s">
        <v>467</v>
      </c>
      <c r="C35" s="159" t="s">
        <v>115</v>
      </c>
      <c r="D35" s="135" t="s">
        <v>115</v>
      </c>
      <c r="E35" s="145">
        <f>E34</f>
        <v>677</v>
      </c>
      <c r="F35" s="145">
        <f t="shared" ref="F35:X35" si="13">F34</f>
        <v>101550</v>
      </c>
      <c r="G35" s="145">
        <f t="shared" si="13"/>
        <v>20310</v>
      </c>
      <c r="H35" s="145">
        <f t="shared" si="13"/>
        <v>81240</v>
      </c>
      <c r="I35" s="145">
        <f t="shared" si="13"/>
        <v>0</v>
      </c>
      <c r="J35" s="145">
        <f t="shared" si="13"/>
        <v>0</v>
      </c>
      <c r="K35" s="145">
        <f t="shared" si="13"/>
        <v>0</v>
      </c>
      <c r="L35" s="145">
        <f t="shared" si="13"/>
        <v>0</v>
      </c>
      <c r="M35" s="145">
        <f t="shared" si="13"/>
        <v>0</v>
      </c>
      <c r="N35" s="145">
        <f t="shared" si="13"/>
        <v>0</v>
      </c>
      <c r="O35" s="145">
        <f t="shared" si="13"/>
        <v>0</v>
      </c>
      <c r="P35" s="145">
        <f t="shared" si="13"/>
        <v>0</v>
      </c>
      <c r="Q35" s="145">
        <f t="shared" si="13"/>
        <v>169.25</v>
      </c>
      <c r="R35" s="145">
        <f t="shared" si="13"/>
        <v>169.25</v>
      </c>
      <c r="S35" s="145">
        <f t="shared" si="13"/>
        <v>169.25</v>
      </c>
      <c r="T35" s="145">
        <f t="shared" si="13"/>
        <v>169.25</v>
      </c>
      <c r="U35" s="145">
        <f t="shared" si="13"/>
        <v>25387.5</v>
      </c>
      <c r="V35" s="145">
        <f t="shared" si="13"/>
        <v>25387.5</v>
      </c>
      <c r="W35" s="145">
        <f t="shared" si="13"/>
        <v>25387.5</v>
      </c>
      <c r="X35" s="145">
        <f t="shared" si="13"/>
        <v>25387.5</v>
      </c>
      <c r="Y35" s="165">
        <f>SUM(Y34)</f>
        <v>40</v>
      </c>
      <c r="Z35" s="165">
        <f t="shared" ref="Z35:BU35" si="14">SUM(Z34)</f>
        <v>6000</v>
      </c>
      <c r="AA35" s="165">
        <f t="shared" si="14"/>
        <v>30</v>
      </c>
      <c r="AB35" s="165">
        <f t="shared" si="14"/>
        <v>4500</v>
      </c>
      <c r="AC35" s="165">
        <f t="shared" si="14"/>
        <v>40</v>
      </c>
      <c r="AD35" s="165">
        <f t="shared" si="14"/>
        <v>6000</v>
      </c>
      <c r="AE35" s="165">
        <f t="shared" si="14"/>
        <v>80</v>
      </c>
      <c r="AF35" s="165">
        <f t="shared" si="14"/>
        <v>12000</v>
      </c>
      <c r="AG35" s="165">
        <f t="shared" si="14"/>
        <v>40</v>
      </c>
      <c r="AH35" s="165">
        <f t="shared" si="14"/>
        <v>6000</v>
      </c>
      <c r="AI35" s="165">
        <f t="shared" si="14"/>
        <v>40</v>
      </c>
      <c r="AJ35" s="165">
        <f t="shared" si="14"/>
        <v>6000</v>
      </c>
      <c r="AK35" s="165">
        <f t="shared" si="14"/>
        <v>40</v>
      </c>
      <c r="AL35" s="165">
        <f t="shared" si="14"/>
        <v>6000</v>
      </c>
      <c r="AM35" s="165">
        <f t="shared" si="14"/>
        <v>50</v>
      </c>
      <c r="AN35" s="165">
        <f t="shared" si="14"/>
        <v>7500</v>
      </c>
      <c r="AO35" s="165">
        <f t="shared" si="14"/>
        <v>12</v>
      </c>
      <c r="AP35" s="165">
        <f t="shared" si="14"/>
        <v>1800</v>
      </c>
      <c r="AQ35" s="165">
        <f t="shared" si="14"/>
        <v>30</v>
      </c>
      <c r="AR35" s="165">
        <f t="shared" si="14"/>
        <v>4500</v>
      </c>
      <c r="AS35" s="165">
        <f t="shared" si="14"/>
        <v>30</v>
      </c>
      <c r="AT35" s="165">
        <f t="shared" si="14"/>
        <v>4500</v>
      </c>
      <c r="AU35" s="165">
        <f t="shared" si="14"/>
        <v>30</v>
      </c>
      <c r="AV35" s="165">
        <f t="shared" si="14"/>
        <v>4500</v>
      </c>
      <c r="AW35" s="165">
        <f t="shared" si="14"/>
        <v>40</v>
      </c>
      <c r="AX35" s="165">
        <f t="shared" si="14"/>
        <v>6000</v>
      </c>
      <c r="AY35" s="165">
        <f t="shared" si="14"/>
        <v>35</v>
      </c>
      <c r="AZ35" s="165">
        <f t="shared" si="14"/>
        <v>5250</v>
      </c>
      <c r="BA35" s="165">
        <f t="shared" si="14"/>
        <v>40</v>
      </c>
      <c r="BB35" s="165">
        <f t="shared" si="14"/>
        <v>6000</v>
      </c>
      <c r="BC35" s="165">
        <f t="shared" si="14"/>
        <v>70</v>
      </c>
      <c r="BD35" s="165">
        <f t="shared" si="14"/>
        <v>10500</v>
      </c>
      <c r="BE35" s="165">
        <f t="shared" si="14"/>
        <v>30</v>
      </c>
      <c r="BF35" s="165">
        <f t="shared" si="14"/>
        <v>4500</v>
      </c>
      <c r="BG35" s="165">
        <f t="shared" si="14"/>
        <v>0</v>
      </c>
      <c r="BH35" s="165">
        <f t="shared" si="14"/>
        <v>0</v>
      </c>
      <c r="BI35" s="165">
        <f t="shared" si="14"/>
        <v>677</v>
      </c>
      <c r="BJ35" s="165">
        <f t="shared" si="14"/>
        <v>101550</v>
      </c>
      <c r="BK35" s="165">
        <f t="shared" si="14"/>
        <v>0</v>
      </c>
      <c r="BL35" s="165">
        <f t="shared" si="14"/>
        <v>0</v>
      </c>
      <c r="BM35" s="165">
        <f t="shared" si="14"/>
        <v>0</v>
      </c>
      <c r="BN35" s="165">
        <f t="shared" si="14"/>
        <v>101550</v>
      </c>
      <c r="BO35" s="165">
        <f t="shared" si="14"/>
        <v>0</v>
      </c>
      <c r="BP35" s="165">
        <f t="shared" si="14"/>
        <v>0</v>
      </c>
      <c r="BQ35" s="165">
        <f t="shared" si="14"/>
        <v>101550</v>
      </c>
      <c r="BR35" s="165">
        <f t="shared" si="14"/>
        <v>0</v>
      </c>
      <c r="BS35" s="165">
        <f t="shared" si="14"/>
        <v>0</v>
      </c>
      <c r="BT35" s="165">
        <f t="shared" si="14"/>
        <v>0</v>
      </c>
      <c r="BU35" s="165">
        <f t="shared" si="14"/>
        <v>101550</v>
      </c>
    </row>
    <row r="36" spans="1:73" ht="15.75">
      <c r="A36" s="150"/>
      <c r="B36" s="158" t="s">
        <v>693</v>
      </c>
      <c r="C36" s="159"/>
      <c r="D36" s="159"/>
      <c r="E36" s="14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7"/>
      <c r="R36" s="167"/>
      <c r="S36" s="167"/>
      <c r="T36" s="167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1"/>
      <c r="BJ36" s="162"/>
      <c r="BK36" s="159"/>
      <c r="BM36" s="163"/>
      <c r="BN36" s="163"/>
      <c r="BO36" s="163"/>
      <c r="BP36" s="163"/>
      <c r="BQ36" s="163"/>
      <c r="BR36" s="163"/>
      <c r="BS36" s="163"/>
      <c r="BT36" s="163"/>
      <c r="BU36" s="164">
        <f t="shared" si="2"/>
        <v>0</v>
      </c>
    </row>
    <row r="37" spans="1:73" ht="15.75">
      <c r="A37" s="150"/>
      <c r="B37" s="158" t="s">
        <v>468</v>
      </c>
      <c r="C37" s="159"/>
      <c r="D37" s="159"/>
      <c r="E37" s="14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7"/>
      <c r="R37" s="167"/>
      <c r="S37" s="172"/>
      <c r="T37" s="172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1"/>
      <c r="BJ37" s="162"/>
      <c r="BK37" s="159"/>
      <c r="BM37" s="163"/>
      <c r="BN37" s="163">
        <f>F37</f>
        <v>0</v>
      </c>
      <c r="BO37" s="163"/>
      <c r="BP37" s="163"/>
      <c r="BQ37" s="163">
        <f t="shared" ref="BQ37:BQ43" si="15">BM37+BN37+BO37+BP37</f>
        <v>0</v>
      </c>
      <c r="BR37" s="163"/>
      <c r="BS37" s="163"/>
      <c r="BT37" s="163"/>
      <c r="BU37" s="164">
        <f t="shared" si="2"/>
        <v>0</v>
      </c>
    </row>
    <row r="38" spans="1:73" ht="15.75">
      <c r="A38" s="150" t="s">
        <v>788</v>
      </c>
      <c r="B38" s="166" t="s">
        <v>469</v>
      </c>
      <c r="C38" s="159" t="s">
        <v>71</v>
      </c>
      <c r="D38" s="135">
        <v>500</v>
      </c>
      <c r="E38" s="145">
        <f>BI38</f>
        <v>204</v>
      </c>
      <c r="F38" s="165">
        <f>E38*D38</f>
        <v>102000</v>
      </c>
      <c r="G38" s="165">
        <f>F38*0.2</f>
        <v>20400</v>
      </c>
      <c r="H38" s="165">
        <f>F38*0.8</f>
        <v>81600</v>
      </c>
      <c r="I38" s="165"/>
      <c r="J38" s="165"/>
      <c r="K38" s="165"/>
      <c r="L38" s="165"/>
      <c r="M38" s="165"/>
      <c r="N38" s="165"/>
      <c r="O38" s="165"/>
      <c r="P38" s="165"/>
      <c r="Q38" s="167">
        <f>E38*0.25</f>
        <v>51</v>
      </c>
      <c r="R38" s="167">
        <f>E38*0.25</f>
        <v>51</v>
      </c>
      <c r="S38" s="167">
        <f>E38*0.25</f>
        <v>51</v>
      </c>
      <c r="T38" s="167">
        <f>E38*0.25</f>
        <v>51</v>
      </c>
      <c r="U38" s="165">
        <f>Q38*D38</f>
        <v>25500</v>
      </c>
      <c r="V38" s="165">
        <f>R38*D38</f>
        <v>25500</v>
      </c>
      <c r="W38" s="165">
        <f>S38*D38</f>
        <v>25500</v>
      </c>
      <c r="X38" s="165">
        <f>T38*D38</f>
        <v>25500</v>
      </c>
      <c r="Y38" s="165">
        <v>0</v>
      </c>
      <c r="Z38" s="165">
        <f>Y38*D38</f>
        <v>0</v>
      </c>
      <c r="AA38" s="165">
        <v>0</v>
      </c>
      <c r="AB38" s="165">
        <f>AA38*D38</f>
        <v>0</v>
      </c>
      <c r="AC38" s="165">
        <v>0</v>
      </c>
      <c r="AD38" s="165">
        <f>AC38*D38</f>
        <v>0</v>
      </c>
      <c r="AE38" s="165">
        <v>0</v>
      </c>
      <c r="AF38" s="165">
        <f>AE38*D38</f>
        <v>0</v>
      </c>
      <c r="AG38" s="165">
        <v>0</v>
      </c>
      <c r="AH38" s="165">
        <f>AG38*D38</f>
        <v>0</v>
      </c>
      <c r="AI38" s="165">
        <v>0</v>
      </c>
      <c r="AJ38" s="165">
        <f>D38*AI38</f>
        <v>0</v>
      </c>
      <c r="AK38" s="165">
        <v>0</v>
      </c>
      <c r="AL38" s="165">
        <f>D38*AK38</f>
        <v>0</v>
      </c>
      <c r="AM38" s="165">
        <v>0</v>
      </c>
      <c r="AN38" s="165">
        <f>D38*AM38</f>
        <v>0</v>
      </c>
      <c r="AO38" s="165">
        <v>0</v>
      </c>
      <c r="AP38" s="165">
        <f>AO38*D38</f>
        <v>0</v>
      </c>
      <c r="AQ38" s="165">
        <v>0</v>
      </c>
      <c r="AR38" s="165">
        <f>AQ38*D38</f>
        <v>0</v>
      </c>
      <c r="AS38" s="165">
        <v>0</v>
      </c>
      <c r="AT38" s="165">
        <f>AS38*D38</f>
        <v>0</v>
      </c>
      <c r="AU38" s="165">
        <v>0</v>
      </c>
      <c r="AV38" s="165">
        <f>AU38*D38</f>
        <v>0</v>
      </c>
      <c r="AW38" s="165">
        <v>0</v>
      </c>
      <c r="AX38" s="165">
        <f>AW38*D38</f>
        <v>0</v>
      </c>
      <c r="AY38" s="165">
        <v>0</v>
      </c>
      <c r="AZ38" s="165">
        <f>AY38*D38</f>
        <v>0</v>
      </c>
      <c r="BA38" s="165">
        <v>0</v>
      </c>
      <c r="BB38" s="165">
        <f>D38*BA38</f>
        <v>0</v>
      </c>
      <c r="BC38" s="165">
        <v>0</v>
      </c>
      <c r="BD38" s="165">
        <f>BC38*D38</f>
        <v>0</v>
      </c>
      <c r="BE38" s="165">
        <v>0</v>
      </c>
      <c r="BF38" s="165">
        <f>BE38*D38</f>
        <v>0</v>
      </c>
      <c r="BG38" s="165">
        <f>17*3*4</f>
        <v>204</v>
      </c>
      <c r="BH38" s="165">
        <f>BG38*D38</f>
        <v>102000</v>
      </c>
      <c r="BI38" s="161">
        <f t="shared" ref="BI38:BJ41" si="16">BG38+BE38+BC38+BA38+AY38+AW38+AU38+AS38+AQ38+AO38+AM38+AK38+AI38+AG38+AE38+AC38+AA38+Y38</f>
        <v>204</v>
      </c>
      <c r="BJ38" s="161">
        <f t="shared" si="16"/>
        <v>102000</v>
      </c>
      <c r="BK38" s="159" t="s">
        <v>216</v>
      </c>
      <c r="BM38" s="163"/>
      <c r="BN38" s="163">
        <f>BJ38</f>
        <v>102000</v>
      </c>
      <c r="BO38" s="163"/>
      <c r="BP38" s="163"/>
      <c r="BQ38" s="163">
        <f t="shared" si="15"/>
        <v>102000</v>
      </c>
      <c r="BR38" s="163"/>
      <c r="BS38" s="163"/>
      <c r="BT38" s="163"/>
      <c r="BU38" s="164">
        <f t="shared" si="2"/>
        <v>102000</v>
      </c>
    </row>
    <row r="39" spans="1:73" ht="15.75">
      <c r="A39" s="150" t="s">
        <v>789</v>
      </c>
      <c r="B39" s="166" t="s">
        <v>636</v>
      </c>
      <c r="C39" s="159" t="s">
        <v>71</v>
      </c>
      <c r="D39" s="135">
        <v>150</v>
      </c>
      <c r="E39" s="145">
        <f>BI39</f>
        <v>0</v>
      </c>
      <c r="F39" s="165">
        <f>E39*D39</f>
        <v>0</v>
      </c>
      <c r="G39" s="165">
        <f>F39*0.2</f>
        <v>0</v>
      </c>
      <c r="H39" s="165">
        <f>F39*0.8</f>
        <v>0</v>
      </c>
      <c r="I39" s="165"/>
      <c r="J39" s="165"/>
      <c r="K39" s="165"/>
      <c r="L39" s="165"/>
      <c r="M39" s="165"/>
      <c r="N39" s="165"/>
      <c r="O39" s="165"/>
      <c r="P39" s="165"/>
      <c r="Q39" s="167">
        <f>E39*0.25</f>
        <v>0</v>
      </c>
      <c r="R39" s="167">
        <f>E39*0.25</f>
        <v>0</v>
      </c>
      <c r="S39" s="167">
        <f>E39*0.25</f>
        <v>0</v>
      </c>
      <c r="T39" s="167">
        <f>E39*0.25</f>
        <v>0</v>
      </c>
      <c r="U39" s="165">
        <f>Q39*D39</f>
        <v>0</v>
      </c>
      <c r="V39" s="165">
        <f>R39*D39</f>
        <v>0</v>
      </c>
      <c r="W39" s="165">
        <f>S39*D39</f>
        <v>0</v>
      </c>
      <c r="X39" s="165">
        <f>T39*D39</f>
        <v>0</v>
      </c>
      <c r="Y39" s="165">
        <v>0</v>
      </c>
      <c r="Z39" s="165">
        <f>Y39*D39</f>
        <v>0</v>
      </c>
      <c r="AA39" s="165">
        <v>0</v>
      </c>
      <c r="AB39" s="165">
        <f>AA39*D39</f>
        <v>0</v>
      </c>
      <c r="AC39" s="165">
        <v>0</v>
      </c>
      <c r="AD39" s="165">
        <f>AC39*D39</f>
        <v>0</v>
      </c>
      <c r="AE39" s="165">
        <v>0</v>
      </c>
      <c r="AF39" s="165">
        <f>AE39*D39</f>
        <v>0</v>
      </c>
      <c r="AG39" s="165">
        <v>0</v>
      </c>
      <c r="AH39" s="165">
        <f>AG39*D39</f>
        <v>0</v>
      </c>
      <c r="AI39" s="165">
        <v>0</v>
      </c>
      <c r="AJ39" s="165">
        <f>D39*AI39</f>
        <v>0</v>
      </c>
      <c r="AK39" s="165">
        <v>0</v>
      </c>
      <c r="AL39" s="165">
        <f>D39*AK39</f>
        <v>0</v>
      </c>
      <c r="AM39" s="165">
        <v>0</v>
      </c>
      <c r="AN39" s="165">
        <f>D39*AM39</f>
        <v>0</v>
      </c>
      <c r="AO39" s="165">
        <v>0</v>
      </c>
      <c r="AP39" s="165">
        <f>AO39*D39</f>
        <v>0</v>
      </c>
      <c r="AQ39" s="165">
        <v>0</v>
      </c>
      <c r="AR39" s="165">
        <f>AQ39*D39</f>
        <v>0</v>
      </c>
      <c r="AS39" s="165">
        <v>0</v>
      </c>
      <c r="AT39" s="165">
        <f>AS39*D39</f>
        <v>0</v>
      </c>
      <c r="AU39" s="165">
        <v>0</v>
      </c>
      <c r="AV39" s="165">
        <f>AU39*D39</f>
        <v>0</v>
      </c>
      <c r="AW39" s="165">
        <v>0</v>
      </c>
      <c r="AX39" s="165">
        <f>AW39*D39</f>
        <v>0</v>
      </c>
      <c r="AY39" s="165">
        <v>0</v>
      </c>
      <c r="AZ39" s="165">
        <f>AY39*D39</f>
        <v>0</v>
      </c>
      <c r="BA39" s="165">
        <v>0</v>
      </c>
      <c r="BB39" s="165">
        <f>D39*BA39</f>
        <v>0</v>
      </c>
      <c r="BC39" s="165">
        <v>0</v>
      </c>
      <c r="BD39" s="165">
        <f>BC39*D39</f>
        <v>0</v>
      </c>
      <c r="BE39" s="165">
        <v>0</v>
      </c>
      <c r="BF39" s="165">
        <f>BE39*D39</f>
        <v>0</v>
      </c>
      <c r="BG39" s="165">
        <v>0</v>
      </c>
      <c r="BH39" s="165">
        <f>BG39*D39</f>
        <v>0</v>
      </c>
      <c r="BI39" s="161">
        <f t="shared" si="16"/>
        <v>0</v>
      </c>
      <c r="BJ39" s="161">
        <f t="shared" si="16"/>
        <v>0</v>
      </c>
      <c r="BK39" s="159" t="s">
        <v>216</v>
      </c>
      <c r="BM39" s="163"/>
      <c r="BN39" s="163">
        <f>BJ39</f>
        <v>0</v>
      </c>
      <c r="BO39" s="163"/>
      <c r="BP39" s="163"/>
      <c r="BQ39" s="163">
        <f t="shared" si="15"/>
        <v>0</v>
      </c>
      <c r="BR39" s="163"/>
      <c r="BS39" s="163"/>
      <c r="BT39" s="163"/>
      <c r="BU39" s="164">
        <f t="shared" si="2"/>
        <v>0</v>
      </c>
    </row>
    <row r="40" spans="1:73" s="23" customFormat="1" ht="31.5">
      <c r="A40" s="150" t="s">
        <v>790</v>
      </c>
      <c r="B40" s="134" t="s">
        <v>470</v>
      </c>
      <c r="C40" s="159" t="s">
        <v>71</v>
      </c>
      <c r="D40" s="135">
        <v>150</v>
      </c>
      <c r="E40" s="155">
        <f>BI40</f>
        <v>513</v>
      </c>
      <c r="F40" s="165">
        <f>E40*D40</f>
        <v>76950</v>
      </c>
      <c r="G40" s="165">
        <f>F40*0.2</f>
        <v>15390</v>
      </c>
      <c r="H40" s="165">
        <f>F40*0.8</f>
        <v>61560</v>
      </c>
      <c r="I40" s="165"/>
      <c r="J40" s="165"/>
      <c r="K40" s="165"/>
      <c r="L40" s="165"/>
      <c r="M40" s="165"/>
      <c r="N40" s="165"/>
      <c r="O40" s="165"/>
      <c r="P40" s="165"/>
      <c r="Q40" s="173">
        <f>E40*0.25</f>
        <v>128.25</v>
      </c>
      <c r="R40" s="173">
        <f>E40*0.25</f>
        <v>128.25</v>
      </c>
      <c r="S40" s="173">
        <f>E40*0.25</f>
        <v>128.25</v>
      </c>
      <c r="T40" s="173">
        <f>E40*0.25</f>
        <v>128.25</v>
      </c>
      <c r="U40" s="165">
        <f>Q40*D40</f>
        <v>19237.5</v>
      </c>
      <c r="V40" s="165">
        <f>R40*D40</f>
        <v>19237.5</v>
      </c>
      <c r="W40" s="165">
        <f>S40*D40</f>
        <v>19237.5</v>
      </c>
      <c r="X40" s="165">
        <f>T40*D40</f>
        <v>19237.5</v>
      </c>
      <c r="Y40" s="165">
        <f>3*3*2</f>
        <v>18</v>
      </c>
      <c r="Z40" s="165">
        <f>Y40*D40</f>
        <v>2700</v>
      </c>
      <c r="AA40" s="165">
        <f>3*4</f>
        <v>12</v>
      </c>
      <c r="AB40" s="165">
        <f>AA40*D40</f>
        <v>1800</v>
      </c>
      <c r="AC40" s="165">
        <v>0</v>
      </c>
      <c r="AD40" s="165">
        <f>AC40*D40</f>
        <v>0</v>
      </c>
      <c r="AE40" s="165">
        <f>5*4*1</f>
        <v>20</v>
      </c>
      <c r="AF40" s="165">
        <f>AE40*D40</f>
        <v>3000</v>
      </c>
      <c r="AG40" s="165">
        <f>2*4*2</f>
        <v>16</v>
      </c>
      <c r="AH40" s="165">
        <f>AG40*D40</f>
        <v>2400</v>
      </c>
      <c r="AI40" s="165">
        <f>4*3*2</f>
        <v>24</v>
      </c>
      <c r="AJ40" s="165">
        <f>D40*AI40</f>
        <v>3600</v>
      </c>
      <c r="AK40" s="165">
        <f>6*3*2</f>
        <v>36</v>
      </c>
      <c r="AL40" s="165">
        <f>D40*AK40</f>
        <v>5400</v>
      </c>
      <c r="AM40" s="165">
        <f>9*3*2</f>
        <v>54</v>
      </c>
      <c r="AN40" s="165">
        <f>D40*AM40</f>
        <v>8100</v>
      </c>
      <c r="AO40" s="165">
        <f>20</f>
        <v>20</v>
      </c>
      <c r="AP40" s="165">
        <f>AO40*D40</f>
        <v>3000</v>
      </c>
      <c r="AQ40" s="165">
        <f>3*6*2</f>
        <v>36</v>
      </c>
      <c r="AR40" s="165">
        <f>AQ40*D40</f>
        <v>5400</v>
      </c>
      <c r="AS40" s="165">
        <f>6*3*2</f>
        <v>36</v>
      </c>
      <c r="AT40" s="165">
        <f>AS40*D40</f>
        <v>5400</v>
      </c>
      <c r="AU40" s="165">
        <v>25</v>
      </c>
      <c r="AV40" s="165">
        <f>AU40*D40</f>
        <v>3750</v>
      </c>
      <c r="AW40" s="165">
        <f>(9*3)+9</f>
        <v>36</v>
      </c>
      <c r="AX40" s="165">
        <f>AW40*D40</f>
        <v>5400</v>
      </c>
      <c r="AY40" s="165">
        <f>9*3*2</f>
        <v>54</v>
      </c>
      <c r="AZ40" s="165">
        <f>AY40*D40</f>
        <v>8100</v>
      </c>
      <c r="BA40" s="165">
        <f>3*3*2</f>
        <v>18</v>
      </c>
      <c r="BB40" s="165">
        <f>D40*BA40</f>
        <v>2700</v>
      </c>
      <c r="BC40" s="165">
        <f>12*3*2</f>
        <v>72</v>
      </c>
      <c r="BD40" s="165">
        <f>BC40*D40</f>
        <v>10800</v>
      </c>
      <c r="BE40" s="165">
        <f>6*3*2</f>
        <v>36</v>
      </c>
      <c r="BF40" s="165">
        <f>BE40*D40</f>
        <v>5400</v>
      </c>
      <c r="BG40" s="165">
        <v>0</v>
      </c>
      <c r="BH40" s="165">
        <f>BG40*D40</f>
        <v>0</v>
      </c>
      <c r="BI40" s="161">
        <f t="shared" si="16"/>
        <v>513</v>
      </c>
      <c r="BJ40" s="161">
        <f t="shared" si="16"/>
        <v>76950</v>
      </c>
      <c r="BK40" s="159" t="s">
        <v>216</v>
      </c>
      <c r="BM40" s="174"/>
      <c r="BN40" s="163">
        <f>BJ40</f>
        <v>76950</v>
      </c>
      <c r="BO40" s="174"/>
      <c r="BP40" s="174"/>
      <c r="BQ40" s="163">
        <f t="shared" si="15"/>
        <v>76950</v>
      </c>
      <c r="BR40" s="174"/>
      <c r="BS40" s="174"/>
      <c r="BT40" s="174"/>
      <c r="BU40" s="164">
        <f t="shared" si="2"/>
        <v>76950</v>
      </c>
    </row>
    <row r="41" spans="1:73" ht="15.75">
      <c r="A41" s="150" t="s">
        <v>791</v>
      </c>
      <c r="B41" s="166" t="s">
        <v>471</v>
      </c>
      <c r="C41" s="159" t="s">
        <v>488</v>
      </c>
      <c r="D41" s="135" t="s">
        <v>358</v>
      </c>
      <c r="E41" s="145">
        <f>BI41</f>
        <v>0</v>
      </c>
      <c r="F41" s="165">
        <f>E41*D41</f>
        <v>0</v>
      </c>
      <c r="G41" s="165">
        <f>F41*0.2</f>
        <v>0</v>
      </c>
      <c r="H41" s="165">
        <f>F41*0.8</f>
        <v>0</v>
      </c>
      <c r="I41" s="165"/>
      <c r="J41" s="165"/>
      <c r="K41" s="165"/>
      <c r="L41" s="165"/>
      <c r="M41" s="165"/>
      <c r="N41" s="165"/>
      <c r="O41" s="165"/>
      <c r="P41" s="165"/>
      <c r="Q41" s="173">
        <f>E41*0.25</f>
        <v>0</v>
      </c>
      <c r="R41" s="173">
        <f>E41*0.25</f>
        <v>0</v>
      </c>
      <c r="S41" s="173">
        <f>E41*0.25</f>
        <v>0</v>
      </c>
      <c r="T41" s="173">
        <f>E41*0.25</f>
        <v>0</v>
      </c>
      <c r="U41" s="165">
        <f>Q41*D41</f>
        <v>0</v>
      </c>
      <c r="V41" s="165">
        <f>R41*D41</f>
        <v>0</v>
      </c>
      <c r="W41" s="165">
        <f>S41*D41</f>
        <v>0</v>
      </c>
      <c r="X41" s="165">
        <f>T41*D41</f>
        <v>0</v>
      </c>
      <c r="Y41" s="165">
        <v>0</v>
      </c>
      <c r="Z41" s="165">
        <f>Y41*D41</f>
        <v>0</v>
      </c>
      <c r="AA41" s="165">
        <v>0</v>
      </c>
      <c r="AB41" s="165">
        <f>AA41*D41</f>
        <v>0</v>
      </c>
      <c r="AC41" s="165">
        <v>0</v>
      </c>
      <c r="AD41" s="165">
        <f>AC41*D41</f>
        <v>0</v>
      </c>
      <c r="AE41" s="165">
        <v>0</v>
      </c>
      <c r="AF41" s="165">
        <f>AE41*D41</f>
        <v>0</v>
      </c>
      <c r="AG41" s="165">
        <v>0</v>
      </c>
      <c r="AH41" s="165">
        <f>AG41*D41</f>
        <v>0</v>
      </c>
      <c r="AI41" s="165">
        <v>0</v>
      </c>
      <c r="AJ41" s="165">
        <f>D41*AI41</f>
        <v>0</v>
      </c>
      <c r="AK41" s="165">
        <v>0</v>
      </c>
      <c r="AL41" s="165">
        <f>D41*AK41</f>
        <v>0</v>
      </c>
      <c r="AM41" s="165">
        <v>0</v>
      </c>
      <c r="AN41" s="165">
        <f>D41*AM41</f>
        <v>0</v>
      </c>
      <c r="AO41" s="165">
        <v>0</v>
      </c>
      <c r="AP41" s="165">
        <f>AO41*D41</f>
        <v>0</v>
      </c>
      <c r="AQ41" s="165">
        <v>0</v>
      </c>
      <c r="AR41" s="165">
        <f>AQ41*D41</f>
        <v>0</v>
      </c>
      <c r="AS41" s="165">
        <v>0</v>
      </c>
      <c r="AT41" s="165">
        <f>AS41*D41</f>
        <v>0</v>
      </c>
      <c r="AU41" s="165">
        <v>0</v>
      </c>
      <c r="AV41" s="165">
        <f>AU41*D41</f>
        <v>0</v>
      </c>
      <c r="AW41" s="165">
        <v>0</v>
      </c>
      <c r="AX41" s="165">
        <f>AW41*D41</f>
        <v>0</v>
      </c>
      <c r="AY41" s="165">
        <v>0</v>
      </c>
      <c r="AZ41" s="165">
        <f>AY41*D41</f>
        <v>0</v>
      </c>
      <c r="BA41" s="165">
        <v>0</v>
      </c>
      <c r="BB41" s="165">
        <f>D41*BA41</f>
        <v>0</v>
      </c>
      <c r="BC41" s="165">
        <v>0</v>
      </c>
      <c r="BD41" s="165">
        <f>BC41*D41</f>
        <v>0</v>
      </c>
      <c r="BE41" s="165">
        <v>0</v>
      </c>
      <c r="BF41" s="165">
        <f>BE41*D41</f>
        <v>0</v>
      </c>
      <c r="BG41" s="165">
        <v>0</v>
      </c>
      <c r="BH41" s="165">
        <f>BG41*D41</f>
        <v>0</v>
      </c>
      <c r="BI41" s="161">
        <f t="shared" si="16"/>
        <v>0</v>
      </c>
      <c r="BJ41" s="161">
        <f t="shared" si="16"/>
        <v>0</v>
      </c>
      <c r="BK41" s="159" t="s">
        <v>216</v>
      </c>
      <c r="BM41" s="163"/>
      <c r="BN41" s="163">
        <f>BJ41</f>
        <v>0</v>
      </c>
      <c r="BO41" s="163"/>
      <c r="BP41" s="163"/>
      <c r="BQ41" s="163">
        <f t="shared" si="15"/>
        <v>0</v>
      </c>
      <c r="BR41" s="163"/>
      <c r="BS41" s="163"/>
      <c r="BT41" s="163"/>
      <c r="BU41" s="164">
        <f t="shared" si="2"/>
        <v>0</v>
      </c>
    </row>
    <row r="42" spans="1:73" ht="15.75">
      <c r="A42" s="150"/>
      <c r="B42" s="158" t="s">
        <v>472</v>
      </c>
      <c r="C42" s="159" t="s">
        <v>115</v>
      </c>
      <c r="D42" s="135" t="s">
        <v>115</v>
      </c>
      <c r="E42" s="145">
        <f>SUM(E38:E41)</f>
        <v>717</v>
      </c>
      <c r="F42" s="145">
        <f t="shared" ref="F42:X42" si="17">SUM(F38:F41)</f>
        <v>178950</v>
      </c>
      <c r="G42" s="145">
        <f t="shared" si="17"/>
        <v>35790</v>
      </c>
      <c r="H42" s="145">
        <f t="shared" si="17"/>
        <v>143160</v>
      </c>
      <c r="I42" s="145">
        <f t="shared" si="17"/>
        <v>0</v>
      </c>
      <c r="J42" s="145">
        <f t="shared" si="17"/>
        <v>0</v>
      </c>
      <c r="K42" s="145">
        <f t="shared" si="17"/>
        <v>0</v>
      </c>
      <c r="L42" s="145">
        <f t="shared" si="17"/>
        <v>0</v>
      </c>
      <c r="M42" s="145">
        <f t="shared" si="17"/>
        <v>0</v>
      </c>
      <c r="N42" s="145">
        <f t="shared" si="17"/>
        <v>0</v>
      </c>
      <c r="O42" s="145">
        <f t="shared" si="17"/>
        <v>0</v>
      </c>
      <c r="P42" s="145">
        <f t="shared" si="17"/>
        <v>0</v>
      </c>
      <c r="Q42" s="145">
        <f t="shared" si="17"/>
        <v>179.25</v>
      </c>
      <c r="R42" s="145">
        <f t="shared" si="17"/>
        <v>179.25</v>
      </c>
      <c r="S42" s="145">
        <f t="shared" si="17"/>
        <v>179.25</v>
      </c>
      <c r="T42" s="145">
        <f t="shared" si="17"/>
        <v>179.25</v>
      </c>
      <c r="U42" s="145">
        <f t="shared" si="17"/>
        <v>44737.5</v>
      </c>
      <c r="V42" s="145">
        <f t="shared" si="17"/>
        <v>44737.5</v>
      </c>
      <c r="W42" s="145">
        <f t="shared" si="17"/>
        <v>44737.5</v>
      </c>
      <c r="X42" s="145">
        <f t="shared" si="17"/>
        <v>44737.5</v>
      </c>
      <c r="Y42" s="165">
        <f>SUM(Y37:Y41)</f>
        <v>18</v>
      </c>
      <c r="Z42" s="165">
        <f t="shared" ref="Z42:BU42" si="18">SUM(Z37:Z41)</f>
        <v>2700</v>
      </c>
      <c r="AA42" s="165">
        <f t="shared" si="18"/>
        <v>12</v>
      </c>
      <c r="AB42" s="165">
        <f t="shared" si="18"/>
        <v>1800</v>
      </c>
      <c r="AC42" s="165">
        <f t="shared" si="18"/>
        <v>0</v>
      </c>
      <c r="AD42" s="165">
        <f t="shared" si="18"/>
        <v>0</v>
      </c>
      <c r="AE42" s="165">
        <f t="shared" si="18"/>
        <v>20</v>
      </c>
      <c r="AF42" s="165">
        <f t="shared" si="18"/>
        <v>3000</v>
      </c>
      <c r="AG42" s="165">
        <f t="shared" si="18"/>
        <v>16</v>
      </c>
      <c r="AH42" s="165">
        <f t="shared" si="18"/>
        <v>2400</v>
      </c>
      <c r="AI42" s="165">
        <f t="shared" si="18"/>
        <v>24</v>
      </c>
      <c r="AJ42" s="165">
        <f t="shared" si="18"/>
        <v>3600</v>
      </c>
      <c r="AK42" s="165">
        <f t="shared" si="18"/>
        <v>36</v>
      </c>
      <c r="AL42" s="165">
        <f t="shared" si="18"/>
        <v>5400</v>
      </c>
      <c r="AM42" s="165">
        <f t="shared" si="18"/>
        <v>54</v>
      </c>
      <c r="AN42" s="165">
        <f t="shared" si="18"/>
        <v>8100</v>
      </c>
      <c r="AO42" s="165">
        <f t="shared" si="18"/>
        <v>20</v>
      </c>
      <c r="AP42" s="165">
        <f t="shared" si="18"/>
        <v>3000</v>
      </c>
      <c r="AQ42" s="165">
        <f t="shared" si="18"/>
        <v>36</v>
      </c>
      <c r="AR42" s="165">
        <f t="shared" si="18"/>
        <v>5400</v>
      </c>
      <c r="AS42" s="165">
        <f t="shared" si="18"/>
        <v>36</v>
      </c>
      <c r="AT42" s="165">
        <f t="shared" si="18"/>
        <v>5400</v>
      </c>
      <c r="AU42" s="165">
        <f t="shared" si="18"/>
        <v>25</v>
      </c>
      <c r="AV42" s="165">
        <f t="shared" si="18"/>
        <v>3750</v>
      </c>
      <c r="AW42" s="165">
        <f t="shared" si="18"/>
        <v>36</v>
      </c>
      <c r="AX42" s="165">
        <f t="shared" si="18"/>
        <v>5400</v>
      </c>
      <c r="AY42" s="165">
        <f t="shared" si="18"/>
        <v>54</v>
      </c>
      <c r="AZ42" s="165">
        <f t="shared" si="18"/>
        <v>8100</v>
      </c>
      <c r="BA42" s="165">
        <f t="shared" si="18"/>
        <v>18</v>
      </c>
      <c r="BB42" s="165">
        <f t="shared" si="18"/>
        <v>2700</v>
      </c>
      <c r="BC42" s="165">
        <f t="shared" si="18"/>
        <v>72</v>
      </c>
      <c r="BD42" s="165">
        <f t="shared" si="18"/>
        <v>10800</v>
      </c>
      <c r="BE42" s="165">
        <f t="shared" si="18"/>
        <v>36</v>
      </c>
      <c r="BF42" s="165">
        <f t="shared" si="18"/>
        <v>5400</v>
      </c>
      <c r="BG42" s="165">
        <f t="shared" si="18"/>
        <v>204</v>
      </c>
      <c r="BH42" s="165">
        <f t="shared" si="18"/>
        <v>102000</v>
      </c>
      <c r="BI42" s="165">
        <f t="shared" si="18"/>
        <v>717</v>
      </c>
      <c r="BJ42" s="165">
        <f t="shared" si="18"/>
        <v>178950</v>
      </c>
      <c r="BK42" s="165">
        <f t="shared" si="18"/>
        <v>0</v>
      </c>
      <c r="BL42" s="165">
        <f t="shared" si="18"/>
        <v>0</v>
      </c>
      <c r="BM42" s="165">
        <f t="shared" si="18"/>
        <v>0</v>
      </c>
      <c r="BN42" s="165">
        <f t="shared" si="18"/>
        <v>178950</v>
      </c>
      <c r="BO42" s="165">
        <f t="shared" si="18"/>
        <v>0</v>
      </c>
      <c r="BP42" s="165">
        <f t="shared" si="18"/>
        <v>0</v>
      </c>
      <c r="BQ42" s="165">
        <f t="shared" si="18"/>
        <v>178950</v>
      </c>
      <c r="BR42" s="165">
        <f t="shared" si="18"/>
        <v>0</v>
      </c>
      <c r="BS42" s="165">
        <f t="shared" si="18"/>
        <v>0</v>
      </c>
      <c r="BT42" s="165">
        <f t="shared" si="18"/>
        <v>0</v>
      </c>
      <c r="BU42" s="165">
        <f t="shared" si="18"/>
        <v>178950</v>
      </c>
    </row>
    <row r="43" spans="1:73" ht="15.75">
      <c r="A43" s="150"/>
      <c r="B43" s="158" t="s">
        <v>473</v>
      </c>
      <c r="C43" s="159"/>
      <c r="D43" s="159"/>
      <c r="E43" s="14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73"/>
      <c r="R43" s="173"/>
      <c r="S43" s="173"/>
      <c r="T43" s="173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1"/>
      <c r="BJ43" s="162"/>
      <c r="BK43" s="159"/>
      <c r="BM43" s="163"/>
      <c r="BN43" s="163">
        <f>F43</f>
        <v>0</v>
      </c>
      <c r="BO43" s="163"/>
      <c r="BP43" s="163"/>
      <c r="BQ43" s="163">
        <f t="shared" si="15"/>
        <v>0</v>
      </c>
      <c r="BR43" s="163"/>
      <c r="BS43" s="163"/>
      <c r="BT43" s="163"/>
      <c r="BU43" s="164">
        <f t="shared" si="2"/>
        <v>0</v>
      </c>
    </row>
    <row r="44" spans="1:73" s="23" customFormat="1" ht="15.75">
      <c r="A44" s="150" t="s">
        <v>792</v>
      </c>
      <c r="B44" s="166" t="s">
        <v>471</v>
      </c>
      <c r="C44" s="159" t="s">
        <v>16</v>
      </c>
      <c r="D44" s="135" t="s">
        <v>358</v>
      </c>
      <c r="E44" s="155">
        <f t="shared" ref="E44:E52" si="19">BI44</f>
        <v>0</v>
      </c>
      <c r="F44" s="148">
        <f t="shared" ref="F44:F52" si="20">E44*D44</f>
        <v>0</v>
      </c>
      <c r="G44" s="165">
        <f t="shared" ref="G44:G52" si="21">F44*0.2</f>
        <v>0</v>
      </c>
      <c r="H44" s="165">
        <f t="shared" ref="H44:H52" si="22">F44*0.8</f>
        <v>0</v>
      </c>
      <c r="I44" s="148"/>
      <c r="J44" s="148"/>
      <c r="K44" s="148"/>
      <c r="L44" s="148"/>
      <c r="M44" s="148"/>
      <c r="N44" s="148"/>
      <c r="O44" s="148"/>
      <c r="P44" s="148"/>
      <c r="Q44" s="169">
        <f t="shared" ref="Q44:Q52" si="23">E44*0.25</f>
        <v>0</v>
      </c>
      <c r="R44" s="169">
        <f t="shared" ref="R44:R52" si="24">E44*0.25</f>
        <v>0</v>
      </c>
      <c r="S44" s="169">
        <f t="shared" ref="S44:S52" si="25">E44*0.25</f>
        <v>0</v>
      </c>
      <c r="T44" s="169">
        <f t="shared" ref="T44:T52" si="26">E44*0.25</f>
        <v>0</v>
      </c>
      <c r="U44" s="148">
        <f t="shared" ref="U44:U52" si="27">Q44*D44</f>
        <v>0</v>
      </c>
      <c r="V44" s="148">
        <f t="shared" ref="V44:V52" si="28">R44*D44</f>
        <v>0</v>
      </c>
      <c r="W44" s="148">
        <f t="shared" ref="W44:W52" si="29">S44*D44</f>
        <v>0</v>
      </c>
      <c r="X44" s="148">
        <f t="shared" ref="X44:X52" si="30">T44*D44</f>
        <v>0</v>
      </c>
      <c r="Y44" s="165">
        <v>0</v>
      </c>
      <c r="Z44" s="165">
        <f t="shared" ref="Z44:Z52" si="31">Y44*D44</f>
        <v>0</v>
      </c>
      <c r="AA44" s="165">
        <v>0</v>
      </c>
      <c r="AB44" s="165">
        <f t="shared" ref="AB44:AB52" si="32">AA44*D44</f>
        <v>0</v>
      </c>
      <c r="AC44" s="165">
        <v>0</v>
      </c>
      <c r="AD44" s="165">
        <f t="shared" ref="AD44:AD52" si="33">AC44*D44</f>
        <v>0</v>
      </c>
      <c r="AE44" s="165">
        <v>0</v>
      </c>
      <c r="AF44" s="165">
        <f t="shared" ref="AF44:AF52" si="34">AE44*D44</f>
        <v>0</v>
      </c>
      <c r="AG44" s="165">
        <v>0</v>
      </c>
      <c r="AH44" s="165">
        <f t="shared" ref="AH44:AH52" si="35">AG44*D44</f>
        <v>0</v>
      </c>
      <c r="AI44" s="165">
        <v>0</v>
      </c>
      <c r="AJ44" s="165">
        <f t="shared" ref="AJ44:AJ52" si="36">D44*AI44</f>
        <v>0</v>
      </c>
      <c r="AK44" s="165">
        <v>0</v>
      </c>
      <c r="AL44" s="165">
        <f t="shared" ref="AL44:AL52" si="37">D44*AK44</f>
        <v>0</v>
      </c>
      <c r="AM44" s="165">
        <v>0</v>
      </c>
      <c r="AN44" s="165">
        <f t="shared" ref="AN44:AN52" si="38">D44*AM44</f>
        <v>0</v>
      </c>
      <c r="AO44" s="165">
        <v>0</v>
      </c>
      <c r="AP44" s="165">
        <f t="shared" ref="AP44:AP52" si="39">AO44*D44</f>
        <v>0</v>
      </c>
      <c r="AQ44" s="165">
        <v>0</v>
      </c>
      <c r="AR44" s="165">
        <f t="shared" ref="AR44:AR52" si="40">AQ44*D44</f>
        <v>0</v>
      </c>
      <c r="AS44" s="165">
        <v>0</v>
      </c>
      <c r="AT44" s="165">
        <f t="shared" ref="AT44:AT52" si="41">AS44*D44</f>
        <v>0</v>
      </c>
      <c r="AU44" s="165">
        <v>0</v>
      </c>
      <c r="AV44" s="165">
        <f>AU44*D44</f>
        <v>0</v>
      </c>
      <c r="AW44" s="165">
        <v>0</v>
      </c>
      <c r="AX44" s="165">
        <f>AW44*D44</f>
        <v>0</v>
      </c>
      <c r="AY44" s="165">
        <v>0</v>
      </c>
      <c r="AZ44" s="165">
        <f t="shared" ref="AZ44:AZ52" si="42">AY44*D44</f>
        <v>0</v>
      </c>
      <c r="BA44" s="165">
        <v>0</v>
      </c>
      <c r="BB44" s="165">
        <f t="shared" ref="BB44:BB52" si="43">D44*BA44</f>
        <v>0</v>
      </c>
      <c r="BC44" s="165">
        <v>0</v>
      </c>
      <c r="BD44" s="165">
        <f t="shared" ref="BD44:BD52" si="44">BC44*D44</f>
        <v>0</v>
      </c>
      <c r="BE44" s="165">
        <v>0</v>
      </c>
      <c r="BF44" s="165">
        <f t="shared" ref="BF44:BF52" si="45">BE44*D44</f>
        <v>0</v>
      </c>
      <c r="BG44" s="165">
        <v>0</v>
      </c>
      <c r="BH44" s="165">
        <f t="shared" ref="BH44:BH52" si="46">BG44*D44</f>
        <v>0</v>
      </c>
      <c r="BI44" s="161">
        <f t="shared" ref="BI44:BI46" si="47">BG44+BE44+BC44+BA44+AY44+AW44+AU44+AS44+AQ44+AO44+AM44+AK44+AI44+AG44+AE44+AC44+AA44+Y44</f>
        <v>0</v>
      </c>
      <c r="BJ44" s="161">
        <f t="shared" ref="BJ44:BJ46" si="48">BH44+BF44+BD44+BB44+AZ44+AX44+AV44+AT44+AR44+AP44+AN44+AL44+AJ44+AH44+AF44+AD44+AB44+Z44</f>
        <v>0</v>
      </c>
      <c r="BK44" s="159" t="s">
        <v>216</v>
      </c>
      <c r="BM44" s="148"/>
      <c r="BN44" s="163">
        <f t="shared" ref="BN44:BN52" si="49">BJ44</f>
        <v>0</v>
      </c>
      <c r="BO44" s="163"/>
      <c r="BP44" s="163"/>
      <c r="BQ44" s="163">
        <f t="shared" ref="BQ44:BQ52" si="50">BM44+BN44+BO44+BP44</f>
        <v>0</v>
      </c>
      <c r="BR44" s="163"/>
      <c r="BS44" s="163"/>
      <c r="BT44" s="163"/>
      <c r="BU44" s="164">
        <f t="shared" ref="BU44:BU52" si="51">BQ44+BT44</f>
        <v>0</v>
      </c>
    </row>
    <row r="45" spans="1:73" ht="15.75">
      <c r="A45" s="150" t="s">
        <v>793</v>
      </c>
      <c r="B45" s="166" t="s">
        <v>530</v>
      </c>
      <c r="C45" s="159" t="s">
        <v>531</v>
      </c>
      <c r="D45" s="135">
        <v>100</v>
      </c>
      <c r="E45" s="145">
        <f t="shared" si="19"/>
        <v>0</v>
      </c>
      <c r="F45" s="165">
        <f t="shared" si="20"/>
        <v>0</v>
      </c>
      <c r="G45" s="165">
        <f t="shared" si="21"/>
        <v>0</v>
      </c>
      <c r="H45" s="165">
        <f t="shared" si="22"/>
        <v>0</v>
      </c>
      <c r="I45" s="165"/>
      <c r="J45" s="165"/>
      <c r="K45" s="165"/>
      <c r="L45" s="165"/>
      <c r="M45" s="165"/>
      <c r="N45" s="165"/>
      <c r="O45" s="165"/>
      <c r="P45" s="165"/>
      <c r="Q45" s="173">
        <f t="shared" si="23"/>
        <v>0</v>
      </c>
      <c r="R45" s="173">
        <f t="shared" si="24"/>
        <v>0</v>
      </c>
      <c r="S45" s="173">
        <f t="shared" si="25"/>
        <v>0</v>
      </c>
      <c r="T45" s="173">
        <f t="shared" si="26"/>
        <v>0</v>
      </c>
      <c r="U45" s="161">
        <f t="shared" si="27"/>
        <v>0</v>
      </c>
      <c r="V45" s="161">
        <f t="shared" si="28"/>
        <v>0</v>
      </c>
      <c r="W45" s="161">
        <f t="shared" si="29"/>
        <v>0</v>
      </c>
      <c r="X45" s="161">
        <f t="shared" si="30"/>
        <v>0</v>
      </c>
      <c r="Y45" s="165">
        <v>0</v>
      </c>
      <c r="Z45" s="165">
        <f t="shared" si="31"/>
        <v>0</v>
      </c>
      <c r="AA45" s="165">
        <v>0</v>
      </c>
      <c r="AB45" s="165">
        <f t="shared" si="32"/>
        <v>0</v>
      </c>
      <c r="AC45" s="165">
        <v>0</v>
      </c>
      <c r="AD45" s="165">
        <f t="shared" si="33"/>
        <v>0</v>
      </c>
      <c r="AE45" s="165">
        <v>0</v>
      </c>
      <c r="AF45" s="165">
        <f t="shared" si="34"/>
        <v>0</v>
      </c>
      <c r="AG45" s="165">
        <v>0</v>
      </c>
      <c r="AH45" s="165">
        <f t="shared" si="35"/>
        <v>0</v>
      </c>
      <c r="AI45" s="165">
        <v>0</v>
      </c>
      <c r="AJ45" s="165">
        <f t="shared" si="36"/>
        <v>0</v>
      </c>
      <c r="AK45" s="165">
        <v>0</v>
      </c>
      <c r="AL45" s="165">
        <f t="shared" si="37"/>
        <v>0</v>
      </c>
      <c r="AM45" s="165">
        <v>0</v>
      </c>
      <c r="AN45" s="165">
        <f t="shared" si="38"/>
        <v>0</v>
      </c>
      <c r="AO45" s="165">
        <v>0</v>
      </c>
      <c r="AP45" s="165">
        <f t="shared" si="39"/>
        <v>0</v>
      </c>
      <c r="AQ45" s="165">
        <v>0</v>
      </c>
      <c r="AR45" s="165">
        <f t="shared" si="40"/>
        <v>0</v>
      </c>
      <c r="AS45" s="165">
        <v>0</v>
      </c>
      <c r="AT45" s="165">
        <f t="shared" si="41"/>
        <v>0</v>
      </c>
      <c r="AU45" s="165">
        <v>0</v>
      </c>
      <c r="AV45" s="165">
        <f t="shared" ref="AV45:AV52" si="52">AU45*D45</f>
        <v>0</v>
      </c>
      <c r="AW45" s="165">
        <v>0</v>
      </c>
      <c r="AX45" s="165">
        <f t="shared" ref="AX45:AX52" si="53">AW45*D45</f>
        <v>0</v>
      </c>
      <c r="AY45" s="165">
        <v>0</v>
      </c>
      <c r="AZ45" s="165">
        <f t="shared" si="42"/>
        <v>0</v>
      </c>
      <c r="BA45" s="165">
        <v>0</v>
      </c>
      <c r="BB45" s="165">
        <f t="shared" si="43"/>
        <v>0</v>
      </c>
      <c r="BC45" s="165">
        <v>0</v>
      </c>
      <c r="BD45" s="165">
        <f t="shared" si="44"/>
        <v>0</v>
      </c>
      <c r="BE45" s="165">
        <v>0</v>
      </c>
      <c r="BF45" s="165">
        <f t="shared" si="45"/>
        <v>0</v>
      </c>
      <c r="BG45" s="165">
        <v>0</v>
      </c>
      <c r="BH45" s="165">
        <f t="shared" si="46"/>
        <v>0</v>
      </c>
      <c r="BI45" s="161">
        <f t="shared" si="47"/>
        <v>0</v>
      </c>
      <c r="BJ45" s="161">
        <f t="shared" si="48"/>
        <v>0</v>
      </c>
      <c r="BK45" s="159" t="s">
        <v>216</v>
      </c>
      <c r="BM45" s="163"/>
      <c r="BN45" s="163">
        <f t="shared" si="49"/>
        <v>0</v>
      </c>
      <c r="BO45" s="163"/>
      <c r="BP45" s="163"/>
      <c r="BQ45" s="163">
        <f t="shared" si="50"/>
        <v>0</v>
      </c>
      <c r="BR45" s="163"/>
      <c r="BS45" s="163"/>
      <c r="BT45" s="163"/>
      <c r="BU45" s="164">
        <f t="shared" si="51"/>
        <v>0</v>
      </c>
    </row>
    <row r="46" spans="1:73" ht="31.5">
      <c r="A46" s="150" t="s">
        <v>794</v>
      </c>
      <c r="B46" s="134" t="s">
        <v>694</v>
      </c>
      <c r="C46" s="159"/>
      <c r="D46" s="135">
        <v>100</v>
      </c>
      <c r="E46" s="145">
        <f t="shared" si="19"/>
        <v>1800</v>
      </c>
      <c r="F46" s="165">
        <f t="shared" si="20"/>
        <v>180000</v>
      </c>
      <c r="G46" s="165">
        <f>F46*0.2</f>
        <v>36000</v>
      </c>
      <c r="H46" s="165">
        <f>F46*0.8</f>
        <v>144000</v>
      </c>
      <c r="I46" s="165"/>
      <c r="J46" s="165"/>
      <c r="K46" s="165"/>
      <c r="L46" s="165"/>
      <c r="M46" s="165"/>
      <c r="N46" s="165"/>
      <c r="O46" s="165"/>
      <c r="P46" s="165"/>
      <c r="Q46" s="173">
        <f t="shared" si="23"/>
        <v>450</v>
      </c>
      <c r="R46" s="173">
        <f t="shared" si="24"/>
        <v>450</v>
      </c>
      <c r="S46" s="173">
        <f t="shared" si="25"/>
        <v>450</v>
      </c>
      <c r="T46" s="173">
        <f t="shared" si="26"/>
        <v>450</v>
      </c>
      <c r="U46" s="165">
        <f t="shared" si="27"/>
        <v>45000</v>
      </c>
      <c r="V46" s="165">
        <f t="shared" si="28"/>
        <v>45000</v>
      </c>
      <c r="W46" s="165">
        <f t="shared" si="29"/>
        <v>45000</v>
      </c>
      <c r="X46" s="165">
        <f t="shared" si="30"/>
        <v>45000</v>
      </c>
      <c r="Y46" s="165">
        <v>100</v>
      </c>
      <c r="Z46" s="165">
        <f t="shared" si="31"/>
        <v>10000</v>
      </c>
      <c r="AA46" s="165">
        <v>60</v>
      </c>
      <c r="AB46" s="165">
        <f t="shared" si="32"/>
        <v>6000</v>
      </c>
      <c r="AC46" s="165">
        <v>100</v>
      </c>
      <c r="AD46" s="165">
        <f t="shared" si="33"/>
        <v>10000</v>
      </c>
      <c r="AE46" s="165">
        <v>120</v>
      </c>
      <c r="AF46" s="165">
        <f t="shared" si="34"/>
        <v>12000</v>
      </c>
      <c r="AG46" s="165">
        <v>100</v>
      </c>
      <c r="AH46" s="165">
        <f t="shared" si="35"/>
        <v>10000</v>
      </c>
      <c r="AI46" s="165">
        <v>100</v>
      </c>
      <c r="AJ46" s="165">
        <f t="shared" si="36"/>
        <v>10000</v>
      </c>
      <c r="AK46" s="165">
        <v>120</v>
      </c>
      <c r="AL46" s="165">
        <f t="shared" si="37"/>
        <v>12000</v>
      </c>
      <c r="AM46" s="165">
        <v>200</v>
      </c>
      <c r="AN46" s="165">
        <f t="shared" si="38"/>
        <v>20000</v>
      </c>
      <c r="AO46" s="165">
        <v>80</v>
      </c>
      <c r="AP46" s="165">
        <f t="shared" si="39"/>
        <v>8000</v>
      </c>
      <c r="AQ46" s="165">
        <v>100</v>
      </c>
      <c r="AR46" s="165">
        <f t="shared" si="40"/>
        <v>10000</v>
      </c>
      <c r="AS46" s="165">
        <v>100</v>
      </c>
      <c r="AT46" s="165">
        <f t="shared" si="41"/>
        <v>10000</v>
      </c>
      <c r="AU46" s="165">
        <v>100</v>
      </c>
      <c r="AV46" s="165">
        <f t="shared" si="52"/>
        <v>10000</v>
      </c>
      <c r="AW46" s="165">
        <v>150</v>
      </c>
      <c r="AX46" s="165">
        <f t="shared" si="53"/>
        <v>15000</v>
      </c>
      <c r="AY46" s="165">
        <v>150</v>
      </c>
      <c r="AZ46" s="165">
        <f t="shared" si="42"/>
        <v>15000</v>
      </c>
      <c r="BA46" s="497">
        <v>0</v>
      </c>
      <c r="BB46" s="497">
        <f t="shared" si="43"/>
        <v>0</v>
      </c>
      <c r="BC46" s="165">
        <v>120</v>
      </c>
      <c r="BD46" s="165">
        <f t="shared" si="44"/>
        <v>12000</v>
      </c>
      <c r="BE46" s="165">
        <v>100</v>
      </c>
      <c r="BF46" s="165">
        <f t="shared" si="45"/>
        <v>10000</v>
      </c>
      <c r="BG46" s="165">
        <v>0</v>
      </c>
      <c r="BH46" s="165">
        <f t="shared" si="46"/>
        <v>0</v>
      </c>
      <c r="BI46" s="161">
        <f t="shared" si="47"/>
        <v>1800</v>
      </c>
      <c r="BJ46" s="161">
        <f t="shared" si="48"/>
        <v>180000</v>
      </c>
      <c r="BK46" s="159"/>
      <c r="BM46" s="163">
        <v>0</v>
      </c>
      <c r="BN46" s="163">
        <f t="shared" si="49"/>
        <v>180000</v>
      </c>
      <c r="BO46" s="163"/>
      <c r="BP46" s="163"/>
      <c r="BQ46" s="163">
        <f t="shared" si="50"/>
        <v>180000</v>
      </c>
      <c r="BR46" s="163"/>
      <c r="BS46" s="163"/>
      <c r="BT46" s="163"/>
      <c r="BU46" s="164">
        <f t="shared" si="51"/>
        <v>180000</v>
      </c>
    </row>
    <row r="47" spans="1:73" ht="47.25">
      <c r="A47" s="150" t="s">
        <v>795</v>
      </c>
      <c r="B47" s="134" t="s">
        <v>695</v>
      </c>
      <c r="C47" s="159" t="s">
        <v>16</v>
      </c>
      <c r="D47" s="135">
        <v>15000</v>
      </c>
      <c r="E47" s="145">
        <f t="shared" si="19"/>
        <v>34</v>
      </c>
      <c r="F47" s="165">
        <f t="shared" si="20"/>
        <v>510000</v>
      </c>
      <c r="G47" s="165">
        <f>F47*0.2</f>
        <v>102000</v>
      </c>
      <c r="H47" s="165">
        <f>F47*0.8</f>
        <v>408000</v>
      </c>
      <c r="I47" s="165"/>
      <c r="J47" s="165"/>
      <c r="K47" s="165"/>
      <c r="L47" s="165"/>
      <c r="M47" s="165"/>
      <c r="N47" s="165"/>
      <c r="O47" s="165"/>
      <c r="P47" s="165"/>
      <c r="Q47" s="173"/>
      <c r="R47" s="173"/>
      <c r="S47" s="173"/>
      <c r="T47" s="173"/>
      <c r="U47" s="165"/>
      <c r="V47" s="165"/>
      <c r="W47" s="165"/>
      <c r="X47" s="165"/>
      <c r="Y47" s="165">
        <v>2</v>
      </c>
      <c r="Z47" s="165">
        <f t="shared" si="31"/>
        <v>30000</v>
      </c>
      <c r="AA47" s="165">
        <v>2</v>
      </c>
      <c r="AB47" s="165">
        <f t="shared" si="32"/>
        <v>30000</v>
      </c>
      <c r="AC47" s="165">
        <v>2</v>
      </c>
      <c r="AD47" s="165">
        <f t="shared" si="33"/>
        <v>30000</v>
      </c>
      <c r="AE47" s="165">
        <v>2</v>
      </c>
      <c r="AF47" s="165">
        <f t="shared" si="34"/>
        <v>30000</v>
      </c>
      <c r="AG47" s="165">
        <v>2</v>
      </c>
      <c r="AH47" s="165">
        <f t="shared" si="35"/>
        <v>30000</v>
      </c>
      <c r="AI47" s="165">
        <v>2</v>
      </c>
      <c r="AJ47" s="165">
        <f t="shared" si="36"/>
        <v>30000</v>
      </c>
      <c r="AK47" s="165">
        <v>2</v>
      </c>
      <c r="AL47" s="165">
        <f t="shared" si="37"/>
        <v>30000</v>
      </c>
      <c r="AM47" s="165">
        <v>2</v>
      </c>
      <c r="AN47" s="165">
        <f t="shared" si="38"/>
        <v>30000</v>
      </c>
      <c r="AO47" s="165">
        <v>2</v>
      </c>
      <c r="AP47" s="165">
        <f t="shared" si="39"/>
        <v>30000</v>
      </c>
      <c r="AQ47" s="165">
        <v>2</v>
      </c>
      <c r="AR47" s="165">
        <f t="shared" si="40"/>
        <v>30000</v>
      </c>
      <c r="AS47" s="165">
        <v>2</v>
      </c>
      <c r="AT47" s="165">
        <f t="shared" si="41"/>
        <v>30000</v>
      </c>
      <c r="AU47" s="165">
        <v>2</v>
      </c>
      <c r="AV47" s="165">
        <f t="shared" si="52"/>
        <v>30000</v>
      </c>
      <c r="AW47" s="165">
        <v>2</v>
      </c>
      <c r="AX47" s="165">
        <f t="shared" si="53"/>
        <v>30000</v>
      </c>
      <c r="AY47" s="165">
        <v>2</v>
      </c>
      <c r="AZ47" s="165">
        <f t="shared" si="42"/>
        <v>30000</v>
      </c>
      <c r="BA47" s="165">
        <v>2</v>
      </c>
      <c r="BB47" s="165">
        <f t="shared" si="43"/>
        <v>30000</v>
      </c>
      <c r="BC47" s="165">
        <v>2</v>
      </c>
      <c r="BD47" s="165">
        <f t="shared" si="44"/>
        <v>30000</v>
      </c>
      <c r="BE47" s="165">
        <v>2</v>
      </c>
      <c r="BF47" s="165">
        <f t="shared" si="45"/>
        <v>30000</v>
      </c>
      <c r="BG47" s="165"/>
      <c r="BH47" s="165"/>
      <c r="BI47" s="161">
        <f t="shared" ref="BI47:BI53" si="54">BG47+BE47+BC47+BA47+AY47+AW47+AU47+AS47+AQ47+AO47+AM47+AK47+AI47+AG47+AE47+AC47+AA47+Y47</f>
        <v>34</v>
      </c>
      <c r="BJ47" s="161">
        <f t="shared" ref="BJ47:BJ53" si="55">BH47+BF47+BD47+BB47+AZ47+AX47+AV47+AT47+AR47+AP47+AN47+AL47+AJ47+AH47+AF47+AD47+AB47+Z47</f>
        <v>510000</v>
      </c>
      <c r="BK47" s="159"/>
      <c r="BM47" s="163"/>
      <c r="BN47" s="163"/>
      <c r="BO47" s="163"/>
      <c r="BP47" s="163"/>
      <c r="BQ47" s="163"/>
      <c r="BR47" s="163"/>
      <c r="BS47" s="163"/>
      <c r="BT47" s="163"/>
      <c r="BU47" s="164"/>
    </row>
    <row r="48" spans="1:73" ht="15.75">
      <c r="A48" s="150" t="s">
        <v>796</v>
      </c>
      <c r="B48" s="166" t="s">
        <v>474</v>
      </c>
      <c r="C48" s="159" t="s">
        <v>531</v>
      </c>
      <c r="D48" s="135">
        <v>100</v>
      </c>
      <c r="E48" s="145">
        <f t="shared" si="19"/>
        <v>0</v>
      </c>
      <c r="F48" s="165">
        <f t="shared" si="20"/>
        <v>0</v>
      </c>
      <c r="G48" s="165">
        <f t="shared" si="21"/>
        <v>0</v>
      </c>
      <c r="H48" s="165">
        <f t="shared" si="22"/>
        <v>0</v>
      </c>
      <c r="I48" s="165"/>
      <c r="J48" s="165"/>
      <c r="K48" s="165"/>
      <c r="L48" s="165"/>
      <c r="M48" s="165"/>
      <c r="N48" s="165"/>
      <c r="O48" s="165"/>
      <c r="P48" s="165"/>
      <c r="Q48" s="173">
        <f t="shared" si="23"/>
        <v>0</v>
      </c>
      <c r="R48" s="173">
        <f t="shared" si="24"/>
        <v>0</v>
      </c>
      <c r="S48" s="175">
        <f t="shared" si="25"/>
        <v>0</v>
      </c>
      <c r="T48" s="175">
        <f t="shared" si="26"/>
        <v>0</v>
      </c>
      <c r="U48" s="165">
        <f t="shared" si="27"/>
        <v>0</v>
      </c>
      <c r="V48" s="165">
        <f t="shared" si="28"/>
        <v>0</v>
      </c>
      <c r="W48" s="165">
        <f t="shared" si="29"/>
        <v>0</v>
      </c>
      <c r="X48" s="165">
        <f t="shared" si="30"/>
        <v>0</v>
      </c>
      <c r="Y48" s="165">
        <v>0</v>
      </c>
      <c r="Z48" s="165">
        <f t="shared" si="31"/>
        <v>0</v>
      </c>
      <c r="AA48" s="165">
        <v>0</v>
      </c>
      <c r="AB48" s="165">
        <f t="shared" si="32"/>
        <v>0</v>
      </c>
      <c r="AC48" s="165">
        <v>0</v>
      </c>
      <c r="AD48" s="165">
        <f t="shared" si="33"/>
        <v>0</v>
      </c>
      <c r="AE48" s="165">
        <v>0</v>
      </c>
      <c r="AF48" s="165">
        <f t="shared" si="34"/>
        <v>0</v>
      </c>
      <c r="AG48" s="165">
        <v>0</v>
      </c>
      <c r="AH48" s="165">
        <f t="shared" si="35"/>
        <v>0</v>
      </c>
      <c r="AI48" s="165">
        <v>0</v>
      </c>
      <c r="AJ48" s="165">
        <f t="shared" si="36"/>
        <v>0</v>
      </c>
      <c r="AK48" s="165">
        <v>0</v>
      </c>
      <c r="AL48" s="165">
        <f t="shared" si="37"/>
        <v>0</v>
      </c>
      <c r="AM48" s="165">
        <v>0</v>
      </c>
      <c r="AN48" s="165">
        <f t="shared" si="38"/>
        <v>0</v>
      </c>
      <c r="AO48" s="165">
        <v>0</v>
      </c>
      <c r="AP48" s="165">
        <f t="shared" si="39"/>
        <v>0</v>
      </c>
      <c r="AQ48" s="165">
        <v>0</v>
      </c>
      <c r="AR48" s="165">
        <f t="shared" si="40"/>
        <v>0</v>
      </c>
      <c r="AS48" s="165">
        <v>0</v>
      </c>
      <c r="AT48" s="165">
        <f t="shared" si="41"/>
        <v>0</v>
      </c>
      <c r="AU48" s="165">
        <v>0</v>
      </c>
      <c r="AV48" s="165">
        <f t="shared" si="52"/>
        <v>0</v>
      </c>
      <c r="AW48" s="165">
        <v>0</v>
      </c>
      <c r="AX48" s="165">
        <f t="shared" si="53"/>
        <v>0</v>
      </c>
      <c r="AY48" s="165">
        <v>0</v>
      </c>
      <c r="AZ48" s="165">
        <f t="shared" si="42"/>
        <v>0</v>
      </c>
      <c r="BA48" s="165">
        <v>0</v>
      </c>
      <c r="BB48" s="165">
        <f t="shared" si="43"/>
        <v>0</v>
      </c>
      <c r="BC48" s="165">
        <v>0</v>
      </c>
      <c r="BD48" s="165">
        <f t="shared" si="44"/>
        <v>0</v>
      </c>
      <c r="BE48" s="165">
        <v>0</v>
      </c>
      <c r="BF48" s="165">
        <f t="shared" si="45"/>
        <v>0</v>
      </c>
      <c r="BG48" s="165">
        <v>0</v>
      </c>
      <c r="BH48" s="165">
        <f t="shared" si="46"/>
        <v>0</v>
      </c>
      <c r="BI48" s="161">
        <f t="shared" si="54"/>
        <v>0</v>
      </c>
      <c r="BJ48" s="161">
        <f t="shared" si="55"/>
        <v>0</v>
      </c>
      <c r="BK48" s="159" t="s">
        <v>216</v>
      </c>
      <c r="BM48" s="163">
        <v>0</v>
      </c>
      <c r="BN48" s="163">
        <f t="shared" si="49"/>
        <v>0</v>
      </c>
      <c r="BO48" s="163"/>
      <c r="BP48" s="163"/>
      <c r="BQ48" s="163">
        <f t="shared" si="50"/>
        <v>0</v>
      </c>
      <c r="BR48" s="163"/>
      <c r="BS48" s="163"/>
      <c r="BT48" s="163"/>
      <c r="BU48" s="164">
        <f t="shared" si="51"/>
        <v>0</v>
      </c>
    </row>
    <row r="49" spans="1:73" ht="15.75">
      <c r="A49" s="150" t="s">
        <v>797</v>
      </c>
      <c r="B49" s="166" t="s">
        <v>475</v>
      </c>
      <c r="C49" s="159" t="s">
        <v>531</v>
      </c>
      <c r="D49" s="135">
        <v>100</v>
      </c>
      <c r="E49" s="145">
        <f t="shared" si="19"/>
        <v>0</v>
      </c>
      <c r="F49" s="165">
        <f t="shared" si="20"/>
        <v>0</v>
      </c>
      <c r="G49" s="165">
        <f t="shared" si="21"/>
        <v>0</v>
      </c>
      <c r="H49" s="165">
        <f t="shared" si="22"/>
        <v>0</v>
      </c>
      <c r="I49" s="165"/>
      <c r="J49" s="165"/>
      <c r="K49" s="165"/>
      <c r="L49" s="165"/>
      <c r="M49" s="165"/>
      <c r="N49" s="165"/>
      <c r="O49" s="165"/>
      <c r="P49" s="165"/>
      <c r="Q49" s="173">
        <f t="shared" si="23"/>
        <v>0</v>
      </c>
      <c r="R49" s="173">
        <f t="shared" si="24"/>
        <v>0</v>
      </c>
      <c r="S49" s="175">
        <f t="shared" si="25"/>
        <v>0</v>
      </c>
      <c r="T49" s="175">
        <f t="shared" si="26"/>
        <v>0</v>
      </c>
      <c r="U49" s="165">
        <f t="shared" si="27"/>
        <v>0</v>
      </c>
      <c r="V49" s="165">
        <f t="shared" si="28"/>
        <v>0</v>
      </c>
      <c r="W49" s="165">
        <f t="shared" si="29"/>
        <v>0</v>
      </c>
      <c r="X49" s="165">
        <f t="shared" si="30"/>
        <v>0</v>
      </c>
      <c r="Y49" s="165">
        <v>0</v>
      </c>
      <c r="Z49" s="165">
        <f t="shared" si="31"/>
        <v>0</v>
      </c>
      <c r="AA49" s="165">
        <v>0</v>
      </c>
      <c r="AB49" s="165">
        <f t="shared" si="32"/>
        <v>0</v>
      </c>
      <c r="AC49" s="165">
        <v>0</v>
      </c>
      <c r="AD49" s="165">
        <f t="shared" si="33"/>
        <v>0</v>
      </c>
      <c r="AE49" s="165">
        <v>0</v>
      </c>
      <c r="AF49" s="165">
        <f t="shared" si="34"/>
        <v>0</v>
      </c>
      <c r="AG49" s="165">
        <v>0</v>
      </c>
      <c r="AH49" s="165">
        <f t="shared" si="35"/>
        <v>0</v>
      </c>
      <c r="AI49" s="165">
        <v>0</v>
      </c>
      <c r="AJ49" s="165">
        <f t="shared" si="36"/>
        <v>0</v>
      </c>
      <c r="AK49" s="165">
        <v>0</v>
      </c>
      <c r="AL49" s="165">
        <f t="shared" si="37"/>
        <v>0</v>
      </c>
      <c r="AM49" s="165">
        <v>0</v>
      </c>
      <c r="AN49" s="165">
        <f t="shared" si="38"/>
        <v>0</v>
      </c>
      <c r="AO49" s="165">
        <v>0</v>
      </c>
      <c r="AP49" s="165">
        <f t="shared" si="39"/>
        <v>0</v>
      </c>
      <c r="AQ49" s="165">
        <v>0</v>
      </c>
      <c r="AR49" s="165">
        <f t="shared" si="40"/>
        <v>0</v>
      </c>
      <c r="AS49" s="165">
        <v>0</v>
      </c>
      <c r="AT49" s="165">
        <f t="shared" si="41"/>
        <v>0</v>
      </c>
      <c r="AU49" s="165">
        <v>0</v>
      </c>
      <c r="AV49" s="165">
        <f t="shared" si="52"/>
        <v>0</v>
      </c>
      <c r="AW49" s="165">
        <v>0</v>
      </c>
      <c r="AX49" s="165">
        <f t="shared" si="53"/>
        <v>0</v>
      </c>
      <c r="AY49" s="165">
        <v>0</v>
      </c>
      <c r="AZ49" s="165">
        <f t="shared" si="42"/>
        <v>0</v>
      </c>
      <c r="BA49" s="165">
        <v>0</v>
      </c>
      <c r="BB49" s="165">
        <f t="shared" si="43"/>
        <v>0</v>
      </c>
      <c r="BC49" s="165">
        <v>0</v>
      </c>
      <c r="BD49" s="165">
        <f t="shared" si="44"/>
        <v>0</v>
      </c>
      <c r="BE49" s="165">
        <v>0</v>
      </c>
      <c r="BF49" s="165">
        <f t="shared" si="45"/>
        <v>0</v>
      </c>
      <c r="BG49" s="165">
        <v>0</v>
      </c>
      <c r="BH49" s="165">
        <f t="shared" si="46"/>
        <v>0</v>
      </c>
      <c r="BI49" s="161">
        <f t="shared" si="54"/>
        <v>0</v>
      </c>
      <c r="BJ49" s="161">
        <f t="shared" si="55"/>
        <v>0</v>
      </c>
      <c r="BK49" s="159" t="s">
        <v>216</v>
      </c>
      <c r="BM49" s="163">
        <v>0</v>
      </c>
      <c r="BN49" s="163">
        <f t="shared" si="49"/>
        <v>0</v>
      </c>
      <c r="BO49" s="163"/>
      <c r="BP49" s="163"/>
      <c r="BQ49" s="163">
        <f t="shared" si="50"/>
        <v>0</v>
      </c>
      <c r="BR49" s="163"/>
      <c r="BS49" s="163"/>
      <c r="BT49" s="163"/>
      <c r="BU49" s="164">
        <f t="shared" si="51"/>
        <v>0</v>
      </c>
    </row>
    <row r="50" spans="1:73" ht="36" customHeight="1">
      <c r="A50" s="150" t="s">
        <v>798</v>
      </c>
      <c r="B50" s="134" t="s">
        <v>657</v>
      </c>
      <c r="C50" s="159" t="s">
        <v>531</v>
      </c>
      <c r="D50" s="135">
        <v>700</v>
      </c>
      <c r="E50" s="145">
        <f t="shared" si="19"/>
        <v>1140</v>
      </c>
      <c r="F50" s="165">
        <f t="shared" si="20"/>
        <v>798000</v>
      </c>
      <c r="G50" s="165">
        <f t="shared" si="21"/>
        <v>159600</v>
      </c>
      <c r="H50" s="165">
        <f t="shared" si="22"/>
        <v>638400</v>
      </c>
      <c r="I50" s="165"/>
      <c r="J50" s="165"/>
      <c r="K50" s="165"/>
      <c r="L50" s="165"/>
      <c r="M50" s="165"/>
      <c r="N50" s="165"/>
      <c r="O50" s="165"/>
      <c r="P50" s="165"/>
      <c r="Q50" s="175">
        <f t="shared" si="23"/>
        <v>285</v>
      </c>
      <c r="R50" s="175">
        <f t="shared" si="24"/>
        <v>285</v>
      </c>
      <c r="S50" s="175">
        <f t="shared" si="25"/>
        <v>285</v>
      </c>
      <c r="T50" s="175">
        <f t="shared" si="26"/>
        <v>285</v>
      </c>
      <c r="U50" s="165">
        <f t="shared" si="27"/>
        <v>199500</v>
      </c>
      <c r="V50" s="165">
        <f t="shared" si="28"/>
        <v>199500</v>
      </c>
      <c r="W50" s="165">
        <f t="shared" si="29"/>
        <v>199500</v>
      </c>
      <c r="X50" s="165">
        <f t="shared" si="30"/>
        <v>199500</v>
      </c>
      <c r="Y50" s="165">
        <f>3*6*3</f>
        <v>54</v>
      </c>
      <c r="Z50" s="165">
        <f t="shared" si="31"/>
        <v>37800</v>
      </c>
      <c r="AA50" s="165">
        <f>3*6*3</f>
        <v>54</v>
      </c>
      <c r="AB50" s="165">
        <f>AA50*D50</f>
        <v>37800</v>
      </c>
      <c r="AC50" s="165">
        <f>58*3*2</f>
        <v>348</v>
      </c>
      <c r="AD50" s="165">
        <f t="shared" si="33"/>
        <v>243600</v>
      </c>
      <c r="AE50" s="165">
        <f>5*6*3</f>
        <v>90</v>
      </c>
      <c r="AF50" s="165">
        <f t="shared" si="34"/>
        <v>63000</v>
      </c>
      <c r="AG50" s="165">
        <f>2*6*2</f>
        <v>24</v>
      </c>
      <c r="AH50" s="165">
        <f t="shared" si="35"/>
        <v>16800</v>
      </c>
      <c r="AI50" s="165">
        <f>4*6*2</f>
        <v>48</v>
      </c>
      <c r="AJ50" s="165">
        <f>D50*AI50</f>
        <v>33600</v>
      </c>
      <c r="AK50" s="165">
        <f>6*3*2</f>
        <v>36</v>
      </c>
      <c r="AL50" s="165">
        <f>D50*AK50</f>
        <v>25200</v>
      </c>
      <c r="AM50" s="165">
        <f>9*5*2</f>
        <v>90</v>
      </c>
      <c r="AN50" s="165">
        <f>D50*AM50</f>
        <v>63000</v>
      </c>
      <c r="AO50" s="165">
        <f>3*3*2</f>
        <v>18</v>
      </c>
      <c r="AP50" s="165">
        <f t="shared" si="39"/>
        <v>12600</v>
      </c>
      <c r="AQ50" s="165">
        <f>3*6*2</f>
        <v>36</v>
      </c>
      <c r="AR50" s="165">
        <f t="shared" si="40"/>
        <v>25200</v>
      </c>
      <c r="AS50" s="165">
        <f>6*5*2</f>
        <v>60</v>
      </c>
      <c r="AT50" s="165">
        <f t="shared" si="41"/>
        <v>42000</v>
      </c>
      <c r="AU50" s="165">
        <f>5*3*2</f>
        <v>30</v>
      </c>
      <c r="AV50" s="165">
        <f>AU50*D50</f>
        <v>21000</v>
      </c>
      <c r="AW50" s="165">
        <f>9*3*2</f>
        <v>54</v>
      </c>
      <c r="AX50" s="165">
        <f>AW50*D50</f>
        <v>37800</v>
      </c>
      <c r="AY50" s="165">
        <f>9*3*2</f>
        <v>54</v>
      </c>
      <c r="AZ50" s="165">
        <f t="shared" si="42"/>
        <v>37800</v>
      </c>
      <c r="BA50" s="165">
        <f>3*6*2</f>
        <v>36</v>
      </c>
      <c r="BB50" s="165">
        <f>D50*BA50</f>
        <v>25200</v>
      </c>
      <c r="BC50" s="165">
        <f>12*6</f>
        <v>72</v>
      </c>
      <c r="BD50" s="165">
        <f t="shared" si="44"/>
        <v>50400</v>
      </c>
      <c r="BE50" s="165">
        <f>6*3*2</f>
        <v>36</v>
      </c>
      <c r="BF50" s="165">
        <f t="shared" si="45"/>
        <v>25200</v>
      </c>
      <c r="BG50" s="165">
        <v>0</v>
      </c>
      <c r="BH50" s="165">
        <f t="shared" si="46"/>
        <v>0</v>
      </c>
      <c r="BI50" s="161">
        <f t="shared" si="54"/>
        <v>1140</v>
      </c>
      <c r="BJ50" s="161">
        <f t="shared" si="55"/>
        <v>798000</v>
      </c>
      <c r="BK50" s="159" t="s">
        <v>216</v>
      </c>
      <c r="BM50" s="163">
        <v>0</v>
      </c>
      <c r="BN50" s="163">
        <f t="shared" si="49"/>
        <v>798000</v>
      </c>
      <c r="BO50" s="163"/>
      <c r="BP50" s="163"/>
      <c r="BQ50" s="163">
        <f t="shared" si="50"/>
        <v>798000</v>
      </c>
      <c r="BR50" s="163"/>
      <c r="BS50" s="163"/>
      <c r="BT50" s="163"/>
      <c r="BU50" s="164">
        <f t="shared" si="51"/>
        <v>798000</v>
      </c>
    </row>
    <row r="51" spans="1:73" ht="18" customHeight="1">
      <c r="A51" s="150" t="s">
        <v>799</v>
      </c>
      <c r="B51" s="166" t="s">
        <v>532</v>
      </c>
      <c r="C51" s="159" t="s">
        <v>531</v>
      </c>
      <c r="D51" s="135">
        <v>100</v>
      </c>
      <c r="E51" s="145">
        <f t="shared" si="19"/>
        <v>0</v>
      </c>
      <c r="F51" s="165">
        <f t="shared" si="20"/>
        <v>0</v>
      </c>
      <c r="G51" s="165">
        <f t="shared" si="21"/>
        <v>0</v>
      </c>
      <c r="H51" s="165">
        <f t="shared" si="22"/>
        <v>0</v>
      </c>
      <c r="I51" s="165"/>
      <c r="J51" s="165"/>
      <c r="K51" s="165"/>
      <c r="L51" s="165"/>
      <c r="M51" s="165"/>
      <c r="N51" s="165"/>
      <c r="O51" s="165"/>
      <c r="P51" s="165"/>
      <c r="Q51" s="173">
        <f t="shared" si="23"/>
        <v>0</v>
      </c>
      <c r="R51" s="173">
        <f t="shared" si="24"/>
        <v>0</v>
      </c>
      <c r="S51" s="173">
        <f t="shared" si="25"/>
        <v>0</v>
      </c>
      <c r="T51" s="173">
        <f t="shared" si="26"/>
        <v>0</v>
      </c>
      <c r="U51" s="165">
        <f t="shared" si="27"/>
        <v>0</v>
      </c>
      <c r="V51" s="165">
        <f t="shared" si="28"/>
        <v>0</v>
      </c>
      <c r="W51" s="165">
        <f t="shared" si="29"/>
        <v>0</v>
      </c>
      <c r="X51" s="165">
        <f t="shared" si="30"/>
        <v>0</v>
      </c>
      <c r="Y51" s="165">
        <v>0</v>
      </c>
      <c r="Z51" s="165">
        <f t="shared" si="31"/>
        <v>0</v>
      </c>
      <c r="AA51" s="165">
        <v>0</v>
      </c>
      <c r="AB51" s="165">
        <f t="shared" si="32"/>
        <v>0</v>
      </c>
      <c r="AC51" s="165">
        <v>0</v>
      </c>
      <c r="AD51" s="165">
        <f t="shared" si="33"/>
        <v>0</v>
      </c>
      <c r="AE51" s="165">
        <v>0</v>
      </c>
      <c r="AF51" s="165">
        <f t="shared" si="34"/>
        <v>0</v>
      </c>
      <c r="AG51" s="165">
        <v>0</v>
      </c>
      <c r="AH51" s="165">
        <f t="shared" si="35"/>
        <v>0</v>
      </c>
      <c r="AI51" s="165">
        <v>0</v>
      </c>
      <c r="AJ51" s="165">
        <f t="shared" si="36"/>
        <v>0</v>
      </c>
      <c r="AK51" s="165">
        <v>0</v>
      </c>
      <c r="AL51" s="165">
        <f t="shared" si="37"/>
        <v>0</v>
      </c>
      <c r="AM51" s="165">
        <v>0</v>
      </c>
      <c r="AN51" s="165">
        <f t="shared" si="38"/>
        <v>0</v>
      </c>
      <c r="AO51" s="165">
        <v>0</v>
      </c>
      <c r="AP51" s="165">
        <f t="shared" si="39"/>
        <v>0</v>
      </c>
      <c r="AQ51" s="165">
        <v>0</v>
      </c>
      <c r="AR51" s="165">
        <f t="shared" si="40"/>
        <v>0</v>
      </c>
      <c r="AS51" s="165">
        <v>0</v>
      </c>
      <c r="AT51" s="165">
        <f t="shared" si="41"/>
        <v>0</v>
      </c>
      <c r="AU51" s="165">
        <v>0</v>
      </c>
      <c r="AV51" s="165">
        <f t="shared" si="52"/>
        <v>0</v>
      </c>
      <c r="AW51" s="165">
        <v>0</v>
      </c>
      <c r="AX51" s="165">
        <f t="shared" si="53"/>
        <v>0</v>
      </c>
      <c r="AY51" s="165">
        <v>0</v>
      </c>
      <c r="AZ51" s="165">
        <f t="shared" si="42"/>
        <v>0</v>
      </c>
      <c r="BA51" s="165">
        <v>0</v>
      </c>
      <c r="BB51" s="165">
        <f t="shared" si="43"/>
        <v>0</v>
      </c>
      <c r="BC51" s="165">
        <v>0</v>
      </c>
      <c r="BD51" s="165">
        <f t="shared" si="44"/>
        <v>0</v>
      </c>
      <c r="BE51" s="165">
        <v>0</v>
      </c>
      <c r="BF51" s="165">
        <f t="shared" si="45"/>
        <v>0</v>
      </c>
      <c r="BG51" s="165">
        <v>0</v>
      </c>
      <c r="BH51" s="165">
        <f t="shared" si="46"/>
        <v>0</v>
      </c>
      <c r="BI51" s="161">
        <f t="shared" si="54"/>
        <v>0</v>
      </c>
      <c r="BJ51" s="161">
        <f t="shared" si="55"/>
        <v>0</v>
      </c>
      <c r="BK51" s="159" t="s">
        <v>216</v>
      </c>
      <c r="BM51" s="163"/>
      <c r="BN51" s="163">
        <f t="shared" si="49"/>
        <v>0</v>
      </c>
      <c r="BO51" s="163"/>
      <c r="BP51" s="163"/>
      <c r="BQ51" s="163">
        <f t="shared" si="50"/>
        <v>0</v>
      </c>
      <c r="BR51" s="163"/>
      <c r="BS51" s="163"/>
      <c r="BT51" s="163"/>
      <c r="BU51" s="164">
        <f t="shared" si="51"/>
        <v>0</v>
      </c>
    </row>
    <row r="52" spans="1:73" s="23" customFormat="1" ht="31.5">
      <c r="A52" s="150" t="s">
        <v>800</v>
      </c>
      <c r="B52" s="134" t="s">
        <v>658</v>
      </c>
      <c r="C52" s="159" t="s">
        <v>531</v>
      </c>
      <c r="D52" s="135">
        <v>500</v>
      </c>
      <c r="E52" s="155">
        <f t="shared" si="19"/>
        <v>1446</v>
      </c>
      <c r="F52" s="148">
        <f t="shared" si="20"/>
        <v>723000</v>
      </c>
      <c r="G52" s="165">
        <f t="shared" si="21"/>
        <v>144600</v>
      </c>
      <c r="H52" s="165">
        <f t="shared" si="22"/>
        <v>578400</v>
      </c>
      <c r="I52" s="148"/>
      <c r="J52" s="148"/>
      <c r="K52" s="148"/>
      <c r="L52" s="148"/>
      <c r="M52" s="148"/>
      <c r="N52" s="148"/>
      <c r="O52" s="148"/>
      <c r="P52" s="148"/>
      <c r="Q52" s="161">
        <f t="shared" si="23"/>
        <v>361.5</v>
      </c>
      <c r="R52" s="161">
        <f t="shared" si="24"/>
        <v>361.5</v>
      </c>
      <c r="S52" s="161">
        <f t="shared" si="25"/>
        <v>361.5</v>
      </c>
      <c r="T52" s="161">
        <f t="shared" si="26"/>
        <v>361.5</v>
      </c>
      <c r="U52" s="148">
        <f t="shared" si="27"/>
        <v>180750</v>
      </c>
      <c r="V52" s="148">
        <f t="shared" si="28"/>
        <v>180750</v>
      </c>
      <c r="W52" s="148">
        <f t="shared" si="29"/>
        <v>180750</v>
      </c>
      <c r="X52" s="148">
        <f t="shared" si="30"/>
        <v>180750</v>
      </c>
      <c r="Y52" s="165">
        <v>54</v>
      </c>
      <c r="Z52" s="165">
        <f t="shared" si="31"/>
        <v>27000</v>
      </c>
      <c r="AA52" s="165">
        <f>3*4*3</f>
        <v>36</v>
      </c>
      <c r="AB52" s="165">
        <f t="shared" si="32"/>
        <v>18000</v>
      </c>
      <c r="AC52" s="165">
        <f>58*3*2</f>
        <v>348</v>
      </c>
      <c r="AD52" s="165">
        <f t="shared" si="33"/>
        <v>174000</v>
      </c>
      <c r="AE52" s="165">
        <f>5*6*2</f>
        <v>60</v>
      </c>
      <c r="AF52" s="165">
        <f t="shared" si="34"/>
        <v>30000</v>
      </c>
      <c r="AG52" s="165">
        <f>2*6*3</f>
        <v>36</v>
      </c>
      <c r="AH52" s="165">
        <f t="shared" si="35"/>
        <v>18000</v>
      </c>
      <c r="AI52" s="165">
        <f>4*6*2</f>
        <v>48</v>
      </c>
      <c r="AJ52" s="165">
        <f t="shared" si="36"/>
        <v>24000</v>
      </c>
      <c r="AK52" s="165">
        <f>36</f>
        <v>36</v>
      </c>
      <c r="AL52" s="165">
        <f t="shared" si="37"/>
        <v>18000</v>
      </c>
      <c r="AM52" s="165">
        <v>200</v>
      </c>
      <c r="AN52" s="165">
        <f t="shared" si="38"/>
        <v>100000</v>
      </c>
      <c r="AO52" s="165">
        <v>18</v>
      </c>
      <c r="AP52" s="165">
        <f t="shared" si="39"/>
        <v>9000</v>
      </c>
      <c r="AQ52" s="165">
        <f>3*6*3</f>
        <v>54</v>
      </c>
      <c r="AR52" s="165">
        <f t="shared" si="40"/>
        <v>27000</v>
      </c>
      <c r="AS52" s="165">
        <f>6*3*5</f>
        <v>90</v>
      </c>
      <c r="AT52" s="165">
        <f t="shared" si="41"/>
        <v>45000</v>
      </c>
      <c r="AU52" s="165">
        <v>75</v>
      </c>
      <c r="AV52" s="165">
        <f t="shared" si="52"/>
        <v>37500</v>
      </c>
      <c r="AW52" s="165">
        <v>100</v>
      </c>
      <c r="AX52" s="165">
        <f t="shared" si="53"/>
        <v>50000</v>
      </c>
      <c r="AY52" s="165">
        <f>9*5*3</f>
        <v>135</v>
      </c>
      <c r="AZ52" s="165">
        <f t="shared" si="42"/>
        <v>67500</v>
      </c>
      <c r="BA52" s="165">
        <f>3*6*2</f>
        <v>36</v>
      </c>
      <c r="BB52" s="165">
        <f t="shared" si="43"/>
        <v>18000</v>
      </c>
      <c r="BC52" s="165">
        <f>12*6</f>
        <v>72</v>
      </c>
      <c r="BD52" s="165">
        <f t="shared" si="44"/>
        <v>36000</v>
      </c>
      <c r="BE52" s="165">
        <f>6*4*2</f>
        <v>48</v>
      </c>
      <c r="BF52" s="165">
        <f t="shared" si="45"/>
        <v>24000</v>
      </c>
      <c r="BG52" s="165">
        <v>0</v>
      </c>
      <c r="BH52" s="165">
        <f t="shared" si="46"/>
        <v>0</v>
      </c>
      <c r="BI52" s="161">
        <f t="shared" si="54"/>
        <v>1446</v>
      </c>
      <c r="BJ52" s="161">
        <f t="shared" si="55"/>
        <v>723000</v>
      </c>
      <c r="BK52" s="159" t="s">
        <v>216</v>
      </c>
      <c r="BM52" s="148">
        <f>SUM(BM46:BM51)</f>
        <v>0</v>
      </c>
      <c r="BN52" s="163">
        <f t="shared" si="49"/>
        <v>723000</v>
      </c>
      <c r="BO52" s="163"/>
      <c r="BP52" s="163"/>
      <c r="BQ52" s="163">
        <f t="shared" si="50"/>
        <v>723000</v>
      </c>
      <c r="BR52" s="163"/>
      <c r="BS52" s="163"/>
      <c r="BT52" s="163"/>
      <c r="BU52" s="164">
        <f t="shared" si="51"/>
        <v>723000</v>
      </c>
    </row>
    <row r="53" spans="1:73" ht="15.75">
      <c r="A53" s="150"/>
      <c r="B53" s="158" t="s">
        <v>476</v>
      </c>
      <c r="C53" s="159" t="s">
        <v>115</v>
      </c>
      <c r="D53" s="135" t="s">
        <v>115</v>
      </c>
      <c r="E53" s="145">
        <f>SUM(E44:E52)</f>
        <v>4420</v>
      </c>
      <c r="F53" s="145">
        <f t="shared" ref="F53:X53" si="56">SUM(F44:F52)</f>
        <v>2211000</v>
      </c>
      <c r="G53" s="145">
        <f t="shared" si="56"/>
        <v>442200</v>
      </c>
      <c r="H53" s="145">
        <f t="shared" si="56"/>
        <v>1768800</v>
      </c>
      <c r="I53" s="145">
        <f t="shared" si="56"/>
        <v>0</v>
      </c>
      <c r="J53" s="145">
        <f t="shared" si="56"/>
        <v>0</v>
      </c>
      <c r="K53" s="145">
        <f t="shared" si="56"/>
        <v>0</v>
      </c>
      <c r="L53" s="145">
        <f t="shared" si="56"/>
        <v>0</v>
      </c>
      <c r="M53" s="145">
        <f t="shared" si="56"/>
        <v>0</v>
      </c>
      <c r="N53" s="145">
        <f t="shared" si="56"/>
        <v>0</v>
      </c>
      <c r="O53" s="145">
        <f t="shared" si="56"/>
        <v>0</v>
      </c>
      <c r="P53" s="145">
        <f t="shared" si="56"/>
        <v>0</v>
      </c>
      <c r="Q53" s="145">
        <f t="shared" si="56"/>
        <v>1096.5</v>
      </c>
      <c r="R53" s="145">
        <f t="shared" si="56"/>
        <v>1096.5</v>
      </c>
      <c r="S53" s="145">
        <f t="shared" si="56"/>
        <v>1096.5</v>
      </c>
      <c r="T53" s="145">
        <f t="shared" si="56"/>
        <v>1096.5</v>
      </c>
      <c r="U53" s="145">
        <f t="shared" si="56"/>
        <v>425250</v>
      </c>
      <c r="V53" s="145">
        <f t="shared" si="56"/>
        <v>425250</v>
      </c>
      <c r="W53" s="145">
        <f t="shared" si="56"/>
        <v>425250</v>
      </c>
      <c r="X53" s="145">
        <f t="shared" si="56"/>
        <v>425250</v>
      </c>
      <c r="Y53" s="165">
        <f>SUM(Y44:Y52)</f>
        <v>210</v>
      </c>
      <c r="Z53" s="165">
        <f t="shared" ref="Z53:BU53" si="57">SUM(Z44:Z52)</f>
        <v>104800</v>
      </c>
      <c r="AA53" s="165">
        <f t="shared" si="57"/>
        <v>152</v>
      </c>
      <c r="AB53" s="165">
        <f t="shared" si="57"/>
        <v>91800</v>
      </c>
      <c r="AC53" s="165">
        <f t="shared" si="57"/>
        <v>798</v>
      </c>
      <c r="AD53" s="165">
        <f t="shared" si="57"/>
        <v>457600</v>
      </c>
      <c r="AE53" s="165">
        <f t="shared" si="57"/>
        <v>272</v>
      </c>
      <c r="AF53" s="165">
        <f t="shared" si="57"/>
        <v>135000</v>
      </c>
      <c r="AG53" s="165">
        <f t="shared" si="57"/>
        <v>162</v>
      </c>
      <c r="AH53" s="165">
        <f t="shared" si="57"/>
        <v>74800</v>
      </c>
      <c r="AI53" s="165">
        <f t="shared" si="57"/>
        <v>198</v>
      </c>
      <c r="AJ53" s="165">
        <f t="shared" si="57"/>
        <v>97600</v>
      </c>
      <c r="AK53" s="165">
        <f t="shared" si="57"/>
        <v>194</v>
      </c>
      <c r="AL53" s="165">
        <f t="shared" si="57"/>
        <v>85200</v>
      </c>
      <c r="AM53" s="165">
        <f t="shared" si="57"/>
        <v>492</v>
      </c>
      <c r="AN53" s="165">
        <f t="shared" si="57"/>
        <v>213000</v>
      </c>
      <c r="AO53" s="165">
        <f t="shared" si="57"/>
        <v>118</v>
      </c>
      <c r="AP53" s="165">
        <f t="shared" si="57"/>
        <v>59600</v>
      </c>
      <c r="AQ53" s="165">
        <f t="shared" si="57"/>
        <v>192</v>
      </c>
      <c r="AR53" s="165">
        <f t="shared" si="57"/>
        <v>92200</v>
      </c>
      <c r="AS53" s="165">
        <f t="shared" si="57"/>
        <v>252</v>
      </c>
      <c r="AT53" s="165">
        <f t="shared" si="57"/>
        <v>127000</v>
      </c>
      <c r="AU53" s="165">
        <f t="shared" si="57"/>
        <v>207</v>
      </c>
      <c r="AV53" s="165">
        <f t="shared" si="57"/>
        <v>98500</v>
      </c>
      <c r="AW53" s="165">
        <f t="shared" si="57"/>
        <v>306</v>
      </c>
      <c r="AX53" s="165">
        <f t="shared" si="57"/>
        <v>132800</v>
      </c>
      <c r="AY53" s="165">
        <f t="shared" si="57"/>
        <v>341</v>
      </c>
      <c r="AZ53" s="165">
        <f t="shared" si="57"/>
        <v>150300</v>
      </c>
      <c r="BA53" s="165">
        <f t="shared" si="57"/>
        <v>74</v>
      </c>
      <c r="BB53" s="165">
        <f t="shared" si="57"/>
        <v>73200</v>
      </c>
      <c r="BC53" s="165">
        <f t="shared" si="57"/>
        <v>266</v>
      </c>
      <c r="BD53" s="165">
        <f t="shared" si="57"/>
        <v>128400</v>
      </c>
      <c r="BE53" s="165">
        <f t="shared" si="57"/>
        <v>186</v>
      </c>
      <c r="BF53" s="165">
        <f t="shared" si="57"/>
        <v>89200</v>
      </c>
      <c r="BG53" s="165">
        <f t="shared" si="57"/>
        <v>0</v>
      </c>
      <c r="BH53" s="165">
        <f t="shared" si="57"/>
        <v>0</v>
      </c>
      <c r="BI53" s="161">
        <f t="shared" si="54"/>
        <v>4420</v>
      </c>
      <c r="BJ53" s="161">
        <f t="shared" si="55"/>
        <v>2211000</v>
      </c>
      <c r="BK53" s="165">
        <f t="shared" si="57"/>
        <v>0</v>
      </c>
      <c r="BL53" s="165">
        <f t="shared" si="57"/>
        <v>0</v>
      </c>
      <c r="BM53" s="165">
        <f t="shared" si="57"/>
        <v>0</v>
      </c>
      <c r="BN53" s="165">
        <f t="shared" si="57"/>
        <v>1701000</v>
      </c>
      <c r="BO53" s="165">
        <f t="shared" si="57"/>
        <v>0</v>
      </c>
      <c r="BP53" s="165">
        <f t="shared" si="57"/>
        <v>0</v>
      </c>
      <c r="BQ53" s="165">
        <f t="shared" si="57"/>
        <v>1701000</v>
      </c>
      <c r="BR53" s="165">
        <f t="shared" si="57"/>
        <v>0</v>
      </c>
      <c r="BS53" s="165">
        <f t="shared" si="57"/>
        <v>0</v>
      </c>
      <c r="BT53" s="165">
        <f t="shared" si="57"/>
        <v>0</v>
      </c>
      <c r="BU53" s="165">
        <f t="shared" si="57"/>
        <v>1701000</v>
      </c>
    </row>
    <row r="54" spans="1:73" ht="13.5" customHeight="1">
      <c r="A54" s="150"/>
      <c r="B54" s="158" t="s">
        <v>696</v>
      </c>
      <c r="C54" s="159"/>
      <c r="D54" s="159"/>
      <c r="E54" s="14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73"/>
      <c r="R54" s="173"/>
      <c r="S54" s="173"/>
      <c r="T54" s="173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1"/>
      <c r="BJ54" s="162"/>
      <c r="BK54" s="159"/>
      <c r="BM54" s="163">
        <v>0</v>
      </c>
      <c r="BN54" s="163">
        <f>F54</f>
        <v>0</v>
      </c>
      <c r="BO54" s="163">
        <v>0</v>
      </c>
      <c r="BP54" s="163">
        <v>0</v>
      </c>
      <c r="BQ54" s="163">
        <f>BM54+BN54+BO54+BP54</f>
        <v>0</v>
      </c>
      <c r="BR54" s="163">
        <v>0</v>
      </c>
      <c r="BS54" s="163">
        <v>0</v>
      </c>
      <c r="BT54" s="163">
        <f>BR54+BS54</f>
        <v>0</v>
      </c>
      <c r="BU54" s="164">
        <f t="shared" si="2"/>
        <v>0</v>
      </c>
    </row>
    <row r="55" spans="1:73" s="500" customFormat="1" ht="15.75">
      <c r="A55" s="493" t="s">
        <v>801</v>
      </c>
      <c r="B55" s="491" t="s">
        <v>477</v>
      </c>
      <c r="C55" s="494" t="s">
        <v>16</v>
      </c>
      <c r="D55" s="495">
        <v>15000000</v>
      </c>
      <c r="E55" s="496">
        <f>BI55</f>
        <v>13</v>
      </c>
      <c r="F55" s="496">
        <f>BJ55</f>
        <v>15000000</v>
      </c>
      <c r="G55" s="497">
        <f>F55*0</f>
        <v>0</v>
      </c>
      <c r="H55" s="497">
        <f>F55*1</f>
        <v>15000000</v>
      </c>
      <c r="I55" s="497"/>
      <c r="J55" s="497"/>
      <c r="K55" s="497"/>
      <c r="L55" s="497"/>
      <c r="M55" s="497"/>
      <c r="N55" s="497"/>
      <c r="O55" s="497"/>
      <c r="P55" s="497"/>
      <c r="Q55" s="498">
        <v>0</v>
      </c>
      <c r="R55" s="498"/>
      <c r="S55" s="498">
        <v>0.75</v>
      </c>
      <c r="T55" s="498">
        <v>0.25</v>
      </c>
      <c r="U55" s="497">
        <f>Q55*F55</f>
        <v>0</v>
      </c>
      <c r="V55" s="497">
        <f>R55*D55</f>
        <v>0</v>
      </c>
      <c r="W55" s="497">
        <f>S55*F55</f>
        <v>11250000</v>
      </c>
      <c r="X55" s="497">
        <f>T55*F55</f>
        <v>3750000</v>
      </c>
      <c r="Y55" s="497">
        <v>1</v>
      </c>
      <c r="Z55" s="497">
        <v>700000</v>
      </c>
      <c r="AA55" s="497">
        <v>1</v>
      </c>
      <c r="AB55" s="497">
        <v>500000</v>
      </c>
      <c r="AC55" s="497">
        <v>1</v>
      </c>
      <c r="AD55" s="497">
        <v>1500000</v>
      </c>
      <c r="AE55" s="497">
        <v>1</v>
      </c>
      <c r="AF55" s="497">
        <v>300000</v>
      </c>
      <c r="AG55" s="497">
        <v>1</v>
      </c>
      <c r="AH55" s="497">
        <v>200000</v>
      </c>
      <c r="AI55" s="497">
        <v>1</v>
      </c>
      <c r="AJ55" s="497">
        <v>500000</v>
      </c>
      <c r="AK55" s="497">
        <v>0</v>
      </c>
      <c r="AL55" s="497">
        <v>0</v>
      </c>
      <c r="AM55" s="497">
        <v>0</v>
      </c>
      <c r="AN55" s="497">
        <f>D55*AM55</f>
        <v>0</v>
      </c>
      <c r="AO55" s="497">
        <v>1</v>
      </c>
      <c r="AP55" s="497">
        <v>2000000</v>
      </c>
      <c r="AQ55" s="497">
        <v>1</v>
      </c>
      <c r="AR55" s="497">
        <v>2500000</v>
      </c>
      <c r="AS55" s="497">
        <v>1</v>
      </c>
      <c r="AT55" s="497">
        <v>1200000</v>
      </c>
      <c r="AU55" s="497">
        <v>1</v>
      </c>
      <c r="AV55" s="497">
        <v>2000000</v>
      </c>
      <c r="AW55" s="497">
        <v>0</v>
      </c>
      <c r="AX55" s="497">
        <f>AW55*D55</f>
        <v>0</v>
      </c>
      <c r="AY55" s="497">
        <v>1</v>
      </c>
      <c r="AZ55" s="497">
        <v>500000</v>
      </c>
      <c r="BA55" s="497">
        <v>1</v>
      </c>
      <c r="BB55" s="497">
        <v>2500000</v>
      </c>
      <c r="BC55" s="497">
        <v>0</v>
      </c>
      <c r="BD55" s="497">
        <f>BC55*D55</f>
        <v>0</v>
      </c>
      <c r="BE55" s="497">
        <v>1</v>
      </c>
      <c r="BF55" s="497">
        <v>600000</v>
      </c>
      <c r="BG55" s="497">
        <v>0</v>
      </c>
      <c r="BH55" s="497">
        <f>BG55*D55</f>
        <v>0</v>
      </c>
      <c r="BI55" s="499">
        <f>BG55+BE55+BC55+BA55+AY55+AW55+AU55+AS55+AQ55+AO55+AM55+AK55+AI55+AG55+AE55+AC55+AA55+Y55</f>
        <v>13</v>
      </c>
      <c r="BJ55" s="499">
        <f>BH55+BF55+BD55+BB55+AZ55+AX55+AV55+AT55+AR55+AP55+AN55+AL55+AJ55+AH55+AF55+AD55+AB55+Z55</f>
        <v>15000000</v>
      </c>
      <c r="BK55" s="494" t="s">
        <v>217</v>
      </c>
      <c r="BM55" s="501">
        <v>0</v>
      </c>
      <c r="BN55" s="501">
        <f>BJ55</f>
        <v>15000000</v>
      </c>
      <c r="BO55" s="501"/>
      <c r="BP55" s="501"/>
      <c r="BQ55" s="501">
        <f>BM55+BN55+BO55+BP55</f>
        <v>15000000</v>
      </c>
      <c r="BR55" s="501"/>
      <c r="BS55" s="501"/>
      <c r="BT55" s="501"/>
      <c r="BU55" s="502">
        <f t="shared" si="2"/>
        <v>15000000</v>
      </c>
    </row>
    <row r="56" spans="1:73" ht="15.75">
      <c r="A56" s="150"/>
      <c r="B56" s="158" t="s">
        <v>478</v>
      </c>
      <c r="C56" s="159" t="s">
        <v>115</v>
      </c>
      <c r="D56" s="135" t="s">
        <v>115</v>
      </c>
      <c r="E56" s="145">
        <f>E55</f>
        <v>13</v>
      </c>
      <c r="F56" s="145">
        <f t="shared" ref="F56:X56" si="58">F55</f>
        <v>15000000</v>
      </c>
      <c r="G56" s="145">
        <f t="shared" si="58"/>
        <v>0</v>
      </c>
      <c r="H56" s="145">
        <f t="shared" si="58"/>
        <v>15000000</v>
      </c>
      <c r="I56" s="145">
        <f t="shared" si="58"/>
        <v>0</v>
      </c>
      <c r="J56" s="145">
        <f t="shared" si="58"/>
        <v>0</v>
      </c>
      <c r="K56" s="145">
        <f t="shared" si="58"/>
        <v>0</v>
      </c>
      <c r="L56" s="145">
        <f t="shared" si="58"/>
        <v>0</v>
      </c>
      <c r="M56" s="145">
        <f t="shared" si="58"/>
        <v>0</v>
      </c>
      <c r="N56" s="145">
        <f t="shared" si="58"/>
        <v>0</v>
      </c>
      <c r="O56" s="145">
        <f t="shared" si="58"/>
        <v>0</v>
      </c>
      <c r="P56" s="145">
        <f t="shared" si="58"/>
        <v>0</v>
      </c>
      <c r="Q56" s="145">
        <f t="shared" si="58"/>
        <v>0</v>
      </c>
      <c r="R56" s="145">
        <f t="shared" si="58"/>
        <v>0</v>
      </c>
      <c r="S56" s="145">
        <f t="shared" si="58"/>
        <v>0.75</v>
      </c>
      <c r="T56" s="145">
        <f t="shared" si="58"/>
        <v>0.25</v>
      </c>
      <c r="U56" s="145">
        <f t="shared" si="58"/>
        <v>0</v>
      </c>
      <c r="V56" s="145">
        <f t="shared" si="58"/>
        <v>0</v>
      </c>
      <c r="W56" s="145">
        <f t="shared" si="58"/>
        <v>11250000</v>
      </c>
      <c r="X56" s="145">
        <f t="shared" si="58"/>
        <v>3750000</v>
      </c>
      <c r="Y56" s="165">
        <f>SUM(Y55)</f>
        <v>1</v>
      </c>
      <c r="Z56" s="165">
        <f t="shared" ref="Z56:BU56" si="59">SUM(Z55)</f>
        <v>700000</v>
      </c>
      <c r="AA56" s="165">
        <f t="shared" si="59"/>
        <v>1</v>
      </c>
      <c r="AB56" s="165">
        <f t="shared" si="59"/>
        <v>500000</v>
      </c>
      <c r="AC56" s="165">
        <f t="shared" si="59"/>
        <v>1</v>
      </c>
      <c r="AD56" s="165">
        <f t="shared" si="59"/>
        <v>1500000</v>
      </c>
      <c r="AE56" s="165">
        <f t="shared" si="59"/>
        <v>1</v>
      </c>
      <c r="AF56" s="165">
        <f t="shared" si="59"/>
        <v>300000</v>
      </c>
      <c r="AG56" s="165">
        <f t="shared" si="59"/>
        <v>1</v>
      </c>
      <c r="AH56" s="165">
        <f t="shared" si="59"/>
        <v>200000</v>
      </c>
      <c r="AI56" s="165">
        <f t="shared" si="59"/>
        <v>1</v>
      </c>
      <c r="AJ56" s="165">
        <f t="shared" si="59"/>
        <v>500000</v>
      </c>
      <c r="AK56" s="165">
        <f t="shared" si="59"/>
        <v>0</v>
      </c>
      <c r="AL56" s="165">
        <f t="shared" si="59"/>
        <v>0</v>
      </c>
      <c r="AM56" s="165">
        <f t="shared" si="59"/>
        <v>0</v>
      </c>
      <c r="AN56" s="165">
        <f t="shared" si="59"/>
        <v>0</v>
      </c>
      <c r="AO56" s="165">
        <f t="shared" si="59"/>
        <v>1</v>
      </c>
      <c r="AP56" s="165">
        <f t="shared" si="59"/>
        <v>2000000</v>
      </c>
      <c r="AQ56" s="165">
        <f t="shared" si="59"/>
        <v>1</v>
      </c>
      <c r="AR56" s="165">
        <f t="shared" si="59"/>
        <v>2500000</v>
      </c>
      <c r="AS56" s="165">
        <f t="shared" si="59"/>
        <v>1</v>
      </c>
      <c r="AT56" s="165">
        <f t="shared" si="59"/>
        <v>1200000</v>
      </c>
      <c r="AU56" s="165">
        <f t="shared" si="59"/>
        <v>1</v>
      </c>
      <c r="AV56" s="165">
        <f t="shared" si="59"/>
        <v>2000000</v>
      </c>
      <c r="AW56" s="165">
        <f t="shared" si="59"/>
        <v>0</v>
      </c>
      <c r="AX56" s="165">
        <f t="shared" si="59"/>
        <v>0</v>
      </c>
      <c r="AY56" s="165">
        <f t="shared" si="59"/>
        <v>1</v>
      </c>
      <c r="AZ56" s="165">
        <f t="shared" si="59"/>
        <v>500000</v>
      </c>
      <c r="BA56" s="165">
        <f t="shared" si="59"/>
        <v>1</v>
      </c>
      <c r="BB56" s="165">
        <f t="shared" si="59"/>
        <v>2500000</v>
      </c>
      <c r="BC56" s="165">
        <f t="shared" si="59"/>
        <v>0</v>
      </c>
      <c r="BD56" s="165">
        <f t="shared" si="59"/>
        <v>0</v>
      </c>
      <c r="BE56" s="165">
        <f t="shared" si="59"/>
        <v>1</v>
      </c>
      <c r="BF56" s="165">
        <f t="shared" si="59"/>
        <v>600000</v>
      </c>
      <c r="BG56" s="165">
        <f t="shared" si="59"/>
        <v>0</v>
      </c>
      <c r="BH56" s="165">
        <f t="shared" si="59"/>
        <v>0</v>
      </c>
      <c r="BI56" s="165">
        <f t="shared" si="59"/>
        <v>13</v>
      </c>
      <c r="BJ56" s="165">
        <f t="shared" si="59"/>
        <v>15000000</v>
      </c>
      <c r="BK56" s="165">
        <f t="shared" si="59"/>
        <v>0</v>
      </c>
      <c r="BL56" s="165">
        <f t="shared" si="59"/>
        <v>0</v>
      </c>
      <c r="BM56" s="165">
        <f t="shared" si="59"/>
        <v>0</v>
      </c>
      <c r="BN56" s="165">
        <f t="shared" si="59"/>
        <v>15000000</v>
      </c>
      <c r="BO56" s="165">
        <f t="shared" si="59"/>
        <v>0</v>
      </c>
      <c r="BP56" s="165">
        <f t="shared" si="59"/>
        <v>0</v>
      </c>
      <c r="BQ56" s="165">
        <f t="shared" si="59"/>
        <v>15000000</v>
      </c>
      <c r="BR56" s="165">
        <f t="shared" si="59"/>
        <v>0</v>
      </c>
      <c r="BS56" s="165">
        <f t="shared" si="59"/>
        <v>0</v>
      </c>
      <c r="BT56" s="165">
        <f t="shared" si="59"/>
        <v>0</v>
      </c>
      <c r="BU56" s="165">
        <f t="shared" si="59"/>
        <v>15000000</v>
      </c>
    </row>
    <row r="57" spans="1:73" ht="15.75">
      <c r="A57" s="150"/>
      <c r="B57" s="158" t="s">
        <v>479</v>
      </c>
      <c r="C57" s="159"/>
      <c r="D57" s="159"/>
      <c r="E57" s="14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73"/>
      <c r="R57" s="173"/>
      <c r="S57" s="173"/>
      <c r="T57" s="173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1"/>
      <c r="BJ57" s="162"/>
      <c r="BK57" s="159"/>
      <c r="BM57" s="163">
        <v>0</v>
      </c>
      <c r="BN57" s="163">
        <v>0</v>
      </c>
      <c r="BO57" s="163">
        <v>0</v>
      </c>
      <c r="BP57" s="163">
        <v>0</v>
      </c>
      <c r="BQ57" s="163">
        <f>BM57+BN57+BO57+BP57</f>
        <v>0</v>
      </c>
      <c r="BR57" s="163">
        <v>0</v>
      </c>
      <c r="BS57" s="163">
        <v>0</v>
      </c>
      <c r="BT57" s="163">
        <f>BR57+BS57</f>
        <v>0</v>
      </c>
      <c r="BU57" s="164">
        <f t="shared" si="2"/>
        <v>0</v>
      </c>
    </row>
    <row r="58" spans="1:73" ht="15.75">
      <c r="A58" s="150"/>
      <c r="B58" s="158" t="s">
        <v>480</v>
      </c>
      <c r="C58" s="159"/>
      <c r="D58" s="159"/>
      <c r="E58" s="14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73"/>
      <c r="R58" s="173"/>
      <c r="S58" s="173"/>
      <c r="T58" s="173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65"/>
      <c r="BG58" s="165"/>
      <c r="BH58" s="165"/>
      <c r="BI58" s="161"/>
      <c r="BJ58" s="162"/>
      <c r="BK58" s="159"/>
      <c r="BM58" s="163">
        <v>0</v>
      </c>
      <c r="BN58" s="163">
        <v>0</v>
      </c>
      <c r="BO58" s="163">
        <v>0</v>
      </c>
      <c r="BP58" s="163">
        <v>0</v>
      </c>
      <c r="BQ58" s="163">
        <f>BM58+BN58+BO58+BP58</f>
        <v>0</v>
      </c>
      <c r="BR58" s="163">
        <v>0</v>
      </c>
      <c r="BS58" s="163">
        <v>0</v>
      </c>
      <c r="BT58" s="163">
        <f>BR58+BS58</f>
        <v>0</v>
      </c>
      <c r="BU58" s="164">
        <f t="shared" si="2"/>
        <v>0</v>
      </c>
    </row>
    <row r="59" spans="1:73" ht="15.75">
      <c r="A59" s="150" t="s">
        <v>802</v>
      </c>
      <c r="B59" s="166" t="s">
        <v>481</v>
      </c>
      <c r="C59" s="159" t="s">
        <v>16</v>
      </c>
      <c r="D59" s="135" t="s">
        <v>491</v>
      </c>
      <c r="E59" s="145">
        <f>BI59</f>
        <v>0</v>
      </c>
      <c r="F59" s="145">
        <f>BJ59</f>
        <v>4000</v>
      </c>
      <c r="G59" s="165">
        <f>F59*0.2</f>
        <v>800</v>
      </c>
      <c r="H59" s="165">
        <f>F59*0.8</f>
        <v>3200</v>
      </c>
      <c r="I59" s="165"/>
      <c r="J59" s="165"/>
      <c r="K59" s="165"/>
      <c r="L59" s="165"/>
      <c r="M59" s="165"/>
      <c r="N59" s="165"/>
      <c r="O59" s="165"/>
      <c r="P59" s="165"/>
      <c r="Q59" s="173">
        <f>E59*0.25</f>
        <v>0</v>
      </c>
      <c r="R59" s="173">
        <f>E59*0.25</f>
        <v>0</v>
      </c>
      <c r="S59" s="173">
        <f>E59*0.25</f>
        <v>0</v>
      </c>
      <c r="T59" s="173">
        <f>E59*0.25</f>
        <v>0</v>
      </c>
      <c r="U59" s="165">
        <f>Q59*D59</f>
        <v>0</v>
      </c>
      <c r="V59" s="165">
        <f>R59*D59</f>
        <v>0</v>
      </c>
      <c r="W59" s="165">
        <f>S59*D59</f>
        <v>0</v>
      </c>
      <c r="X59" s="165">
        <f>T59*D59</f>
        <v>0</v>
      </c>
      <c r="Y59" s="165">
        <v>0</v>
      </c>
      <c r="Z59" s="165">
        <f>Y59*D59</f>
        <v>0</v>
      </c>
      <c r="AA59" s="165">
        <v>0</v>
      </c>
      <c r="AB59" s="165">
        <f>AA59*D59</f>
        <v>0</v>
      </c>
      <c r="AC59" s="165">
        <v>0</v>
      </c>
      <c r="AD59" s="165">
        <f>AC59*D59</f>
        <v>0</v>
      </c>
      <c r="AE59" s="165">
        <v>0</v>
      </c>
      <c r="AF59" s="165">
        <f>AE59*D59</f>
        <v>0</v>
      </c>
      <c r="AG59" s="165">
        <v>0</v>
      </c>
      <c r="AH59" s="165">
        <f>AG59*D59</f>
        <v>0</v>
      </c>
      <c r="AI59" s="165">
        <v>0</v>
      </c>
      <c r="AJ59" s="165">
        <f>D59*AI59</f>
        <v>0</v>
      </c>
      <c r="AK59" s="165">
        <v>0</v>
      </c>
      <c r="AL59" s="165">
        <f>D59*AK59</f>
        <v>0</v>
      </c>
      <c r="AM59" s="165">
        <v>0</v>
      </c>
      <c r="AN59" s="165">
        <f>D59*AM59</f>
        <v>0</v>
      </c>
      <c r="AO59" s="165">
        <v>0</v>
      </c>
      <c r="AP59" s="165">
        <f>AO59*D59</f>
        <v>0</v>
      </c>
      <c r="AQ59" s="165">
        <v>0</v>
      </c>
      <c r="AR59" s="165">
        <v>4000</v>
      </c>
      <c r="AS59" s="165">
        <v>0</v>
      </c>
      <c r="AT59" s="165">
        <f>AS59*D59</f>
        <v>0</v>
      </c>
      <c r="AU59" s="165">
        <v>0</v>
      </c>
      <c r="AV59" s="165">
        <f>AU59*D59</f>
        <v>0</v>
      </c>
      <c r="AW59" s="165">
        <v>0</v>
      </c>
      <c r="AX59" s="165">
        <f>AW59*D59</f>
        <v>0</v>
      </c>
      <c r="AY59" s="165">
        <v>0</v>
      </c>
      <c r="AZ59" s="165">
        <f>AY59*D59</f>
        <v>0</v>
      </c>
      <c r="BA59" s="165">
        <v>0</v>
      </c>
      <c r="BB59" s="165">
        <f>D59*BA59</f>
        <v>0</v>
      </c>
      <c r="BC59" s="165">
        <v>0</v>
      </c>
      <c r="BD59" s="165">
        <f>BC59*D59</f>
        <v>0</v>
      </c>
      <c r="BE59" s="165">
        <v>0</v>
      </c>
      <c r="BF59" s="165">
        <f>BE59*D59</f>
        <v>0</v>
      </c>
      <c r="BG59" s="165"/>
      <c r="BH59" s="165">
        <f>BG59*D59</f>
        <v>0</v>
      </c>
      <c r="BI59" s="161">
        <f t="shared" ref="BI59:BJ61" si="60">BG59+BE59+BC59+BA59+AY59+AW59+AU59+AS59+AQ59+AO59+AM59+AK59+AI59+AG59+AE59+AC59+AA59+Y59</f>
        <v>0</v>
      </c>
      <c r="BJ59" s="161">
        <f t="shared" si="60"/>
        <v>4000</v>
      </c>
      <c r="BK59" s="159" t="s">
        <v>216</v>
      </c>
      <c r="BM59" s="163">
        <v>0</v>
      </c>
      <c r="BN59" s="163">
        <v>0</v>
      </c>
      <c r="BO59" s="163">
        <f>F59</f>
        <v>4000</v>
      </c>
      <c r="BP59" s="163">
        <v>0</v>
      </c>
      <c r="BQ59" s="163">
        <f>BM59+BN59+BO59+BP59</f>
        <v>4000</v>
      </c>
      <c r="BR59" s="163">
        <v>0</v>
      </c>
      <c r="BS59" s="163">
        <v>0</v>
      </c>
      <c r="BT59" s="163">
        <f>BR59+BS59</f>
        <v>0</v>
      </c>
      <c r="BU59" s="164">
        <f t="shared" si="2"/>
        <v>4000</v>
      </c>
    </row>
    <row r="60" spans="1:73" ht="15.75">
      <c r="A60" s="150" t="s">
        <v>803</v>
      </c>
      <c r="B60" s="166" t="s">
        <v>482</v>
      </c>
      <c r="C60" s="159" t="s">
        <v>69</v>
      </c>
      <c r="D60" s="135" t="s">
        <v>492</v>
      </c>
      <c r="E60" s="145">
        <f>BI60</f>
        <v>0</v>
      </c>
      <c r="F60" s="145">
        <f t="shared" ref="F60:F61" si="61">BJ60</f>
        <v>10500</v>
      </c>
      <c r="G60" s="165">
        <f>F60*0.2</f>
        <v>2100</v>
      </c>
      <c r="H60" s="165">
        <f>F60*0.8</f>
        <v>8400</v>
      </c>
      <c r="I60" s="165"/>
      <c r="J60" s="165"/>
      <c r="K60" s="165"/>
      <c r="L60" s="165"/>
      <c r="M60" s="165"/>
      <c r="N60" s="165"/>
      <c r="O60" s="165"/>
      <c r="P60" s="165"/>
      <c r="Q60" s="173">
        <f>E60*0.25</f>
        <v>0</v>
      </c>
      <c r="R60" s="173">
        <f>E60*0.25</f>
        <v>0</v>
      </c>
      <c r="S60" s="173">
        <f>E60*0.25</f>
        <v>0</v>
      </c>
      <c r="T60" s="173">
        <f>E60*0.25</f>
        <v>0</v>
      </c>
      <c r="U60" s="165">
        <f>Q60*D60</f>
        <v>0</v>
      </c>
      <c r="V60" s="165">
        <f>R60*D60</f>
        <v>0</v>
      </c>
      <c r="W60" s="165">
        <f>S60*D60</f>
        <v>0</v>
      </c>
      <c r="X60" s="165">
        <f>T60*D60</f>
        <v>0</v>
      </c>
      <c r="Y60" s="165">
        <v>0</v>
      </c>
      <c r="Z60" s="165">
        <f>Y60*D60</f>
        <v>0</v>
      </c>
      <c r="AA60" s="165">
        <v>0</v>
      </c>
      <c r="AB60" s="165">
        <f>AA60*D60</f>
        <v>0</v>
      </c>
      <c r="AC60" s="165">
        <v>0</v>
      </c>
      <c r="AD60" s="165">
        <f>AC60*D60</f>
        <v>0</v>
      </c>
      <c r="AE60" s="165">
        <v>0</v>
      </c>
      <c r="AF60" s="165">
        <f>AE60*D60</f>
        <v>0</v>
      </c>
      <c r="AG60" s="165">
        <v>0</v>
      </c>
      <c r="AH60" s="165">
        <f>AG60*D60</f>
        <v>0</v>
      </c>
      <c r="AI60" s="165">
        <v>0</v>
      </c>
      <c r="AJ60" s="165">
        <f>D60*AI60</f>
        <v>0</v>
      </c>
      <c r="AK60" s="165">
        <v>0</v>
      </c>
      <c r="AL60" s="165">
        <f>D60*AK60</f>
        <v>0</v>
      </c>
      <c r="AM60" s="165">
        <v>0</v>
      </c>
      <c r="AN60" s="165">
        <f>D60*AM60</f>
        <v>0</v>
      </c>
      <c r="AO60" s="165">
        <v>0</v>
      </c>
      <c r="AP60" s="165">
        <f>AO60*D60</f>
        <v>0</v>
      </c>
      <c r="AQ60" s="165">
        <v>0</v>
      </c>
      <c r="AR60" s="165">
        <v>10500</v>
      </c>
      <c r="AS60" s="165">
        <v>0</v>
      </c>
      <c r="AT60" s="165">
        <f>AS60*D60</f>
        <v>0</v>
      </c>
      <c r="AU60" s="165">
        <v>0</v>
      </c>
      <c r="AV60" s="165">
        <f>AU60*D60</f>
        <v>0</v>
      </c>
      <c r="AW60" s="165">
        <v>0</v>
      </c>
      <c r="AX60" s="165">
        <f>AW60*D60</f>
        <v>0</v>
      </c>
      <c r="AY60" s="165">
        <v>0</v>
      </c>
      <c r="AZ60" s="165">
        <f>AY60*D60</f>
        <v>0</v>
      </c>
      <c r="BA60" s="165">
        <v>0</v>
      </c>
      <c r="BB60" s="165">
        <f>D60*BA60</f>
        <v>0</v>
      </c>
      <c r="BC60" s="165">
        <v>0</v>
      </c>
      <c r="BD60" s="165">
        <f>BC60*D60</f>
        <v>0</v>
      </c>
      <c r="BE60" s="165">
        <v>0</v>
      </c>
      <c r="BF60" s="165">
        <f>BE60*D60</f>
        <v>0</v>
      </c>
      <c r="BG60" s="165"/>
      <c r="BH60" s="165">
        <f>BG60*D60</f>
        <v>0</v>
      </c>
      <c r="BI60" s="161">
        <f t="shared" si="60"/>
        <v>0</v>
      </c>
      <c r="BJ60" s="161">
        <f t="shared" si="60"/>
        <v>10500</v>
      </c>
      <c r="BK60" s="159" t="s">
        <v>216</v>
      </c>
      <c r="BM60" s="163">
        <v>0</v>
      </c>
      <c r="BN60" s="163">
        <v>0</v>
      </c>
      <c r="BO60" s="163">
        <f>F60</f>
        <v>10500</v>
      </c>
      <c r="BP60" s="163">
        <v>0</v>
      </c>
      <c r="BQ60" s="163">
        <f>BM60+BN60+BO60+BP60</f>
        <v>10500</v>
      </c>
      <c r="BR60" s="163">
        <v>0</v>
      </c>
      <c r="BS60" s="163">
        <v>0</v>
      </c>
      <c r="BT60" s="163">
        <f>BR60+BS60</f>
        <v>0</v>
      </c>
      <c r="BU60" s="164">
        <f t="shared" si="2"/>
        <v>10500</v>
      </c>
    </row>
    <row r="61" spans="1:73" ht="15.75">
      <c r="A61" s="150" t="s">
        <v>804</v>
      </c>
      <c r="B61" s="166" t="s">
        <v>483</v>
      </c>
      <c r="C61" s="159" t="s">
        <v>69</v>
      </c>
      <c r="D61" s="135" t="s">
        <v>489</v>
      </c>
      <c r="E61" s="145">
        <f>BI61</f>
        <v>0</v>
      </c>
      <c r="F61" s="145">
        <f t="shared" si="61"/>
        <v>1500</v>
      </c>
      <c r="G61" s="165">
        <f>F61*0.2</f>
        <v>300</v>
      </c>
      <c r="H61" s="165">
        <f>F61*0.8</f>
        <v>1200</v>
      </c>
      <c r="I61" s="165"/>
      <c r="J61" s="165"/>
      <c r="K61" s="165"/>
      <c r="L61" s="165"/>
      <c r="M61" s="165"/>
      <c r="N61" s="165"/>
      <c r="O61" s="165"/>
      <c r="P61" s="165"/>
      <c r="Q61" s="173">
        <f>E61*0.25</f>
        <v>0</v>
      </c>
      <c r="R61" s="173">
        <f>E61*0.25</f>
        <v>0</v>
      </c>
      <c r="S61" s="173">
        <f>E61*0.25</f>
        <v>0</v>
      </c>
      <c r="T61" s="173">
        <f>E61*0.25</f>
        <v>0</v>
      </c>
      <c r="U61" s="165">
        <f>Q61*D61</f>
        <v>0</v>
      </c>
      <c r="V61" s="165">
        <f>R61*D61</f>
        <v>0</v>
      </c>
      <c r="W61" s="165">
        <f>S61*D61</f>
        <v>0</v>
      </c>
      <c r="X61" s="165">
        <f>T61*D61</f>
        <v>0</v>
      </c>
      <c r="Y61" s="165">
        <v>0</v>
      </c>
      <c r="Z61" s="165">
        <f>Y61*D61</f>
        <v>0</v>
      </c>
      <c r="AA61" s="165">
        <v>0</v>
      </c>
      <c r="AB61" s="165">
        <f>AA61*D61</f>
        <v>0</v>
      </c>
      <c r="AC61" s="165">
        <v>0</v>
      </c>
      <c r="AD61" s="165">
        <f>AC61*D61</f>
        <v>0</v>
      </c>
      <c r="AE61" s="165">
        <v>0</v>
      </c>
      <c r="AF61" s="165">
        <f>AE61*D61</f>
        <v>0</v>
      </c>
      <c r="AG61" s="165">
        <v>0</v>
      </c>
      <c r="AH61" s="165">
        <f>AG61*D61</f>
        <v>0</v>
      </c>
      <c r="AI61" s="165">
        <v>0</v>
      </c>
      <c r="AJ61" s="165">
        <f>D61*AI61</f>
        <v>0</v>
      </c>
      <c r="AK61" s="165">
        <v>0</v>
      </c>
      <c r="AL61" s="165">
        <f>D61*AK61</f>
        <v>0</v>
      </c>
      <c r="AM61" s="165">
        <v>0</v>
      </c>
      <c r="AN61" s="165">
        <f>D61*AM61</f>
        <v>0</v>
      </c>
      <c r="AO61" s="165">
        <v>0</v>
      </c>
      <c r="AP61" s="165">
        <f>AO61*D61</f>
        <v>0</v>
      </c>
      <c r="AQ61" s="165">
        <v>0</v>
      </c>
      <c r="AR61" s="165">
        <v>1500</v>
      </c>
      <c r="AS61" s="165">
        <v>0</v>
      </c>
      <c r="AT61" s="165">
        <f>AS61*D61</f>
        <v>0</v>
      </c>
      <c r="AU61" s="165">
        <v>0</v>
      </c>
      <c r="AV61" s="165">
        <f>AU61*D61</f>
        <v>0</v>
      </c>
      <c r="AW61" s="165">
        <v>0</v>
      </c>
      <c r="AX61" s="165">
        <f>AW61*D61</f>
        <v>0</v>
      </c>
      <c r="AY61" s="165">
        <v>0</v>
      </c>
      <c r="AZ61" s="165">
        <f>AY61*D61</f>
        <v>0</v>
      </c>
      <c r="BA61" s="165">
        <v>0</v>
      </c>
      <c r="BB61" s="165">
        <f>D61*BA61</f>
        <v>0</v>
      </c>
      <c r="BC61" s="165">
        <v>0</v>
      </c>
      <c r="BD61" s="165">
        <f>BC61*D61</f>
        <v>0</v>
      </c>
      <c r="BE61" s="165">
        <v>0</v>
      </c>
      <c r="BF61" s="165">
        <f>BE61*D61</f>
        <v>0</v>
      </c>
      <c r="BG61" s="165"/>
      <c r="BH61" s="165">
        <f>BG61*D61</f>
        <v>0</v>
      </c>
      <c r="BI61" s="161">
        <f t="shared" si="60"/>
        <v>0</v>
      </c>
      <c r="BJ61" s="161">
        <f t="shared" si="60"/>
        <v>1500</v>
      </c>
      <c r="BK61" s="159" t="s">
        <v>216</v>
      </c>
      <c r="BM61" s="163">
        <v>0</v>
      </c>
      <c r="BN61" s="163">
        <v>0</v>
      </c>
      <c r="BO61" s="163">
        <f>F61</f>
        <v>1500</v>
      </c>
      <c r="BP61" s="163">
        <v>0</v>
      </c>
      <c r="BQ61" s="163">
        <f>BM61+BN61+BO61+BP61</f>
        <v>1500</v>
      </c>
      <c r="BR61" s="163">
        <v>0</v>
      </c>
      <c r="BS61" s="163">
        <v>0</v>
      </c>
      <c r="BT61" s="163">
        <f>BR61+BS61</f>
        <v>0</v>
      </c>
      <c r="BU61" s="164">
        <f t="shared" si="2"/>
        <v>1500</v>
      </c>
    </row>
    <row r="62" spans="1:73" ht="15.75">
      <c r="A62" s="150"/>
      <c r="B62" s="158" t="s">
        <v>484</v>
      </c>
      <c r="C62" s="159" t="s">
        <v>115</v>
      </c>
      <c r="D62" s="135" t="s">
        <v>115</v>
      </c>
      <c r="E62" s="145">
        <f>SUM(E59:E61)</f>
        <v>0</v>
      </c>
      <c r="F62" s="145">
        <f t="shared" ref="F62:X62" si="62">SUM(F59:F61)</f>
        <v>16000</v>
      </c>
      <c r="G62" s="145">
        <f t="shared" si="62"/>
        <v>3200</v>
      </c>
      <c r="H62" s="145">
        <f t="shared" si="62"/>
        <v>12800</v>
      </c>
      <c r="I62" s="145">
        <f t="shared" si="62"/>
        <v>0</v>
      </c>
      <c r="J62" s="145">
        <f t="shared" si="62"/>
        <v>0</v>
      </c>
      <c r="K62" s="145">
        <f t="shared" si="62"/>
        <v>0</v>
      </c>
      <c r="L62" s="145">
        <f t="shared" si="62"/>
        <v>0</v>
      </c>
      <c r="M62" s="145">
        <f t="shared" si="62"/>
        <v>0</v>
      </c>
      <c r="N62" s="145">
        <f t="shared" si="62"/>
        <v>0</v>
      </c>
      <c r="O62" s="145">
        <f t="shared" si="62"/>
        <v>0</v>
      </c>
      <c r="P62" s="145">
        <f t="shared" si="62"/>
        <v>0</v>
      </c>
      <c r="Q62" s="145">
        <f t="shared" si="62"/>
        <v>0</v>
      </c>
      <c r="R62" s="145">
        <f t="shared" si="62"/>
        <v>0</v>
      </c>
      <c r="S62" s="145">
        <f t="shared" si="62"/>
        <v>0</v>
      </c>
      <c r="T62" s="145">
        <f t="shared" si="62"/>
        <v>0</v>
      </c>
      <c r="U62" s="145">
        <f t="shared" si="62"/>
        <v>0</v>
      </c>
      <c r="V62" s="145">
        <f t="shared" si="62"/>
        <v>0</v>
      </c>
      <c r="W62" s="145">
        <f t="shared" si="62"/>
        <v>0</v>
      </c>
      <c r="X62" s="145">
        <f t="shared" si="62"/>
        <v>0</v>
      </c>
      <c r="Y62" s="165">
        <f>SUM(Y59:Y61)</f>
        <v>0</v>
      </c>
      <c r="Z62" s="165">
        <f t="shared" ref="Z62:BU62" si="63">SUM(Z59:Z61)</f>
        <v>0</v>
      </c>
      <c r="AA62" s="165">
        <f t="shared" si="63"/>
        <v>0</v>
      </c>
      <c r="AB62" s="165">
        <f t="shared" si="63"/>
        <v>0</v>
      </c>
      <c r="AC62" s="165">
        <f t="shared" si="63"/>
        <v>0</v>
      </c>
      <c r="AD62" s="165">
        <f t="shared" si="63"/>
        <v>0</v>
      </c>
      <c r="AE62" s="165">
        <f t="shared" si="63"/>
        <v>0</v>
      </c>
      <c r="AF62" s="165">
        <f t="shared" si="63"/>
        <v>0</v>
      </c>
      <c r="AG62" s="165">
        <f t="shared" si="63"/>
        <v>0</v>
      </c>
      <c r="AH62" s="165">
        <f t="shared" si="63"/>
        <v>0</v>
      </c>
      <c r="AI62" s="165">
        <f t="shared" si="63"/>
        <v>0</v>
      </c>
      <c r="AJ62" s="165">
        <f t="shared" si="63"/>
        <v>0</v>
      </c>
      <c r="AK62" s="165">
        <f t="shared" si="63"/>
        <v>0</v>
      </c>
      <c r="AL62" s="165">
        <f t="shared" si="63"/>
        <v>0</v>
      </c>
      <c r="AM62" s="165">
        <f t="shared" si="63"/>
        <v>0</v>
      </c>
      <c r="AN62" s="165">
        <f t="shared" si="63"/>
        <v>0</v>
      </c>
      <c r="AO62" s="165">
        <f t="shared" si="63"/>
        <v>0</v>
      </c>
      <c r="AP62" s="165">
        <f t="shared" si="63"/>
        <v>0</v>
      </c>
      <c r="AQ62" s="165">
        <f t="shared" si="63"/>
        <v>0</v>
      </c>
      <c r="AR62" s="165">
        <f t="shared" si="63"/>
        <v>16000</v>
      </c>
      <c r="AS62" s="165">
        <f t="shared" si="63"/>
        <v>0</v>
      </c>
      <c r="AT62" s="165">
        <f t="shared" si="63"/>
        <v>0</v>
      </c>
      <c r="AU62" s="165">
        <f t="shared" si="63"/>
        <v>0</v>
      </c>
      <c r="AV62" s="165">
        <f t="shared" si="63"/>
        <v>0</v>
      </c>
      <c r="AW62" s="165">
        <f t="shared" si="63"/>
        <v>0</v>
      </c>
      <c r="AX62" s="165">
        <f t="shared" si="63"/>
        <v>0</v>
      </c>
      <c r="AY62" s="165">
        <f t="shared" si="63"/>
        <v>0</v>
      </c>
      <c r="AZ62" s="165">
        <f t="shared" si="63"/>
        <v>0</v>
      </c>
      <c r="BA62" s="165">
        <f t="shared" si="63"/>
        <v>0</v>
      </c>
      <c r="BB62" s="165">
        <f t="shared" si="63"/>
        <v>0</v>
      </c>
      <c r="BC62" s="165">
        <f t="shared" si="63"/>
        <v>0</v>
      </c>
      <c r="BD62" s="165">
        <f t="shared" si="63"/>
        <v>0</v>
      </c>
      <c r="BE62" s="165">
        <f t="shared" si="63"/>
        <v>0</v>
      </c>
      <c r="BF62" s="165">
        <f t="shared" si="63"/>
        <v>0</v>
      </c>
      <c r="BG62" s="165">
        <f t="shared" si="63"/>
        <v>0</v>
      </c>
      <c r="BH62" s="165">
        <f t="shared" si="63"/>
        <v>0</v>
      </c>
      <c r="BI62" s="165">
        <f t="shared" si="63"/>
        <v>0</v>
      </c>
      <c r="BJ62" s="165">
        <f t="shared" si="63"/>
        <v>16000</v>
      </c>
      <c r="BK62" s="165">
        <f t="shared" si="63"/>
        <v>0</v>
      </c>
      <c r="BL62" s="165">
        <f t="shared" si="63"/>
        <v>0</v>
      </c>
      <c r="BM62" s="165">
        <f t="shared" si="63"/>
        <v>0</v>
      </c>
      <c r="BN62" s="165">
        <f t="shared" si="63"/>
        <v>0</v>
      </c>
      <c r="BO62" s="165">
        <f t="shared" si="63"/>
        <v>16000</v>
      </c>
      <c r="BP62" s="165">
        <f t="shared" si="63"/>
        <v>0</v>
      </c>
      <c r="BQ62" s="165">
        <f t="shared" si="63"/>
        <v>16000</v>
      </c>
      <c r="BR62" s="165">
        <f t="shared" si="63"/>
        <v>0</v>
      </c>
      <c r="BS62" s="165">
        <f t="shared" si="63"/>
        <v>0</v>
      </c>
      <c r="BT62" s="165">
        <f t="shared" si="63"/>
        <v>0</v>
      </c>
      <c r="BU62" s="165">
        <f t="shared" si="63"/>
        <v>16000</v>
      </c>
    </row>
    <row r="63" spans="1:73" ht="15.75">
      <c r="A63" s="150"/>
      <c r="B63" s="158" t="s">
        <v>485</v>
      </c>
      <c r="C63" s="159"/>
      <c r="D63" s="159"/>
      <c r="E63" s="145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69"/>
      <c r="R63" s="169"/>
      <c r="S63" s="169"/>
      <c r="T63" s="169"/>
      <c r="U63" s="148"/>
      <c r="V63" s="148"/>
      <c r="W63" s="148"/>
      <c r="X63" s="148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1"/>
      <c r="BJ63" s="162"/>
      <c r="BK63" s="159"/>
      <c r="BM63" s="148"/>
      <c r="BN63" s="148"/>
      <c r="BO63" s="148"/>
      <c r="BP63" s="148"/>
      <c r="BQ63" s="148"/>
      <c r="BR63" s="148"/>
      <c r="BS63" s="148"/>
      <c r="BT63" s="148"/>
      <c r="BU63" s="171"/>
    </row>
    <row r="64" spans="1:73" s="23" customFormat="1" ht="15.75">
      <c r="A64" s="150" t="s">
        <v>805</v>
      </c>
      <c r="B64" s="166" t="s">
        <v>73</v>
      </c>
      <c r="C64" s="159" t="s">
        <v>71</v>
      </c>
      <c r="D64" s="135">
        <v>20000</v>
      </c>
      <c r="E64" s="155">
        <f>BI64</f>
        <v>177</v>
      </c>
      <c r="F64" s="636">
        <f>BJ64</f>
        <v>3560000</v>
      </c>
      <c r="G64" s="165">
        <f>F64*0.2</f>
        <v>712000</v>
      </c>
      <c r="H64" s="165">
        <f>F64*0.8</f>
        <v>2848000</v>
      </c>
      <c r="I64" s="148"/>
      <c r="J64" s="148"/>
      <c r="K64" s="148"/>
      <c r="L64" s="148"/>
      <c r="M64" s="148"/>
      <c r="N64" s="148"/>
      <c r="O64" s="148"/>
      <c r="P64" s="148"/>
      <c r="Q64" s="173">
        <f>E64*0.25</f>
        <v>44.25</v>
      </c>
      <c r="R64" s="173">
        <f>E64*0.25</f>
        <v>44.25</v>
      </c>
      <c r="S64" s="173">
        <f>E64*0.25</f>
        <v>44.25</v>
      </c>
      <c r="T64" s="173">
        <f>E64*0.25</f>
        <v>44.25</v>
      </c>
      <c r="U64" s="148">
        <f>Q64*D64</f>
        <v>885000</v>
      </c>
      <c r="V64" s="148">
        <f>R64*D64</f>
        <v>885000</v>
      </c>
      <c r="W64" s="148">
        <f>S64*D64</f>
        <v>885000</v>
      </c>
      <c r="X64" s="148">
        <f>T64*D64</f>
        <v>885000</v>
      </c>
      <c r="Y64" s="165">
        <v>10</v>
      </c>
      <c r="Z64" s="165">
        <f>Y64*D64</f>
        <v>200000</v>
      </c>
      <c r="AA64" s="165">
        <v>10</v>
      </c>
      <c r="AB64" s="165">
        <f>AA64*D64</f>
        <v>200000</v>
      </c>
      <c r="AC64" s="165">
        <v>15</v>
      </c>
      <c r="AD64" s="165">
        <f>AC64*D64</f>
        <v>300000</v>
      </c>
      <c r="AE64" s="165">
        <v>10</v>
      </c>
      <c r="AF64" s="165">
        <f>AE64*D64</f>
        <v>200000</v>
      </c>
      <c r="AG64" s="497">
        <v>3</v>
      </c>
      <c r="AH64" s="497">
        <f>AG64*D64</f>
        <v>60000</v>
      </c>
      <c r="AI64" s="165">
        <v>20</v>
      </c>
      <c r="AJ64" s="165">
        <f>D64*AI64</f>
        <v>400000</v>
      </c>
      <c r="AK64" s="165">
        <v>5</v>
      </c>
      <c r="AL64" s="165">
        <f>D64*AK64</f>
        <v>100000</v>
      </c>
      <c r="AM64" s="497">
        <v>2</v>
      </c>
      <c r="AN64" s="165">
        <f>D64*AM64</f>
        <v>40000</v>
      </c>
      <c r="AO64" s="165">
        <v>10</v>
      </c>
      <c r="AP64" s="165">
        <f>AO64*D64</f>
        <v>200000</v>
      </c>
      <c r="AQ64" s="165">
        <v>20</v>
      </c>
      <c r="AR64" s="165">
        <f>(AQ64*D64)+20000</f>
        <v>420000</v>
      </c>
      <c r="AS64" s="165">
        <v>20</v>
      </c>
      <c r="AT64" s="165">
        <f>AS64*D64</f>
        <v>400000</v>
      </c>
      <c r="AU64" s="497">
        <v>17</v>
      </c>
      <c r="AV64" s="497">
        <f>AU64*D64</f>
        <v>340000</v>
      </c>
      <c r="AW64" s="165">
        <v>10</v>
      </c>
      <c r="AX64" s="165">
        <f>AW64*D64</f>
        <v>200000</v>
      </c>
      <c r="AY64" s="165">
        <v>5</v>
      </c>
      <c r="AZ64" s="165">
        <f>AY64*D64</f>
        <v>100000</v>
      </c>
      <c r="BA64" s="165">
        <v>0</v>
      </c>
      <c r="BB64" s="165">
        <f>D64*BA64</f>
        <v>0</v>
      </c>
      <c r="BC64" s="165">
        <v>10</v>
      </c>
      <c r="BD64" s="165">
        <f>BC64*D64</f>
        <v>200000</v>
      </c>
      <c r="BE64" s="165">
        <v>10</v>
      </c>
      <c r="BF64" s="165">
        <f>BE64*D64</f>
        <v>200000</v>
      </c>
      <c r="BG64" s="165">
        <v>0</v>
      </c>
      <c r="BH64" s="165">
        <f>BG64*D64</f>
        <v>0</v>
      </c>
      <c r="BI64" s="161">
        <f>BG64+BE64+BC64+BA64+AY64+AW64+AU64+AS64+AQ64+AO64+AM64+AK64+AI64+AG64+AE64+AC64+AA64+Y64</f>
        <v>177</v>
      </c>
      <c r="BJ64" s="161">
        <f>BH64+BF64+BD64+BB64+AZ64+AX64+AV64+AT64+AR64+AP64+AN64+AL64+AJ64+AH64+AF64+AD64+AB64+Z64</f>
        <v>3560000</v>
      </c>
      <c r="BK64" s="159" t="s">
        <v>216</v>
      </c>
      <c r="BL64" s="504"/>
      <c r="BM64" s="148">
        <f>BM63+BM52+BM44</f>
        <v>0</v>
      </c>
      <c r="BN64" s="163">
        <f>BJ64</f>
        <v>3560000</v>
      </c>
      <c r="BO64" s="163"/>
      <c r="BP64" s="163"/>
      <c r="BQ64" s="163">
        <f>BM64+BN64+BO64+BP64</f>
        <v>3560000</v>
      </c>
      <c r="BR64" s="163"/>
      <c r="BS64" s="163"/>
      <c r="BT64" s="163"/>
      <c r="BU64" s="164">
        <f>BQ64+BT64</f>
        <v>3560000</v>
      </c>
    </row>
    <row r="65" spans="1:73" s="23" customFormat="1" ht="15.75">
      <c r="A65" s="170"/>
      <c r="B65" s="158" t="s">
        <v>524</v>
      </c>
      <c r="C65" s="159"/>
      <c r="D65" s="135"/>
      <c r="E65" s="155"/>
      <c r="F65" s="148">
        <f>F64</f>
        <v>3560000</v>
      </c>
      <c r="G65" s="148">
        <f t="shared" ref="G65:BI65" si="64">G64</f>
        <v>712000</v>
      </c>
      <c r="H65" s="148">
        <f t="shared" si="64"/>
        <v>2848000</v>
      </c>
      <c r="I65" s="148">
        <f t="shared" si="64"/>
        <v>0</v>
      </c>
      <c r="J65" s="148">
        <f t="shared" si="64"/>
        <v>0</v>
      </c>
      <c r="K65" s="148">
        <f t="shared" si="64"/>
        <v>0</v>
      </c>
      <c r="L65" s="148">
        <f t="shared" si="64"/>
        <v>0</v>
      </c>
      <c r="M65" s="148">
        <f t="shared" si="64"/>
        <v>0</v>
      </c>
      <c r="N65" s="148">
        <f t="shared" si="64"/>
        <v>0</v>
      </c>
      <c r="O65" s="148">
        <f t="shared" si="64"/>
        <v>0</v>
      </c>
      <c r="P65" s="148">
        <f t="shared" si="64"/>
        <v>0</v>
      </c>
      <c r="Q65" s="148">
        <f t="shared" si="64"/>
        <v>44.25</v>
      </c>
      <c r="R65" s="148">
        <f t="shared" si="64"/>
        <v>44.25</v>
      </c>
      <c r="S65" s="148">
        <f t="shared" si="64"/>
        <v>44.25</v>
      </c>
      <c r="T65" s="148">
        <f t="shared" si="64"/>
        <v>44.25</v>
      </c>
      <c r="U65" s="148">
        <f t="shared" si="64"/>
        <v>885000</v>
      </c>
      <c r="V65" s="148">
        <f t="shared" si="64"/>
        <v>885000</v>
      </c>
      <c r="W65" s="148">
        <f t="shared" si="64"/>
        <v>885000</v>
      </c>
      <c r="X65" s="148">
        <f t="shared" si="64"/>
        <v>885000</v>
      </c>
      <c r="Y65" s="148">
        <f t="shared" si="64"/>
        <v>10</v>
      </c>
      <c r="Z65" s="148">
        <f t="shared" si="64"/>
        <v>200000</v>
      </c>
      <c r="AA65" s="148">
        <f t="shared" si="64"/>
        <v>10</v>
      </c>
      <c r="AB65" s="148">
        <f t="shared" si="64"/>
        <v>200000</v>
      </c>
      <c r="AC65" s="148">
        <f t="shared" si="64"/>
        <v>15</v>
      </c>
      <c r="AD65" s="148">
        <f t="shared" si="64"/>
        <v>300000</v>
      </c>
      <c r="AE65" s="148">
        <f t="shared" si="64"/>
        <v>10</v>
      </c>
      <c r="AF65" s="148">
        <f t="shared" si="64"/>
        <v>200000</v>
      </c>
      <c r="AG65" s="148">
        <f t="shared" si="64"/>
        <v>3</v>
      </c>
      <c r="AH65" s="148">
        <f t="shared" si="64"/>
        <v>60000</v>
      </c>
      <c r="AI65" s="148">
        <f t="shared" si="64"/>
        <v>20</v>
      </c>
      <c r="AJ65" s="148">
        <f t="shared" si="64"/>
        <v>400000</v>
      </c>
      <c r="AK65" s="148">
        <f t="shared" si="64"/>
        <v>5</v>
      </c>
      <c r="AL65" s="148">
        <f t="shared" si="64"/>
        <v>100000</v>
      </c>
      <c r="AM65" s="148">
        <f t="shared" si="64"/>
        <v>2</v>
      </c>
      <c r="AN65" s="148">
        <f t="shared" si="64"/>
        <v>40000</v>
      </c>
      <c r="AO65" s="148">
        <f t="shared" si="64"/>
        <v>10</v>
      </c>
      <c r="AP65" s="148">
        <f t="shared" si="64"/>
        <v>200000</v>
      </c>
      <c r="AQ65" s="148">
        <f t="shared" si="64"/>
        <v>20</v>
      </c>
      <c r="AR65" s="148">
        <f t="shared" si="64"/>
        <v>420000</v>
      </c>
      <c r="AS65" s="148">
        <f t="shared" si="64"/>
        <v>20</v>
      </c>
      <c r="AT65" s="148">
        <f t="shared" si="64"/>
        <v>400000</v>
      </c>
      <c r="AU65" s="148">
        <f t="shared" si="64"/>
        <v>17</v>
      </c>
      <c r="AV65" s="148">
        <f t="shared" si="64"/>
        <v>340000</v>
      </c>
      <c r="AW65" s="148">
        <f t="shared" si="64"/>
        <v>10</v>
      </c>
      <c r="AX65" s="148">
        <f t="shared" si="64"/>
        <v>200000</v>
      </c>
      <c r="AY65" s="148">
        <f t="shared" si="64"/>
        <v>5</v>
      </c>
      <c r="AZ65" s="148">
        <f t="shared" si="64"/>
        <v>100000</v>
      </c>
      <c r="BA65" s="148">
        <f t="shared" si="64"/>
        <v>0</v>
      </c>
      <c r="BB65" s="148">
        <f t="shared" si="64"/>
        <v>0</v>
      </c>
      <c r="BC65" s="148">
        <f t="shared" si="64"/>
        <v>10</v>
      </c>
      <c r="BD65" s="148">
        <f t="shared" si="64"/>
        <v>200000</v>
      </c>
      <c r="BE65" s="148">
        <f t="shared" si="64"/>
        <v>10</v>
      </c>
      <c r="BF65" s="148">
        <f t="shared" si="64"/>
        <v>200000</v>
      </c>
      <c r="BG65" s="148">
        <f t="shared" si="64"/>
        <v>0</v>
      </c>
      <c r="BH65" s="148">
        <f t="shared" si="64"/>
        <v>0</v>
      </c>
      <c r="BI65" s="148">
        <f t="shared" si="64"/>
        <v>177</v>
      </c>
      <c r="BJ65" s="165">
        <f t="shared" ref="BJ65:BU65" si="65">SUM(BJ64)</f>
        <v>3560000</v>
      </c>
      <c r="BK65" s="165">
        <f t="shared" si="65"/>
        <v>0</v>
      </c>
      <c r="BL65" s="165">
        <f t="shared" si="65"/>
        <v>0</v>
      </c>
      <c r="BM65" s="165">
        <f t="shared" si="65"/>
        <v>0</v>
      </c>
      <c r="BN65" s="165">
        <f t="shared" si="65"/>
        <v>3560000</v>
      </c>
      <c r="BO65" s="165">
        <f t="shared" si="65"/>
        <v>0</v>
      </c>
      <c r="BP65" s="165">
        <f t="shared" si="65"/>
        <v>0</v>
      </c>
      <c r="BQ65" s="165">
        <f t="shared" si="65"/>
        <v>3560000</v>
      </c>
      <c r="BR65" s="165">
        <f t="shared" si="65"/>
        <v>0</v>
      </c>
      <c r="BS65" s="165">
        <f t="shared" si="65"/>
        <v>0</v>
      </c>
      <c r="BT65" s="165">
        <f t="shared" si="65"/>
        <v>0</v>
      </c>
      <c r="BU65" s="165">
        <f t="shared" si="65"/>
        <v>3560000</v>
      </c>
    </row>
    <row r="66" spans="1:73" s="23" customFormat="1" ht="15.75">
      <c r="A66" s="170"/>
      <c r="B66" s="176" t="s">
        <v>17</v>
      </c>
      <c r="C66" s="168" t="s">
        <v>115</v>
      </c>
      <c r="D66" s="177" t="s">
        <v>115</v>
      </c>
      <c r="E66" s="148">
        <f t="shared" ref="E66:AJ66" si="66">E15+E17+E25+E32+E35+E42+E53+E56+E62+E65</f>
        <v>10829</v>
      </c>
      <c r="F66" s="148">
        <f t="shared" si="66"/>
        <v>22690650</v>
      </c>
      <c r="G66" s="148">
        <f t="shared" si="66"/>
        <v>1538130</v>
      </c>
      <c r="H66" s="148">
        <f t="shared" si="66"/>
        <v>21152520</v>
      </c>
      <c r="I66" s="148">
        <f t="shared" si="66"/>
        <v>0</v>
      </c>
      <c r="J66" s="148">
        <f t="shared" si="66"/>
        <v>0</v>
      </c>
      <c r="K66" s="148">
        <f t="shared" si="66"/>
        <v>0</v>
      </c>
      <c r="L66" s="148">
        <f t="shared" si="66"/>
        <v>0</v>
      </c>
      <c r="M66" s="148">
        <f t="shared" si="66"/>
        <v>0</v>
      </c>
      <c r="N66" s="148">
        <f t="shared" si="66"/>
        <v>0</v>
      </c>
      <c r="O66" s="148">
        <f t="shared" si="66"/>
        <v>0</v>
      </c>
      <c r="P66" s="148">
        <f t="shared" si="66"/>
        <v>0</v>
      </c>
      <c r="Q66" s="148">
        <f t="shared" si="66"/>
        <v>2355.25</v>
      </c>
      <c r="R66" s="148">
        <f t="shared" si="66"/>
        <v>2355.25</v>
      </c>
      <c r="S66" s="148">
        <f t="shared" si="66"/>
        <v>2356</v>
      </c>
      <c r="T66" s="148">
        <f t="shared" si="66"/>
        <v>2355.5</v>
      </c>
      <c r="U66" s="148">
        <f t="shared" si="66"/>
        <v>1735162.5</v>
      </c>
      <c r="V66" s="148">
        <f t="shared" si="66"/>
        <v>1735162.5</v>
      </c>
      <c r="W66" s="148">
        <f t="shared" si="66"/>
        <v>12985162.5</v>
      </c>
      <c r="X66" s="148">
        <f t="shared" si="66"/>
        <v>5811037.5</v>
      </c>
      <c r="Y66" s="148">
        <f t="shared" si="66"/>
        <v>477</v>
      </c>
      <c r="Z66" s="148">
        <f t="shared" si="66"/>
        <v>1070700</v>
      </c>
      <c r="AA66" s="148">
        <f t="shared" si="66"/>
        <v>387</v>
      </c>
      <c r="AB66" s="148">
        <f t="shared" si="66"/>
        <v>850900</v>
      </c>
      <c r="AC66" s="148">
        <f t="shared" si="66"/>
        <v>1064</v>
      </c>
      <c r="AD66" s="148">
        <f t="shared" si="66"/>
        <v>2326600</v>
      </c>
      <c r="AE66" s="148">
        <f t="shared" si="66"/>
        <v>1298</v>
      </c>
      <c r="AF66" s="148">
        <f t="shared" si="66"/>
        <v>986000</v>
      </c>
      <c r="AG66" s="148">
        <f t="shared" si="66"/>
        <v>402</v>
      </c>
      <c r="AH66" s="148">
        <f t="shared" si="66"/>
        <v>392200</v>
      </c>
      <c r="AI66" s="148">
        <f t="shared" si="66"/>
        <v>518</v>
      </c>
      <c r="AJ66" s="148">
        <f t="shared" si="66"/>
        <v>1067700</v>
      </c>
      <c r="AK66" s="148">
        <f t="shared" ref="AK66:BP66" si="67">AK15+AK17+AK25+AK32+AK35+AK42+AK53+AK56+AK62+AK65</f>
        <v>465</v>
      </c>
      <c r="AL66" s="148">
        <f t="shared" si="67"/>
        <v>245100</v>
      </c>
      <c r="AM66" s="148">
        <f t="shared" si="67"/>
        <v>978</v>
      </c>
      <c r="AN66" s="148">
        <f t="shared" si="67"/>
        <v>451600</v>
      </c>
      <c r="AO66" s="148">
        <f t="shared" si="67"/>
        <v>248</v>
      </c>
      <c r="AP66" s="148">
        <f t="shared" si="67"/>
        <v>2286250</v>
      </c>
      <c r="AQ66" s="148">
        <f t="shared" si="67"/>
        <v>437</v>
      </c>
      <c r="AR66" s="148">
        <f t="shared" si="67"/>
        <v>3071300</v>
      </c>
      <c r="AS66" s="148">
        <f t="shared" si="67"/>
        <v>545</v>
      </c>
      <c r="AT66" s="148">
        <f t="shared" si="67"/>
        <v>1796000</v>
      </c>
      <c r="AU66" s="148">
        <f t="shared" si="67"/>
        <v>640</v>
      </c>
      <c r="AV66" s="148">
        <f t="shared" si="67"/>
        <v>2565750</v>
      </c>
      <c r="AW66" s="148">
        <f t="shared" si="67"/>
        <v>587</v>
      </c>
      <c r="AX66" s="148">
        <f t="shared" si="67"/>
        <v>423200</v>
      </c>
      <c r="AY66" s="148">
        <f t="shared" si="67"/>
        <v>711</v>
      </c>
      <c r="AZ66" s="148">
        <f t="shared" si="67"/>
        <v>821150</v>
      </c>
      <c r="BA66" s="148">
        <f t="shared" si="67"/>
        <v>358</v>
      </c>
      <c r="BB66" s="148">
        <f t="shared" si="67"/>
        <v>2633900</v>
      </c>
      <c r="BC66" s="148">
        <f t="shared" si="67"/>
        <v>813</v>
      </c>
      <c r="BD66" s="148">
        <f t="shared" si="67"/>
        <v>434200</v>
      </c>
      <c r="BE66" s="148">
        <f t="shared" si="67"/>
        <v>568</v>
      </c>
      <c r="BF66" s="148">
        <f t="shared" si="67"/>
        <v>1013100</v>
      </c>
      <c r="BG66" s="148">
        <f t="shared" si="67"/>
        <v>510</v>
      </c>
      <c r="BH66" s="148">
        <f t="shared" si="67"/>
        <v>255000</v>
      </c>
      <c r="BI66" s="148">
        <f t="shared" si="67"/>
        <v>11006</v>
      </c>
      <c r="BJ66" s="148">
        <f t="shared" si="67"/>
        <v>22690650</v>
      </c>
      <c r="BK66" s="148">
        <f t="shared" si="67"/>
        <v>0</v>
      </c>
      <c r="BL66" s="148">
        <f t="shared" si="67"/>
        <v>0</v>
      </c>
      <c r="BM66" s="148">
        <f t="shared" si="67"/>
        <v>0</v>
      </c>
      <c r="BN66" s="148">
        <f t="shared" si="67"/>
        <v>21757900</v>
      </c>
      <c r="BO66" s="148">
        <f t="shared" si="67"/>
        <v>272750</v>
      </c>
      <c r="BP66" s="148">
        <f t="shared" si="67"/>
        <v>0</v>
      </c>
      <c r="BQ66" s="148">
        <f>BQ15+BQ17+BQ25+BQ32+BQ35+BQ42+BQ53+BQ56+BQ62+BQ65</f>
        <v>22030650</v>
      </c>
      <c r="BR66" s="148">
        <f>BR15+BR17+BR25+BR32+BR35+BR42+BR53+BR56+BR62+BR65</f>
        <v>0</v>
      </c>
      <c r="BS66" s="148">
        <f>BS15+BS17+BS25+BS32+BS35+BS42+BS53+BS56+BS62+BS65</f>
        <v>0</v>
      </c>
      <c r="BT66" s="148">
        <f>BT15+BT17+BT25+BT32+BT35+BT42+BT53+BT56+BT62+BT65</f>
        <v>0</v>
      </c>
      <c r="BU66" s="148">
        <f>BU15+BU17+BU25+BU32+BU35+BU42+BU53+BU56+BU62+BU65</f>
        <v>22030650</v>
      </c>
    </row>
    <row r="68" spans="1:73" ht="33.75" customHeight="1">
      <c r="F68" s="454"/>
      <c r="H68" s="454">
        <f>F66-G66-H66</f>
        <v>0</v>
      </c>
      <c r="BI68" s="209">
        <f>F66-BJ66</f>
        <v>0</v>
      </c>
      <c r="BJ68" s="209"/>
    </row>
  </sheetData>
  <mergeCells count="30">
    <mergeCell ref="AM6:AN7"/>
    <mergeCell ref="AK6:AL7"/>
    <mergeCell ref="Y6:Z7"/>
    <mergeCell ref="A1:C1"/>
    <mergeCell ref="A2:C2"/>
    <mergeCell ref="A3:C3"/>
    <mergeCell ref="A4:C4"/>
    <mergeCell ref="E6:F6"/>
    <mergeCell ref="AI6:AJ7"/>
    <mergeCell ref="G6:P6"/>
    <mergeCell ref="Q6:T7"/>
    <mergeCell ref="AC6:AD7"/>
    <mergeCell ref="AG6:AH7"/>
    <mergeCell ref="AE6:AF7"/>
    <mergeCell ref="AA6:AB7"/>
    <mergeCell ref="U6:X7"/>
    <mergeCell ref="BU7:BU8"/>
    <mergeCell ref="BE6:BF7"/>
    <mergeCell ref="BG6:BH7"/>
    <mergeCell ref="BI6:BJ7"/>
    <mergeCell ref="BR7:BT7"/>
    <mergeCell ref="AO6:AP7"/>
    <mergeCell ref="AU6:AV7"/>
    <mergeCell ref="BM7:BQ7"/>
    <mergeCell ref="AS6:AT7"/>
    <mergeCell ref="AY6:AZ7"/>
    <mergeCell ref="BC6:BD7"/>
    <mergeCell ref="AW6:AX7"/>
    <mergeCell ref="BA6:BB7"/>
    <mergeCell ref="AQ6:AR7"/>
  </mergeCells>
  <phoneticPr fontId="2" type="noConversion"/>
  <pageMargins left="0.31" right="0.17" top="0.56000000000000005" bottom="0.41" header="0.3" footer="0.3"/>
  <pageSetup paperSize="9" scale="1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rgb="FFFF0000"/>
    <pageSetUpPr fitToPage="1"/>
  </sheetPr>
  <dimension ref="A1:BV108"/>
  <sheetViews>
    <sheetView zoomScale="90" zoomScaleNormal="90" workbookViewId="0">
      <pane xSplit="7" ySplit="10" topLeftCell="H98" activePane="bottomRight" state="frozen"/>
      <selection pane="topRight" activeCell="I1" sqref="I1"/>
      <selection pane="bottomLeft" activeCell="A11" sqref="A11"/>
      <selection pane="bottomRight" activeCell="E108" sqref="E108"/>
    </sheetView>
  </sheetViews>
  <sheetFormatPr defaultColWidth="9.140625" defaultRowHeight="15.75"/>
  <cols>
    <col min="1" max="1" width="11.7109375" style="139" customWidth="1"/>
    <col min="2" max="2" width="14.140625" style="183" customWidth="1"/>
    <col min="3" max="3" width="42.140625" style="139" customWidth="1"/>
    <col min="4" max="4" width="16.5703125" style="139" customWidth="1"/>
    <col min="5" max="5" width="16.42578125" style="139" customWidth="1"/>
    <col min="6" max="6" width="10.85546875" style="140" customWidth="1"/>
    <col min="7" max="7" width="20" style="140" customWidth="1"/>
    <col min="8" max="8" width="16" style="140" customWidth="1"/>
    <col min="9" max="9" width="16.5703125" style="140" customWidth="1"/>
    <col min="10" max="10" width="13.140625" style="140" customWidth="1"/>
    <col min="11" max="11" width="13.140625" style="140" bestFit="1" customWidth="1"/>
    <col min="12" max="12" width="14" style="140" customWidth="1"/>
    <col min="13" max="13" width="16.5703125" style="140" customWidth="1"/>
    <col min="14" max="14" width="5.85546875" style="140" customWidth="1"/>
    <col min="15" max="15" width="4.85546875" style="140" customWidth="1"/>
    <col min="16" max="16" width="12.42578125" style="140" bestFit="1" customWidth="1"/>
    <col min="17" max="17" width="14.85546875" style="140" customWidth="1"/>
    <col min="18" max="18" width="10.5703125" style="181" hidden="1" customWidth="1"/>
    <col min="19" max="19" width="10.85546875" style="181" hidden="1" customWidth="1"/>
    <col min="20" max="20" width="8.7109375" style="181" hidden="1" customWidth="1"/>
    <col min="21" max="21" width="8.5703125" style="181" hidden="1" customWidth="1"/>
    <col min="22" max="22" width="17.85546875" style="182" hidden="1" customWidth="1"/>
    <col min="23" max="25" width="16.7109375" style="182" hidden="1" customWidth="1"/>
    <col min="26" max="26" width="10.28515625" style="140" customWidth="1"/>
    <col min="27" max="27" width="17.7109375" style="140" customWidth="1"/>
    <col min="28" max="28" width="8.28515625" style="140" customWidth="1"/>
    <col min="29" max="29" width="15.42578125" style="140" customWidth="1"/>
    <col min="30" max="30" width="8.5703125" style="140" customWidth="1"/>
    <col min="31" max="31" width="18.85546875" style="140" customWidth="1"/>
    <col min="32" max="32" width="9.85546875" style="140" customWidth="1"/>
    <col min="33" max="33" width="19.140625" style="140" customWidth="1"/>
    <col min="34" max="34" width="10" style="140" customWidth="1"/>
    <col min="35" max="35" width="17.7109375" style="140" customWidth="1"/>
    <col min="36" max="36" width="9" style="140" customWidth="1"/>
    <col min="37" max="37" width="18" style="140" customWidth="1"/>
    <col min="38" max="38" width="7.85546875" style="140" customWidth="1"/>
    <col min="39" max="39" width="16" style="140" customWidth="1"/>
    <col min="40" max="40" width="6.85546875" style="140" customWidth="1"/>
    <col min="41" max="41" width="16.7109375" style="140" customWidth="1"/>
    <col min="42" max="42" width="7.7109375" style="140" customWidth="1"/>
    <col min="43" max="43" width="15" style="140" customWidth="1"/>
    <col min="44" max="44" width="8.85546875" style="140" customWidth="1"/>
    <col min="45" max="45" width="18.5703125" style="140" customWidth="1"/>
    <col min="46" max="46" width="9.42578125" style="140" customWidth="1"/>
    <col min="47" max="47" width="18.5703125" style="140" customWidth="1"/>
    <col min="48" max="48" width="11.7109375" style="140" customWidth="1"/>
    <col min="49" max="49" width="16.140625" style="140" customWidth="1"/>
    <col min="50" max="50" width="10.85546875" style="140" customWidth="1"/>
    <col min="51" max="51" width="16.5703125" style="140" customWidth="1"/>
    <col min="52" max="52" width="11.140625" style="140" customWidth="1"/>
    <col min="53" max="53" width="14.7109375" style="140" customWidth="1"/>
    <col min="54" max="54" width="12.7109375" style="140" customWidth="1"/>
    <col min="55" max="55" width="16.5703125" style="140" customWidth="1"/>
    <col min="56" max="56" width="10.42578125" style="140" customWidth="1"/>
    <col min="57" max="57" width="16.5703125" style="140" customWidth="1"/>
    <col min="58" max="58" width="13" style="140" customWidth="1"/>
    <col min="59" max="59" width="18.7109375" style="140" bestFit="1" customWidth="1"/>
    <col min="60" max="60" width="7.140625" style="140" customWidth="1"/>
    <col min="61" max="61" width="15.7109375" style="140" customWidth="1"/>
    <col min="62" max="62" width="12" style="140" customWidth="1"/>
    <col min="63" max="63" width="18.140625" style="140" customWidth="1"/>
    <col min="64" max="64" width="19.85546875" style="183" customWidth="1"/>
    <col min="65" max="65" width="18.5703125" style="139" hidden="1" customWidth="1"/>
    <col min="66" max="66" width="18.7109375" style="139" customWidth="1"/>
    <col min="67" max="67" width="18.5703125" style="139" customWidth="1"/>
    <col min="68" max="68" width="19.42578125" style="139" customWidth="1"/>
    <col min="69" max="69" width="11.5703125" style="139" customWidth="1"/>
    <col min="70" max="70" width="18.28515625" style="139" bestFit="1" customWidth="1"/>
    <col min="71" max="71" width="13.5703125" style="139" customWidth="1"/>
    <col min="72" max="72" width="9.140625" style="139" customWidth="1"/>
    <col min="73" max="73" width="16.7109375" style="139" customWidth="1"/>
    <col min="74" max="74" width="19" style="139" customWidth="1"/>
    <col min="75" max="16384" width="9.140625" style="139"/>
  </cols>
  <sheetData>
    <row r="1" spans="1:74" hidden="1">
      <c r="A1" s="911"/>
      <c r="B1" s="911"/>
      <c r="C1" s="911"/>
      <c r="D1" s="911"/>
      <c r="E1" s="911"/>
      <c r="F1" s="911"/>
      <c r="G1" s="911"/>
      <c r="H1" s="911"/>
      <c r="I1" s="911"/>
      <c r="J1" s="911"/>
      <c r="K1" s="911"/>
      <c r="L1" s="911"/>
      <c r="M1" s="911"/>
      <c r="N1" s="911"/>
      <c r="O1" s="911"/>
      <c r="P1" s="911"/>
      <c r="Q1" s="912"/>
    </row>
    <row r="2" spans="1:74" hidden="1">
      <c r="A2" s="184" t="s">
        <v>163</v>
      </c>
      <c r="B2" s="184"/>
      <c r="C2" s="906" t="s">
        <v>157</v>
      </c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13"/>
      <c r="R2" s="185"/>
      <c r="S2" s="185"/>
      <c r="T2" s="185"/>
      <c r="U2" s="185"/>
      <c r="V2" s="186"/>
      <c r="W2" s="186"/>
      <c r="X2" s="186"/>
      <c r="Y2" s="186"/>
    </row>
    <row r="3" spans="1:74">
      <c r="A3" s="184" t="s">
        <v>159</v>
      </c>
      <c r="B3" s="184"/>
      <c r="C3" s="906" t="s">
        <v>158</v>
      </c>
      <c r="D3" s="906"/>
      <c r="E3" s="906"/>
      <c r="F3" s="906"/>
      <c r="G3" s="906"/>
      <c r="H3" s="906"/>
      <c r="I3" s="906"/>
      <c r="J3" s="906"/>
      <c r="K3" s="906"/>
      <c r="L3" s="906"/>
      <c r="M3" s="906"/>
      <c r="N3" s="906"/>
      <c r="O3" s="906"/>
      <c r="P3" s="906"/>
      <c r="Q3" s="913"/>
      <c r="R3" s="185"/>
      <c r="S3" s="185"/>
      <c r="T3" s="185"/>
      <c r="U3" s="185"/>
      <c r="V3" s="186"/>
      <c r="W3" s="186"/>
      <c r="X3" s="186"/>
      <c r="Y3" s="186"/>
      <c r="Z3" s="140" t="s">
        <v>299</v>
      </c>
      <c r="AA3" s="140">
        <v>8.34</v>
      </c>
      <c r="AC3" s="140">
        <v>2.85</v>
      </c>
      <c r="AE3" s="140">
        <v>8.3800000000000008</v>
      </c>
      <c r="AG3" s="140">
        <v>7.49</v>
      </c>
      <c r="AI3" s="140">
        <v>3.33</v>
      </c>
      <c r="AK3" s="140">
        <v>6.64</v>
      </c>
      <c r="AM3" s="140">
        <v>3.67</v>
      </c>
      <c r="AO3" s="140">
        <v>5.0599999999999996</v>
      </c>
      <c r="AQ3" s="140">
        <v>5.94</v>
      </c>
      <c r="AS3" s="140">
        <v>6.85</v>
      </c>
      <c r="AU3" s="140">
        <v>7.45</v>
      </c>
      <c r="AW3" s="140">
        <v>5.13</v>
      </c>
      <c r="AY3" s="140">
        <v>4.8600000000000003</v>
      </c>
      <c r="BA3" s="140">
        <v>5.79</v>
      </c>
      <c r="BC3" s="140">
        <v>5.3</v>
      </c>
      <c r="BE3" s="140">
        <v>3.47</v>
      </c>
      <c r="BG3" s="140">
        <v>9.42</v>
      </c>
    </row>
    <row r="4" spans="1:74">
      <c r="A4" s="184" t="s">
        <v>160</v>
      </c>
      <c r="B4" s="184"/>
      <c r="C4" s="906" t="s">
        <v>950</v>
      </c>
      <c r="D4" s="906"/>
      <c r="E4" s="906"/>
      <c r="F4" s="906"/>
      <c r="G4" s="906"/>
      <c r="H4" s="906"/>
      <c r="I4" s="906"/>
      <c r="J4" s="906"/>
      <c r="K4" s="906"/>
      <c r="L4" s="906"/>
      <c r="M4" s="906"/>
      <c r="N4" s="906"/>
      <c r="O4" s="906"/>
      <c r="P4" s="906"/>
      <c r="Q4" s="913"/>
      <c r="R4" s="185"/>
      <c r="S4" s="185"/>
      <c r="T4" s="185"/>
      <c r="U4" s="185"/>
      <c r="V4" s="186"/>
      <c r="W4" s="186"/>
      <c r="X4" s="186"/>
      <c r="Y4" s="186"/>
      <c r="Z4" s="140" t="s">
        <v>297</v>
      </c>
      <c r="AA4" s="140">
        <v>48</v>
      </c>
      <c r="AC4" s="140">
        <v>23</v>
      </c>
      <c r="AE4" s="140">
        <v>80</v>
      </c>
      <c r="AG4" s="140">
        <v>105</v>
      </c>
      <c r="AI4" s="140">
        <v>43</v>
      </c>
      <c r="AK4" s="140">
        <v>75</v>
      </c>
      <c r="AM4" s="140">
        <v>41</v>
      </c>
      <c r="AO4" s="140">
        <v>101</v>
      </c>
      <c r="AQ4" s="140">
        <v>8</v>
      </c>
      <c r="AS4" s="140">
        <v>33</v>
      </c>
      <c r="AU4" s="140">
        <v>53</v>
      </c>
      <c r="AW4" s="140">
        <v>52</v>
      </c>
      <c r="AY4" s="140">
        <v>76</v>
      </c>
      <c r="BA4" s="140">
        <v>82</v>
      </c>
      <c r="BC4" s="140">
        <v>104</v>
      </c>
      <c r="BE4" s="140">
        <v>147</v>
      </c>
      <c r="BG4" s="140">
        <v>54</v>
      </c>
    </row>
    <row r="5" spans="1:74">
      <c r="A5" s="184" t="s">
        <v>173</v>
      </c>
      <c r="B5" s="184"/>
      <c r="C5" s="906" t="s">
        <v>92</v>
      </c>
      <c r="D5" s="906"/>
      <c r="E5" s="906"/>
      <c r="F5" s="906"/>
      <c r="G5" s="906"/>
      <c r="H5" s="906"/>
      <c r="I5" s="906"/>
      <c r="J5" s="906"/>
      <c r="K5" s="906"/>
      <c r="L5" s="906"/>
      <c r="M5" s="906"/>
      <c r="N5" s="906"/>
      <c r="O5" s="906"/>
      <c r="P5" s="906"/>
      <c r="Q5" s="913"/>
      <c r="R5" s="185"/>
      <c r="S5" s="185"/>
      <c r="T5" s="185"/>
      <c r="U5" s="185"/>
      <c r="V5" s="186"/>
      <c r="W5" s="186"/>
      <c r="X5" s="186"/>
      <c r="Y5" s="186"/>
      <c r="Z5" s="140" t="s">
        <v>298</v>
      </c>
      <c r="AA5" s="141">
        <f t="shared" ref="AA5:BG5" si="0">AA4/1125*100</f>
        <v>4.2666666666666666</v>
      </c>
      <c r="AB5" s="141">
        <f t="shared" si="0"/>
        <v>0</v>
      </c>
      <c r="AC5" s="141">
        <f t="shared" si="0"/>
        <v>2.0444444444444447</v>
      </c>
      <c r="AD5" s="141">
        <f t="shared" si="0"/>
        <v>0</v>
      </c>
      <c r="AE5" s="141">
        <f t="shared" si="0"/>
        <v>7.1111111111111107</v>
      </c>
      <c r="AF5" s="141">
        <f t="shared" si="0"/>
        <v>0</v>
      </c>
      <c r="AG5" s="141">
        <f t="shared" si="0"/>
        <v>9.3333333333333339</v>
      </c>
      <c r="AH5" s="141">
        <f t="shared" si="0"/>
        <v>0</v>
      </c>
      <c r="AI5" s="141">
        <f t="shared" si="0"/>
        <v>3.822222222222222</v>
      </c>
      <c r="AJ5" s="141">
        <f t="shared" si="0"/>
        <v>0</v>
      </c>
      <c r="AK5" s="141">
        <f t="shared" si="0"/>
        <v>6.666666666666667</v>
      </c>
      <c r="AL5" s="141">
        <f t="shared" si="0"/>
        <v>0</v>
      </c>
      <c r="AM5" s="141">
        <f t="shared" si="0"/>
        <v>3.6444444444444448</v>
      </c>
      <c r="AN5" s="141">
        <f t="shared" si="0"/>
        <v>0</v>
      </c>
      <c r="AO5" s="141">
        <f t="shared" si="0"/>
        <v>8.9777777777777779</v>
      </c>
      <c r="AP5" s="141">
        <f t="shared" si="0"/>
        <v>0</v>
      </c>
      <c r="AQ5" s="141">
        <f t="shared" si="0"/>
        <v>0.71111111111111114</v>
      </c>
      <c r="AR5" s="141">
        <f t="shared" si="0"/>
        <v>0</v>
      </c>
      <c r="AS5" s="141">
        <f t="shared" si="0"/>
        <v>2.9333333333333331</v>
      </c>
      <c r="AT5" s="141">
        <f t="shared" si="0"/>
        <v>0</v>
      </c>
      <c r="AU5" s="141">
        <f t="shared" si="0"/>
        <v>4.7111111111111112</v>
      </c>
      <c r="AV5" s="141">
        <f t="shared" si="0"/>
        <v>0</v>
      </c>
      <c r="AW5" s="141">
        <f t="shared" si="0"/>
        <v>4.6222222222222218</v>
      </c>
      <c r="AX5" s="141">
        <f t="shared" si="0"/>
        <v>0</v>
      </c>
      <c r="AY5" s="141">
        <f t="shared" si="0"/>
        <v>6.7555555555555546</v>
      </c>
      <c r="AZ5" s="141">
        <f t="shared" si="0"/>
        <v>0</v>
      </c>
      <c r="BA5" s="141">
        <f t="shared" si="0"/>
        <v>7.2888888888888896</v>
      </c>
      <c r="BB5" s="141">
        <f t="shared" si="0"/>
        <v>0</v>
      </c>
      <c r="BC5" s="141">
        <f t="shared" si="0"/>
        <v>9.2444444444444436</v>
      </c>
      <c r="BD5" s="141">
        <f t="shared" si="0"/>
        <v>0</v>
      </c>
      <c r="BE5" s="141">
        <f t="shared" si="0"/>
        <v>13.066666666666665</v>
      </c>
      <c r="BF5" s="141">
        <f t="shared" si="0"/>
        <v>0</v>
      </c>
      <c r="BG5" s="141">
        <f t="shared" si="0"/>
        <v>4.8</v>
      </c>
    </row>
    <row r="6" spans="1:74">
      <c r="A6" s="184" t="s">
        <v>179</v>
      </c>
      <c r="B6" s="184"/>
      <c r="C6" s="906" t="s">
        <v>180</v>
      </c>
      <c r="D6" s="906"/>
      <c r="E6" s="906"/>
      <c r="F6" s="906"/>
      <c r="G6" s="906"/>
      <c r="H6" s="906"/>
      <c r="I6" s="906"/>
      <c r="J6" s="906"/>
      <c r="K6" s="906"/>
      <c r="L6" s="906"/>
      <c r="M6" s="906"/>
      <c r="N6" s="906"/>
      <c r="O6" s="906"/>
      <c r="P6" s="906"/>
      <c r="Q6" s="913"/>
      <c r="R6" s="185"/>
      <c r="S6" s="185"/>
      <c r="T6" s="185"/>
      <c r="U6" s="185"/>
      <c r="V6" s="186"/>
      <c r="W6" s="186"/>
      <c r="X6" s="186"/>
      <c r="Y6" s="186"/>
    </row>
    <row r="7" spans="1:74" ht="15.75" customHeight="1">
      <c r="A7" s="906"/>
      <c r="B7" s="906"/>
      <c r="C7" s="906"/>
      <c r="D7" s="906"/>
      <c r="E7" s="155"/>
      <c r="F7" s="907" t="s">
        <v>21</v>
      </c>
      <c r="G7" s="907"/>
      <c r="H7" s="908" t="s">
        <v>156</v>
      </c>
      <c r="I7" s="909"/>
      <c r="J7" s="909"/>
      <c r="K7" s="909"/>
      <c r="L7" s="909"/>
      <c r="M7" s="909"/>
      <c r="N7" s="909"/>
      <c r="O7" s="909"/>
      <c r="P7" s="909"/>
      <c r="Q7" s="910"/>
      <c r="R7" s="916" t="s">
        <v>61</v>
      </c>
      <c r="S7" s="916"/>
      <c r="T7" s="916"/>
      <c r="U7" s="916"/>
      <c r="V7" s="917" t="s">
        <v>6</v>
      </c>
      <c r="W7" s="917"/>
      <c r="X7" s="917"/>
      <c r="Y7" s="917"/>
      <c r="Z7" s="902" t="s">
        <v>184</v>
      </c>
      <c r="AA7" s="902"/>
      <c r="AB7" s="902" t="s">
        <v>185</v>
      </c>
      <c r="AC7" s="902"/>
      <c r="AD7" s="902" t="s">
        <v>186</v>
      </c>
      <c r="AE7" s="902"/>
      <c r="AF7" s="902" t="s">
        <v>187</v>
      </c>
      <c r="AG7" s="902"/>
      <c r="AH7" s="893" t="s">
        <v>188</v>
      </c>
      <c r="AI7" s="893"/>
      <c r="AJ7" s="902" t="s">
        <v>189</v>
      </c>
      <c r="AK7" s="902"/>
      <c r="AL7" s="902" t="s">
        <v>190</v>
      </c>
      <c r="AM7" s="902"/>
      <c r="AN7" s="902" t="s">
        <v>191</v>
      </c>
      <c r="AO7" s="902"/>
      <c r="AP7" s="902" t="s">
        <v>192</v>
      </c>
      <c r="AQ7" s="902"/>
      <c r="AR7" s="902" t="s">
        <v>193</v>
      </c>
      <c r="AS7" s="902"/>
      <c r="AT7" s="902" t="s">
        <v>194</v>
      </c>
      <c r="AU7" s="902"/>
      <c r="AV7" s="902" t="s">
        <v>195</v>
      </c>
      <c r="AW7" s="902"/>
      <c r="AX7" s="902" t="s">
        <v>196</v>
      </c>
      <c r="AY7" s="902"/>
      <c r="AZ7" s="902" t="s">
        <v>197</v>
      </c>
      <c r="BA7" s="902"/>
      <c r="BB7" s="902" t="s">
        <v>198</v>
      </c>
      <c r="BC7" s="902"/>
      <c r="BD7" s="902" t="s">
        <v>199</v>
      </c>
      <c r="BE7" s="902"/>
      <c r="BF7" s="902" t="s">
        <v>200</v>
      </c>
      <c r="BG7" s="902"/>
      <c r="BH7" s="902" t="s">
        <v>201</v>
      </c>
      <c r="BI7" s="902"/>
      <c r="BJ7" s="893" t="s">
        <v>17</v>
      </c>
      <c r="BK7" s="893"/>
      <c r="BL7" s="187"/>
      <c r="BM7" s="905"/>
      <c r="BV7" s="188"/>
    </row>
    <row r="8" spans="1:74" s="192" customFormat="1" ht="40.5" customHeight="1">
      <c r="A8" s="189" t="s">
        <v>13</v>
      </c>
      <c r="B8" s="190" t="s">
        <v>20</v>
      </c>
      <c r="C8" s="914" t="s">
        <v>12</v>
      </c>
      <c r="D8" s="914" t="s">
        <v>14</v>
      </c>
      <c r="E8" s="914" t="s">
        <v>182</v>
      </c>
      <c r="F8" s="915" t="s">
        <v>19</v>
      </c>
      <c r="G8" s="915" t="s">
        <v>25</v>
      </c>
      <c r="H8" s="23" t="s">
        <v>204</v>
      </c>
      <c r="I8" s="23" t="s">
        <v>205</v>
      </c>
      <c r="J8" s="23" t="s">
        <v>206</v>
      </c>
      <c r="K8" s="23" t="s">
        <v>207</v>
      </c>
      <c r="L8" s="23" t="s">
        <v>208</v>
      </c>
      <c r="M8" s="23" t="s">
        <v>209</v>
      </c>
      <c r="N8" s="23" t="s">
        <v>210</v>
      </c>
      <c r="O8" s="23" t="s">
        <v>211</v>
      </c>
      <c r="P8" s="23" t="s">
        <v>212</v>
      </c>
      <c r="Q8" s="23" t="s">
        <v>818</v>
      </c>
      <c r="R8" s="916"/>
      <c r="S8" s="916"/>
      <c r="T8" s="916"/>
      <c r="U8" s="916"/>
      <c r="V8" s="917"/>
      <c r="W8" s="917"/>
      <c r="X8" s="917"/>
      <c r="Y8" s="917"/>
      <c r="Z8" s="902"/>
      <c r="AA8" s="902"/>
      <c r="AB8" s="902" t="s">
        <v>43</v>
      </c>
      <c r="AC8" s="902"/>
      <c r="AD8" s="902" t="s">
        <v>44</v>
      </c>
      <c r="AE8" s="902"/>
      <c r="AF8" s="902" t="s">
        <v>45</v>
      </c>
      <c r="AG8" s="902"/>
      <c r="AH8" s="893" t="s">
        <v>46</v>
      </c>
      <c r="AI8" s="893"/>
      <c r="AJ8" s="902" t="s">
        <v>47</v>
      </c>
      <c r="AK8" s="902"/>
      <c r="AL8" s="902" t="s">
        <v>48</v>
      </c>
      <c r="AM8" s="902"/>
      <c r="AN8" s="902" t="s">
        <v>49</v>
      </c>
      <c r="AO8" s="902"/>
      <c r="AP8" s="902" t="s">
        <v>50</v>
      </c>
      <c r="AQ8" s="902"/>
      <c r="AR8" s="902" t="s">
        <v>51</v>
      </c>
      <c r="AS8" s="902"/>
      <c r="AT8" s="902" t="s">
        <v>52</v>
      </c>
      <c r="AU8" s="902"/>
      <c r="AV8" s="902" t="s">
        <v>53</v>
      </c>
      <c r="AW8" s="902"/>
      <c r="AX8" s="902" t="s">
        <v>54</v>
      </c>
      <c r="AY8" s="902"/>
      <c r="AZ8" s="902" t="s">
        <v>55</v>
      </c>
      <c r="BA8" s="902"/>
      <c r="BB8" s="902" t="s">
        <v>40</v>
      </c>
      <c r="BC8" s="902"/>
      <c r="BD8" s="902" t="s">
        <v>37</v>
      </c>
      <c r="BE8" s="902"/>
      <c r="BF8" s="902"/>
      <c r="BG8" s="902"/>
      <c r="BH8" s="902"/>
      <c r="BI8" s="902"/>
      <c r="BJ8" s="893"/>
      <c r="BK8" s="893"/>
      <c r="BL8" s="191" t="s">
        <v>236</v>
      </c>
      <c r="BM8" s="905"/>
      <c r="BN8" s="892" t="s">
        <v>234</v>
      </c>
      <c r="BO8" s="892"/>
      <c r="BP8" s="892"/>
      <c r="BQ8" s="892"/>
      <c r="BR8" s="892"/>
      <c r="BS8" s="892" t="s">
        <v>235</v>
      </c>
      <c r="BT8" s="892"/>
      <c r="BU8" s="892"/>
      <c r="BV8" s="886" t="s">
        <v>17</v>
      </c>
    </row>
    <row r="9" spans="1:74" s="192" customFormat="1" ht="43.5" customHeight="1">
      <c r="A9" s="189"/>
      <c r="B9" s="190"/>
      <c r="C9" s="914"/>
      <c r="D9" s="914"/>
      <c r="E9" s="914" t="s">
        <v>22</v>
      </c>
      <c r="F9" s="915" t="s">
        <v>23</v>
      </c>
      <c r="G9" s="915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4" t="s">
        <v>7</v>
      </c>
      <c r="S9" s="194" t="s">
        <v>8</v>
      </c>
      <c r="T9" s="194" t="s">
        <v>9</v>
      </c>
      <c r="U9" s="194" t="s">
        <v>10</v>
      </c>
      <c r="V9" s="195" t="s">
        <v>7</v>
      </c>
      <c r="W9" s="195" t="s">
        <v>8</v>
      </c>
      <c r="X9" s="195" t="s">
        <v>9</v>
      </c>
      <c r="Y9" s="195" t="s">
        <v>10</v>
      </c>
      <c r="Z9" s="195" t="s">
        <v>14</v>
      </c>
      <c r="AA9" s="195" t="s">
        <v>15</v>
      </c>
      <c r="AB9" s="195" t="s">
        <v>14</v>
      </c>
      <c r="AC9" s="195" t="s">
        <v>15</v>
      </c>
      <c r="AD9" s="195" t="s">
        <v>14</v>
      </c>
      <c r="AE9" s="195" t="s">
        <v>15</v>
      </c>
      <c r="AF9" s="195" t="s">
        <v>14</v>
      </c>
      <c r="AG9" s="195" t="s">
        <v>15</v>
      </c>
      <c r="AH9" s="195" t="s">
        <v>14</v>
      </c>
      <c r="AI9" s="195" t="s">
        <v>15</v>
      </c>
      <c r="AJ9" s="195" t="s">
        <v>14</v>
      </c>
      <c r="AK9" s="195" t="s">
        <v>15</v>
      </c>
      <c r="AL9" s="195" t="s">
        <v>14</v>
      </c>
      <c r="AM9" s="195" t="s">
        <v>15</v>
      </c>
      <c r="AN9" s="195" t="s">
        <v>14</v>
      </c>
      <c r="AO9" s="195" t="s">
        <v>15</v>
      </c>
      <c r="AP9" s="195" t="s">
        <v>14</v>
      </c>
      <c r="AQ9" s="195" t="s">
        <v>15</v>
      </c>
      <c r="AR9" s="195" t="s">
        <v>14</v>
      </c>
      <c r="AS9" s="195" t="s">
        <v>15</v>
      </c>
      <c r="AT9" s="195" t="s">
        <v>14</v>
      </c>
      <c r="AU9" s="195" t="s">
        <v>15</v>
      </c>
      <c r="AV9" s="195" t="s">
        <v>14</v>
      </c>
      <c r="AW9" s="195" t="s">
        <v>15</v>
      </c>
      <c r="AX9" s="195" t="s">
        <v>14</v>
      </c>
      <c r="AY9" s="195" t="s">
        <v>15</v>
      </c>
      <c r="AZ9" s="195" t="s">
        <v>14</v>
      </c>
      <c r="BA9" s="195" t="s">
        <v>15</v>
      </c>
      <c r="BB9" s="195" t="s">
        <v>14</v>
      </c>
      <c r="BC9" s="195" t="s">
        <v>15</v>
      </c>
      <c r="BD9" s="195" t="s">
        <v>14</v>
      </c>
      <c r="BE9" s="195" t="s">
        <v>15</v>
      </c>
      <c r="BF9" s="195" t="s">
        <v>14</v>
      </c>
      <c r="BG9" s="195" t="s">
        <v>15</v>
      </c>
      <c r="BH9" s="195" t="s">
        <v>14</v>
      </c>
      <c r="BI9" s="195" t="s">
        <v>15</v>
      </c>
      <c r="BJ9" s="195" t="s">
        <v>14</v>
      </c>
      <c r="BK9" s="195" t="s">
        <v>15</v>
      </c>
      <c r="BL9" s="191"/>
      <c r="BM9" s="905"/>
      <c r="BN9" s="155" t="s">
        <v>225</v>
      </c>
      <c r="BO9" s="156" t="s">
        <v>226</v>
      </c>
      <c r="BP9" s="156" t="s">
        <v>227</v>
      </c>
      <c r="BQ9" s="157" t="s">
        <v>228</v>
      </c>
      <c r="BR9" s="156" t="s">
        <v>229</v>
      </c>
      <c r="BS9" s="156" t="s">
        <v>230</v>
      </c>
      <c r="BT9" s="156" t="s">
        <v>231</v>
      </c>
      <c r="BU9" s="156" t="s">
        <v>232</v>
      </c>
      <c r="BV9" s="886"/>
    </row>
    <row r="10" spans="1:74" ht="14.45" customHeight="1">
      <c r="A10" s="903" t="s">
        <v>92</v>
      </c>
      <c r="B10" s="191"/>
      <c r="C10" s="158" t="s">
        <v>327</v>
      </c>
      <c r="D10" s="159"/>
      <c r="E10" s="159"/>
      <c r="F10" s="197"/>
      <c r="G10" s="198"/>
      <c r="H10" s="198"/>
      <c r="I10" s="198"/>
      <c r="J10" s="198"/>
      <c r="K10" s="198"/>
      <c r="L10" s="198"/>
      <c r="M10" s="198"/>
      <c r="N10" s="198"/>
      <c r="O10" s="199"/>
      <c r="P10" s="199"/>
      <c r="Q10" s="199"/>
      <c r="R10" s="200"/>
      <c r="S10" s="200"/>
      <c r="T10" s="201"/>
      <c r="U10" s="201"/>
      <c r="V10" s="21"/>
      <c r="W10" s="21"/>
      <c r="X10" s="21"/>
      <c r="Y10" s="21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180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159"/>
      <c r="BN10" s="163"/>
      <c r="BO10" s="163"/>
      <c r="BP10" s="163"/>
      <c r="BQ10" s="163"/>
      <c r="BR10" s="163"/>
      <c r="BS10" s="163"/>
      <c r="BT10" s="163"/>
      <c r="BU10" s="163"/>
      <c r="BV10" s="203">
        <f t="shared" ref="BV10:BV33" si="1">BR10+BU10</f>
        <v>0</v>
      </c>
    </row>
    <row r="11" spans="1:74" ht="42" customHeight="1">
      <c r="A11" s="904"/>
      <c r="C11" s="205" t="s">
        <v>705</v>
      </c>
      <c r="D11" s="159"/>
      <c r="E11" s="159"/>
      <c r="F11" s="197"/>
      <c r="G11" s="198"/>
      <c r="H11" s="198"/>
      <c r="I11" s="198"/>
      <c r="J11" s="198"/>
      <c r="K11" s="198"/>
      <c r="L11" s="198"/>
      <c r="M11" s="198"/>
      <c r="N11" s="198"/>
      <c r="O11" s="199"/>
      <c r="P11" s="199"/>
      <c r="Q11" s="199"/>
      <c r="R11" s="200"/>
      <c r="S11" s="200"/>
      <c r="T11" s="201"/>
      <c r="U11" s="201"/>
      <c r="V11" s="21"/>
      <c r="W11" s="21"/>
      <c r="X11" s="21"/>
      <c r="Y11" s="21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180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159"/>
      <c r="BN11" s="163"/>
      <c r="BO11" s="163"/>
      <c r="BP11" s="163"/>
      <c r="BQ11" s="163"/>
      <c r="BR11" s="163"/>
      <c r="BS11" s="163"/>
      <c r="BT11" s="163"/>
      <c r="BU11" s="163"/>
      <c r="BV11" s="203">
        <f t="shared" si="1"/>
        <v>0</v>
      </c>
    </row>
    <row r="12" spans="1:74">
      <c r="A12" s="904"/>
      <c r="B12" s="191" t="s">
        <v>806</v>
      </c>
      <c r="C12" s="166" t="s">
        <v>706</v>
      </c>
      <c r="D12" s="159" t="s">
        <v>71</v>
      </c>
      <c r="E12" s="135">
        <v>100</v>
      </c>
      <c r="F12" s="206">
        <f>BJ12</f>
        <v>2010</v>
      </c>
      <c r="G12" s="207">
        <f>F12*E12</f>
        <v>201000</v>
      </c>
      <c r="H12" s="208">
        <f>G12*0.2</f>
        <v>40200</v>
      </c>
      <c r="I12" s="208">
        <f>G12*0.8</f>
        <v>160800</v>
      </c>
      <c r="J12" s="207"/>
      <c r="K12" s="207"/>
      <c r="L12" s="207"/>
      <c r="M12" s="207"/>
      <c r="N12" s="207"/>
      <c r="O12" s="207"/>
      <c r="P12" s="207"/>
      <c r="Q12" s="207"/>
      <c r="R12" s="180">
        <f>F12*0.25</f>
        <v>502.5</v>
      </c>
      <c r="S12" s="180">
        <f>F12*0.25</f>
        <v>502.5</v>
      </c>
      <c r="T12" s="180">
        <f>F12*0.25</f>
        <v>502.5</v>
      </c>
      <c r="U12" s="180">
        <f>F12*0.25</f>
        <v>502.5</v>
      </c>
      <c r="V12" s="202">
        <f>R12*E12</f>
        <v>50250</v>
      </c>
      <c r="W12" s="202">
        <f>S12*E12</f>
        <v>50250</v>
      </c>
      <c r="X12" s="202">
        <f>T12*E12</f>
        <v>50250</v>
      </c>
      <c r="Y12" s="202">
        <f>U12*E12</f>
        <v>50250</v>
      </c>
      <c r="Z12" s="180">
        <v>150</v>
      </c>
      <c r="AA12" s="202">
        <f>Z12*E12</f>
        <v>15000</v>
      </c>
      <c r="AB12" s="180">
        <v>100</v>
      </c>
      <c r="AC12" s="202">
        <f>AB12*E12</f>
        <v>10000</v>
      </c>
      <c r="AD12" s="180">
        <v>100</v>
      </c>
      <c r="AE12" s="202">
        <f>AD12*E12</f>
        <v>10000</v>
      </c>
      <c r="AF12" s="180">
        <v>150</v>
      </c>
      <c r="AG12" s="202">
        <f>AF12*E12</f>
        <v>15000</v>
      </c>
      <c r="AH12" s="512">
        <v>0</v>
      </c>
      <c r="AI12" s="511">
        <f>AH12*E12</f>
        <v>0</v>
      </c>
      <c r="AJ12" s="180">
        <v>150</v>
      </c>
      <c r="AK12" s="202">
        <f>AJ12*E12</f>
        <v>15000</v>
      </c>
      <c r="AL12" s="180">
        <v>150</v>
      </c>
      <c r="AM12" s="202">
        <f>AL12*E12</f>
        <v>15000</v>
      </c>
      <c r="AN12" s="180">
        <v>100</v>
      </c>
      <c r="AO12" s="202">
        <f>AN12*E12</f>
        <v>10000</v>
      </c>
      <c r="AP12" s="180">
        <v>50</v>
      </c>
      <c r="AQ12" s="202">
        <f>AP12*E12</f>
        <v>5000</v>
      </c>
      <c r="AR12" s="180">
        <v>150</v>
      </c>
      <c r="AS12" s="202">
        <f>AR12*E12</f>
        <v>15000</v>
      </c>
      <c r="AT12" s="180">
        <v>150</v>
      </c>
      <c r="AU12" s="202">
        <f>AT12*E12</f>
        <v>15000</v>
      </c>
      <c r="AV12" s="180">
        <v>150</v>
      </c>
      <c r="AW12" s="202">
        <f>AV12*E12</f>
        <v>15000</v>
      </c>
      <c r="AX12" s="180">
        <v>150</v>
      </c>
      <c r="AY12" s="202">
        <f>AX12*E12</f>
        <v>15000</v>
      </c>
      <c r="AZ12" s="180">
        <v>150</v>
      </c>
      <c r="BA12" s="202">
        <f>AZ12*E12</f>
        <v>15000</v>
      </c>
      <c r="BB12" s="512">
        <v>60</v>
      </c>
      <c r="BC12" s="202">
        <f>BB12*E12</f>
        <v>6000</v>
      </c>
      <c r="BD12" s="180">
        <v>150</v>
      </c>
      <c r="BE12" s="202">
        <f>BD12*E12</f>
        <v>15000</v>
      </c>
      <c r="BF12" s="180">
        <v>100</v>
      </c>
      <c r="BG12" s="202">
        <f>BF12*E12</f>
        <v>10000</v>
      </c>
      <c r="BH12" s="180"/>
      <c r="BI12" s="202">
        <f>BH12*E12</f>
        <v>0</v>
      </c>
      <c r="BJ12" s="180">
        <f t="shared" ref="BJ12:BK15" si="2">BH12+BF12+BD12+BB12+AZ12+AX12+AV12+AT12+AR12+AP12+AN12+AL12+AJ12+AH12+AF12+AD12+AB12+Z12</f>
        <v>2010</v>
      </c>
      <c r="BK12" s="180">
        <f t="shared" si="2"/>
        <v>201000</v>
      </c>
      <c r="BL12" s="159" t="s">
        <v>216</v>
      </c>
      <c r="BM12" s="209"/>
      <c r="BN12" s="163"/>
      <c r="BO12" s="163">
        <f>G12</f>
        <v>201000</v>
      </c>
      <c r="BP12" s="163"/>
      <c r="BQ12" s="163"/>
      <c r="BR12" s="163">
        <f>BN12+BO12+BP12+BQ12</f>
        <v>201000</v>
      </c>
      <c r="BS12" s="163"/>
      <c r="BT12" s="163"/>
      <c r="BU12" s="163">
        <f>BS12+BT12</f>
        <v>0</v>
      </c>
      <c r="BV12" s="203">
        <f t="shared" si="1"/>
        <v>201000</v>
      </c>
    </row>
    <row r="13" spans="1:74">
      <c r="A13" s="904"/>
      <c r="B13" s="191" t="s">
        <v>807</v>
      </c>
      <c r="C13" s="166" t="s">
        <v>707</v>
      </c>
      <c r="D13" s="159" t="s">
        <v>71</v>
      </c>
      <c r="E13" s="135">
        <v>100</v>
      </c>
      <c r="F13" s="206">
        <f>BJ13</f>
        <v>2010</v>
      </c>
      <c r="G13" s="207">
        <f>F13*E13</f>
        <v>201000</v>
      </c>
      <c r="H13" s="208">
        <f>G13*0.2</f>
        <v>40200</v>
      </c>
      <c r="I13" s="208">
        <f>G13*0.8</f>
        <v>160800</v>
      </c>
      <c r="J13" s="207"/>
      <c r="K13" s="207"/>
      <c r="L13" s="207"/>
      <c r="M13" s="207"/>
      <c r="N13" s="207"/>
      <c r="O13" s="207"/>
      <c r="P13" s="207"/>
      <c r="Q13" s="207"/>
      <c r="R13" s="180">
        <f>F13*0.25</f>
        <v>502.5</v>
      </c>
      <c r="S13" s="180">
        <f>F13*0.25</f>
        <v>502.5</v>
      </c>
      <c r="T13" s="180">
        <f>F13*0.25</f>
        <v>502.5</v>
      </c>
      <c r="U13" s="180">
        <f>F13*0.25</f>
        <v>502.5</v>
      </c>
      <c r="V13" s="202">
        <f>R13*E13</f>
        <v>50250</v>
      </c>
      <c r="W13" s="202">
        <f>S13*E13</f>
        <v>50250</v>
      </c>
      <c r="X13" s="202">
        <f>T13*E13</f>
        <v>50250</v>
      </c>
      <c r="Y13" s="202">
        <f>U13*E13</f>
        <v>50250</v>
      </c>
      <c r="Z13" s="180">
        <v>150</v>
      </c>
      <c r="AA13" s="202">
        <f>Z13*E13</f>
        <v>15000</v>
      </c>
      <c r="AB13" s="180">
        <v>100</v>
      </c>
      <c r="AC13" s="202">
        <f>AB13*E13</f>
        <v>10000</v>
      </c>
      <c r="AD13" s="180">
        <v>100</v>
      </c>
      <c r="AE13" s="202">
        <f>AD13*E13</f>
        <v>10000</v>
      </c>
      <c r="AF13" s="180">
        <v>150</v>
      </c>
      <c r="AG13" s="202">
        <f>AF13*E13</f>
        <v>15000</v>
      </c>
      <c r="AH13" s="512">
        <v>0</v>
      </c>
      <c r="AI13" s="511">
        <f>AH13*E13</f>
        <v>0</v>
      </c>
      <c r="AJ13" s="180">
        <v>150</v>
      </c>
      <c r="AK13" s="202">
        <f>AJ13*E13</f>
        <v>15000</v>
      </c>
      <c r="AL13" s="180">
        <v>150</v>
      </c>
      <c r="AM13" s="202">
        <f>AL13*E13</f>
        <v>15000</v>
      </c>
      <c r="AN13" s="180">
        <v>100</v>
      </c>
      <c r="AO13" s="202">
        <f>AN13*E13</f>
        <v>10000</v>
      </c>
      <c r="AP13" s="180">
        <v>50</v>
      </c>
      <c r="AQ13" s="202">
        <f>AP13*E13</f>
        <v>5000</v>
      </c>
      <c r="AR13" s="180">
        <v>150</v>
      </c>
      <c r="AS13" s="202">
        <f>AR13*E13</f>
        <v>15000</v>
      </c>
      <c r="AT13" s="180">
        <v>150</v>
      </c>
      <c r="AU13" s="202">
        <f>AT13*E13</f>
        <v>15000</v>
      </c>
      <c r="AV13" s="180">
        <v>150</v>
      </c>
      <c r="AW13" s="202">
        <f>AV13*E13</f>
        <v>15000</v>
      </c>
      <c r="AX13" s="180">
        <v>150</v>
      </c>
      <c r="AY13" s="202">
        <f>AX13*E13</f>
        <v>15000</v>
      </c>
      <c r="AZ13" s="180">
        <v>150</v>
      </c>
      <c r="BA13" s="202">
        <f>AZ13*E13</f>
        <v>15000</v>
      </c>
      <c r="BB13" s="512">
        <v>60</v>
      </c>
      <c r="BC13" s="202">
        <f>BB13*E13</f>
        <v>6000</v>
      </c>
      <c r="BD13" s="180">
        <v>150</v>
      </c>
      <c r="BE13" s="202">
        <f>BD13*E13</f>
        <v>15000</v>
      </c>
      <c r="BF13" s="180">
        <v>100</v>
      </c>
      <c r="BG13" s="202">
        <f>BF13*E13</f>
        <v>10000</v>
      </c>
      <c r="BH13" s="180"/>
      <c r="BI13" s="202">
        <f>BH13*E13</f>
        <v>0</v>
      </c>
      <c r="BJ13" s="180">
        <f t="shared" si="2"/>
        <v>2010</v>
      </c>
      <c r="BK13" s="180">
        <f t="shared" si="2"/>
        <v>201000</v>
      </c>
      <c r="BL13" s="159" t="s">
        <v>216</v>
      </c>
      <c r="BM13" s="209"/>
      <c r="BN13" s="163"/>
      <c r="BO13" s="163">
        <f>G13</f>
        <v>201000</v>
      </c>
      <c r="BP13" s="163"/>
      <c r="BQ13" s="163"/>
      <c r="BR13" s="163">
        <f>BN13+BO13+BP13+BQ13</f>
        <v>201000</v>
      </c>
      <c r="BS13" s="163"/>
      <c r="BT13" s="163"/>
      <c r="BU13" s="163">
        <f>BS13+BT13</f>
        <v>0</v>
      </c>
      <c r="BV13" s="203">
        <f t="shared" si="1"/>
        <v>201000</v>
      </c>
    </row>
    <row r="14" spans="1:74">
      <c r="A14" s="904"/>
      <c r="B14" s="191" t="s">
        <v>808</v>
      </c>
      <c r="C14" s="166" t="s">
        <v>449</v>
      </c>
      <c r="D14" s="159" t="s">
        <v>71</v>
      </c>
      <c r="E14" s="135">
        <v>100</v>
      </c>
      <c r="F14" s="206">
        <f>BJ14</f>
        <v>1420</v>
      </c>
      <c r="G14" s="207">
        <f>BK14</f>
        <v>142000</v>
      </c>
      <c r="H14" s="208">
        <f>G14*0.2</f>
        <v>28400</v>
      </c>
      <c r="I14" s="208">
        <f>G14*0.8</f>
        <v>113600</v>
      </c>
      <c r="J14" s="207"/>
      <c r="K14" s="207"/>
      <c r="L14" s="207"/>
      <c r="M14" s="207"/>
      <c r="N14" s="207"/>
      <c r="O14" s="207"/>
      <c r="P14" s="207"/>
      <c r="Q14" s="207"/>
      <c r="R14" s="180">
        <f>F14*0.25</f>
        <v>355</v>
      </c>
      <c r="S14" s="180">
        <f>F14*0.25</f>
        <v>355</v>
      </c>
      <c r="T14" s="180">
        <f>F14*0.25</f>
        <v>355</v>
      </c>
      <c r="U14" s="180">
        <f>F14*0.25</f>
        <v>355</v>
      </c>
      <c r="V14" s="211">
        <f>G14*0.2</f>
        <v>28400</v>
      </c>
      <c r="W14" s="211">
        <f>G14*0.45</f>
        <v>63900</v>
      </c>
      <c r="X14" s="211">
        <f>G14*0.25</f>
        <v>35500</v>
      </c>
      <c r="Y14" s="211">
        <f>G14*0.1</f>
        <v>14200</v>
      </c>
      <c r="Z14" s="212">
        <v>100</v>
      </c>
      <c r="AA14" s="202">
        <f>Z14*E14</f>
        <v>10000</v>
      </c>
      <c r="AB14" s="212">
        <v>30</v>
      </c>
      <c r="AC14" s="202">
        <f>AB14*E14</f>
        <v>3000</v>
      </c>
      <c r="AD14" s="212">
        <v>100</v>
      </c>
      <c r="AE14" s="202">
        <f>AD14*E14</f>
        <v>10000</v>
      </c>
      <c r="AF14" s="212">
        <v>150</v>
      </c>
      <c r="AG14" s="202">
        <f>AF14*E14</f>
        <v>15000</v>
      </c>
      <c r="AH14" s="505">
        <v>0</v>
      </c>
      <c r="AI14" s="511">
        <f>AH14*E14</f>
        <v>0</v>
      </c>
      <c r="AJ14" s="212">
        <v>100</v>
      </c>
      <c r="AK14" s="202">
        <f>AJ14*E14</f>
        <v>10000</v>
      </c>
      <c r="AL14" s="212">
        <v>100</v>
      </c>
      <c r="AM14" s="202">
        <f>AL14*E14</f>
        <v>10000</v>
      </c>
      <c r="AN14" s="212">
        <v>100</v>
      </c>
      <c r="AO14" s="202">
        <f>AN14*E14</f>
        <v>10000</v>
      </c>
      <c r="AP14" s="212">
        <v>40</v>
      </c>
      <c r="AQ14" s="202">
        <f>AP14*E14</f>
        <v>4000</v>
      </c>
      <c r="AR14" s="212">
        <v>150</v>
      </c>
      <c r="AS14" s="202">
        <f>AR14*E14</f>
        <v>15000</v>
      </c>
      <c r="AT14" s="212">
        <v>90</v>
      </c>
      <c r="AU14" s="202">
        <f>AT14*E14</f>
        <v>9000</v>
      </c>
      <c r="AV14" s="212">
        <v>60</v>
      </c>
      <c r="AW14" s="202">
        <f>AV14*E14</f>
        <v>6000</v>
      </c>
      <c r="AX14" s="212">
        <v>60</v>
      </c>
      <c r="AY14" s="202">
        <f>AX14*E14</f>
        <v>6000</v>
      </c>
      <c r="AZ14" s="212">
        <v>100</v>
      </c>
      <c r="BA14" s="202">
        <f>AZ14*E14</f>
        <v>10000</v>
      </c>
      <c r="BB14" s="505">
        <v>40</v>
      </c>
      <c r="BC14" s="202">
        <f>BB14*E14</f>
        <v>4000</v>
      </c>
      <c r="BD14" s="212">
        <v>100</v>
      </c>
      <c r="BE14" s="202">
        <f>BD14*E14</f>
        <v>10000</v>
      </c>
      <c r="BF14" s="212">
        <v>100</v>
      </c>
      <c r="BG14" s="202">
        <f>BF14*E14</f>
        <v>10000</v>
      </c>
      <c r="BH14" s="212"/>
      <c r="BI14" s="202">
        <f>BH14*E14</f>
        <v>0</v>
      </c>
      <c r="BJ14" s="180">
        <f t="shared" si="2"/>
        <v>1420</v>
      </c>
      <c r="BK14" s="180">
        <f t="shared" si="2"/>
        <v>142000</v>
      </c>
      <c r="BL14" s="159" t="s">
        <v>216</v>
      </c>
      <c r="BM14" s="209"/>
      <c r="BN14" s="163"/>
      <c r="BO14" s="163">
        <f>G14</f>
        <v>142000</v>
      </c>
      <c r="BP14" s="163"/>
      <c r="BQ14" s="163"/>
      <c r="BR14" s="163">
        <f>BN14+BO14+BP14+BQ14</f>
        <v>142000</v>
      </c>
      <c r="BS14" s="163"/>
      <c r="BT14" s="163"/>
      <c r="BU14" s="163">
        <f>BS14+BT14</f>
        <v>0</v>
      </c>
      <c r="BV14" s="203">
        <f t="shared" si="1"/>
        <v>142000</v>
      </c>
    </row>
    <row r="15" spans="1:74" ht="31.5">
      <c r="A15" s="904"/>
      <c r="B15" s="191" t="s">
        <v>809</v>
      </c>
      <c r="C15" s="134" t="s">
        <v>703</v>
      </c>
      <c r="D15" s="159" t="s">
        <v>16</v>
      </c>
      <c r="E15" s="135">
        <v>15000</v>
      </c>
      <c r="F15" s="206">
        <f>BJ15</f>
        <v>34</v>
      </c>
      <c r="G15" s="207">
        <f>BK15</f>
        <v>510000</v>
      </c>
      <c r="H15" s="208">
        <f>G15*0.2</f>
        <v>102000</v>
      </c>
      <c r="I15" s="208">
        <f>G15*0.8</f>
        <v>408000</v>
      </c>
      <c r="J15" s="207"/>
      <c r="K15" s="207"/>
      <c r="L15" s="207"/>
      <c r="M15" s="207"/>
      <c r="N15" s="207"/>
      <c r="O15" s="207"/>
      <c r="P15" s="207"/>
      <c r="Q15" s="207"/>
      <c r="R15" s="180"/>
      <c r="S15" s="180"/>
      <c r="T15" s="180"/>
      <c r="U15" s="180"/>
      <c r="V15" s="211"/>
      <c r="W15" s="211"/>
      <c r="X15" s="211"/>
      <c r="Y15" s="211"/>
      <c r="Z15" s="212">
        <v>2</v>
      </c>
      <c r="AA15" s="202">
        <f>Z15*E15</f>
        <v>30000</v>
      </c>
      <c r="AB15" s="212">
        <v>2</v>
      </c>
      <c r="AC15" s="202">
        <f>AB15*E15</f>
        <v>30000</v>
      </c>
      <c r="AD15" s="212">
        <v>2</v>
      </c>
      <c r="AE15" s="202">
        <f>AD15*E15</f>
        <v>30000</v>
      </c>
      <c r="AF15" s="212">
        <v>2</v>
      </c>
      <c r="AG15" s="202">
        <f>AF15*E15</f>
        <v>30000</v>
      </c>
      <c r="AH15" s="212">
        <v>2</v>
      </c>
      <c r="AI15" s="202">
        <f>AH15*E15</f>
        <v>30000</v>
      </c>
      <c r="AJ15" s="212">
        <v>2</v>
      </c>
      <c r="AK15" s="202">
        <f>AJ15*E15</f>
        <v>30000</v>
      </c>
      <c r="AL15" s="212">
        <v>2</v>
      </c>
      <c r="AM15" s="202">
        <f>AL15*E15</f>
        <v>30000</v>
      </c>
      <c r="AN15" s="212">
        <v>2</v>
      </c>
      <c r="AO15" s="202">
        <f>AN15*E15</f>
        <v>30000</v>
      </c>
      <c r="AP15" s="212">
        <v>2</v>
      </c>
      <c r="AQ15" s="202">
        <f>AP15*E15</f>
        <v>30000</v>
      </c>
      <c r="AR15" s="212">
        <v>2</v>
      </c>
      <c r="AS15" s="202">
        <f>AR15*E15</f>
        <v>30000</v>
      </c>
      <c r="AT15" s="212">
        <v>2</v>
      </c>
      <c r="AU15" s="202">
        <f>AT15*E15</f>
        <v>30000</v>
      </c>
      <c r="AV15" s="212">
        <v>2</v>
      </c>
      <c r="AW15" s="202">
        <f>AV15*E15</f>
        <v>30000</v>
      </c>
      <c r="AX15" s="212">
        <v>2</v>
      </c>
      <c r="AY15" s="202">
        <f>AX15*E15</f>
        <v>30000</v>
      </c>
      <c r="AZ15" s="212">
        <v>2</v>
      </c>
      <c r="BA15" s="202">
        <f>AZ15*E15</f>
        <v>30000</v>
      </c>
      <c r="BB15" s="212">
        <v>2</v>
      </c>
      <c r="BC15" s="202">
        <f>BB15*E15</f>
        <v>30000</v>
      </c>
      <c r="BD15" s="212">
        <v>2</v>
      </c>
      <c r="BE15" s="202">
        <f>BD15*E15</f>
        <v>30000</v>
      </c>
      <c r="BF15" s="212">
        <v>2</v>
      </c>
      <c r="BG15" s="202">
        <f>BF15*E15</f>
        <v>30000</v>
      </c>
      <c r="BH15" s="212"/>
      <c r="BI15" s="202"/>
      <c r="BJ15" s="180">
        <f t="shared" si="2"/>
        <v>34</v>
      </c>
      <c r="BK15" s="180">
        <f>BI15+BG15+BE15+BC15+BA15+AY15+AW15+AU15+AS15+AQ15+AO15+AM15+AK15+AI15+AG15+AE15+AC15+AA15</f>
        <v>510000</v>
      </c>
      <c r="BL15" s="159"/>
      <c r="BM15" s="209"/>
      <c r="BN15" s="163"/>
      <c r="BO15" s="163"/>
      <c r="BP15" s="163"/>
      <c r="BQ15" s="163"/>
      <c r="BR15" s="163"/>
      <c r="BS15" s="163"/>
      <c r="BT15" s="163"/>
      <c r="BU15" s="163"/>
      <c r="BV15" s="203"/>
    </row>
    <row r="16" spans="1:74" s="23" customFormat="1">
      <c r="A16" s="904"/>
      <c r="B16" s="214"/>
      <c r="C16" s="158" t="s">
        <v>450</v>
      </c>
      <c r="D16" s="159" t="s">
        <v>115</v>
      </c>
      <c r="E16" s="135" t="s">
        <v>115</v>
      </c>
      <c r="F16" s="194">
        <f>SUM(F12:F14)</f>
        <v>5440</v>
      </c>
      <c r="G16" s="194">
        <f>SUM(G12:G15)</f>
        <v>1054000</v>
      </c>
      <c r="H16" s="194">
        <f t="shared" ref="H16:BS16" si="3">SUM(H12:H15)</f>
        <v>210800</v>
      </c>
      <c r="I16" s="194">
        <f t="shared" si="3"/>
        <v>843200</v>
      </c>
      <c r="J16" s="194">
        <f t="shared" si="3"/>
        <v>0</v>
      </c>
      <c r="K16" s="194">
        <f t="shared" si="3"/>
        <v>0</v>
      </c>
      <c r="L16" s="194">
        <f t="shared" si="3"/>
        <v>0</v>
      </c>
      <c r="M16" s="194">
        <f t="shared" si="3"/>
        <v>0</v>
      </c>
      <c r="N16" s="194">
        <f t="shared" si="3"/>
        <v>0</v>
      </c>
      <c r="O16" s="194">
        <f t="shared" si="3"/>
        <v>0</v>
      </c>
      <c r="P16" s="194">
        <f t="shared" si="3"/>
        <v>0</v>
      </c>
      <c r="Q16" s="194">
        <f t="shared" si="3"/>
        <v>0</v>
      </c>
      <c r="R16" s="194">
        <f t="shared" si="3"/>
        <v>1360</v>
      </c>
      <c r="S16" s="194">
        <f t="shared" si="3"/>
        <v>1360</v>
      </c>
      <c r="T16" s="194">
        <f t="shared" si="3"/>
        <v>1360</v>
      </c>
      <c r="U16" s="194">
        <f t="shared" si="3"/>
        <v>1360</v>
      </c>
      <c r="V16" s="194">
        <f t="shared" si="3"/>
        <v>128900</v>
      </c>
      <c r="W16" s="194">
        <f t="shared" si="3"/>
        <v>164400</v>
      </c>
      <c r="X16" s="194">
        <f t="shared" si="3"/>
        <v>136000</v>
      </c>
      <c r="Y16" s="194">
        <f t="shared" si="3"/>
        <v>114700</v>
      </c>
      <c r="Z16" s="194">
        <f t="shared" si="3"/>
        <v>402</v>
      </c>
      <c r="AA16" s="194">
        <f t="shared" si="3"/>
        <v>70000</v>
      </c>
      <c r="AB16" s="194">
        <f t="shared" si="3"/>
        <v>232</v>
      </c>
      <c r="AC16" s="194">
        <f t="shared" si="3"/>
        <v>53000</v>
      </c>
      <c r="AD16" s="194">
        <f t="shared" si="3"/>
        <v>302</v>
      </c>
      <c r="AE16" s="194">
        <f t="shared" si="3"/>
        <v>60000</v>
      </c>
      <c r="AF16" s="194">
        <f t="shared" si="3"/>
        <v>452</v>
      </c>
      <c r="AG16" s="194">
        <f t="shared" si="3"/>
        <v>75000</v>
      </c>
      <c r="AH16" s="194">
        <f t="shared" si="3"/>
        <v>2</v>
      </c>
      <c r="AI16" s="194">
        <f t="shared" si="3"/>
        <v>30000</v>
      </c>
      <c r="AJ16" s="194">
        <f t="shared" si="3"/>
        <v>402</v>
      </c>
      <c r="AK16" s="194">
        <f t="shared" si="3"/>
        <v>70000</v>
      </c>
      <c r="AL16" s="194">
        <f t="shared" si="3"/>
        <v>402</v>
      </c>
      <c r="AM16" s="194">
        <f t="shared" si="3"/>
        <v>70000</v>
      </c>
      <c r="AN16" s="194">
        <f t="shared" si="3"/>
        <v>302</v>
      </c>
      <c r="AO16" s="194">
        <f t="shared" si="3"/>
        <v>60000</v>
      </c>
      <c r="AP16" s="194">
        <f t="shared" si="3"/>
        <v>142</v>
      </c>
      <c r="AQ16" s="194">
        <f t="shared" si="3"/>
        <v>44000</v>
      </c>
      <c r="AR16" s="194">
        <f t="shared" si="3"/>
        <v>452</v>
      </c>
      <c r="AS16" s="194">
        <f t="shared" si="3"/>
        <v>75000</v>
      </c>
      <c r="AT16" s="194">
        <f t="shared" si="3"/>
        <v>392</v>
      </c>
      <c r="AU16" s="194">
        <f t="shared" si="3"/>
        <v>69000</v>
      </c>
      <c r="AV16" s="194">
        <f t="shared" si="3"/>
        <v>362</v>
      </c>
      <c r="AW16" s="194">
        <f t="shared" si="3"/>
        <v>66000</v>
      </c>
      <c r="AX16" s="194">
        <f t="shared" si="3"/>
        <v>362</v>
      </c>
      <c r="AY16" s="194">
        <f t="shared" si="3"/>
        <v>66000</v>
      </c>
      <c r="AZ16" s="194">
        <f t="shared" si="3"/>
        <v>402</v>
      </c>
      <c r="BA16" s="194">
        <f t="shared" si="3"/>
        <v>70000</v>
      </c>
      <c r="BB16" s="194">
        <f t="shared" si="3"/>
        <v>162</v>
      </c>
      <c r="BC16" s="194">
        <f t="shared" si="3"/>
        <v>46000</v>
      </c>
      <c r="BD16" s="194">
        <f t="shared" si="3"/>
        <v>402</v>
      </c>
      <c r="BE16" s="194">
        <f t="shared" si="3"/>
        <v>70000</v>
      </c>
      <c r="BF16" s="194">
        <f t="shared" si="3"/>
        <v>302</v>
      </c>
      <c r="BG16" s="194">
        <f t="shared" si="3"/>
        <v>60000</v>
      </c>
      <c r="BH16" s="194">
        <f t="shared" si="3"/>
        <v>0</v>
      </c>
      <c r="BI16" s="194">
        <f t="shared" si="3"/>
        <v>0</v>
      </c>
      <c r="BJ16" s="194">
        <f t="shared" si="3"/>
        <v>5474</v>
      </c>
      <c r="BK16" s="194">
        <f t="shared" si="3"/>
        <v>1054000</v>
      </c>
      <c r="BL16" s="194">
        <f t="shared" si="3"/>
        <v>0</v>
      </c>
      <c r="BM16" s="194">
        <f t="shared" si="3"/>
        <v>0</v>
      </c>
      <c r="BN16" s="194">
        <f t="shared" si="3"/>
        <v>0</v>
      </c>
      <c r="BO16" s="194">
        <f t="shared" si="3"/>
        <v>544000</v>
      </c>
      <c r="BP16" s="194">
        <f t="shared" si="3"/>
        <v>0</v>
      </c>
      <c r="BQ16" s="194">
        <f t="shared" si="3"/>
        <v>0</v>
      </c>
      <c r="BR16" s="194">
        <f t="shared" si="3"/>
        <v>544000</v>
      </c>
      <c r="BS16" s="194">
        <f t="shared" si="3"/>
        <v>0</v>
      </c>
      <c r="BT16" s="194">
        <f>SUM(BT12:BT15)</f>
        <v>0</v>
      </c>
      <c r="BU16" s="194">
        <f>SUM(BU12:BU15)</f>
        <v>0</v>
      </c>
      <c r="BV16" s="194">
        <f>SUM(BV12:BV15)</f>
        <v>544000</v>
      </c>
    </row>
    <row r="17" spans="1:74">
      <c r="A17" s="904"/>
      <c r="B17" s="191"/>
      <c r="C17" s="158" t="s">
        <v>708</v>
      </c>
      <c r="D17" s="159"/>
      <c r="E17" s="159"/>
      <c r="F17" s="206"/>
      <c r="G17" s="215"/>
      <c r="H17" s="215"/>
      <c r="I17" s="215"/>
      <c r="J17" s="215"/>
      <c r="K17" s="215"/>
      <c r="L17" s="215"/>
      <c r="M17" s="215"/>
      <c r="N17" s="215"/>
      <c r="O17" s="211"/>
      <c r="P17" s="211"/>
      <c r="Q17" s="211"/>
      <c r="R17" s="180"/>
      <c r="S17" s="180"/>
      <c r="T17" s="180"/>
      <c r="U17" s="180"/>
      <c r="V17" s="211"/>
      <c r="W17" s="211"/>
      <c r="X17" s="211"/>
      <c r="Y17" s="211"/>
      <c r="Z17" s="212"/>
      <c r="AA17" s="202">
        <f>Z17*E17</f>
        <v>0</v>
      </c>
      <c r="AB17" s="212"/>
      <c r="AC17" s="202">
        <f>AB17*E17</f>
        <v>0</v>
      </c>
      <c r="AD17" s="212"/>
      <c r="AE17" s="202">
        <f>AD17*E17</f>
        <v>0</v>
      </c>
      <c r="AF17" s="212"/>
      <c r="AG17" s="202">
        <f>AF17*E17</f>
        <v>0</v>
      </c>
      <c r="AH17" s="212"/>
      <c r="AI17" s="202">
        <f>AH17*E17</f>
        <v>0</v>
      </c>
      <c r="AJ17" s="212"/>
      <c r="AK17" s="202">
        <f>AJ17*E17</f>
        <v>0</v>
      </c>
      <c r="AL17" s="212"/>
      <c r="AM17" s="202">
        <f>AL17*E17</f>
        <v>0</v>
      </c>
      <c r="AN17" s="212"/>
      <c r="AO17" s="202">
        <f>AN17*E17</f>
        <v>0</v>
      </c>
      <c r="AP17" s="212"/>
      <c r="AQ17" s="202">
        <f>AP17*E17</f>
        <v>0</v>
      </c>
      <c r="AR17" s="212"/>
      <c r="AS17" s="202">
        <f>AR17*E17</f>
        <v>0</v>
      </c>
      <c r="AT17" s="212"/>
      <c r="AU17" s="202">
        <f>AT17*E17</f>
        <v>0</v>
      </c>
      <c r="AV17" s="212"/>
      <c r="AW17" s="202">
        <f>AV17*E17</f>
        <v>0</v>
      </c>
      <c r="AX17" s="211"/>
      <c r="AY17" s="202">
        <f>AX17*E17</f>
        <v>0</v>
      </c>
      <c r="AZ17" s="212"/>
      <c r="BA17" s="202">
        <f>AZ17*E17</f>
        <v>0</v>
      </c>
      <c r="BB17" s="212"/>
      <c r="BC17" s="202">
        <f>BB17*E17</f>
        <v>0</v>
      </c>
      <c r="BD17" s="212"/>
      <c r="BE17" s="202"/>
      <c r="BF17" s="212"/>
      <c r="BG17" s="202"/>
      <c r="BH17" s="212"/>
      <c r="BI17" s="202"/>
      <c r="BJ17" s="180"/>
      <c r="BK17" s="202"/>
      <c r="BL17" s="159"/>
      <c r="BN17" s="163"/>
      <c r="BO17" s="163"/>
      <c r="BP17" s="163"/>
      <c r="BQ17" s="163"/>
      <c r="BR17" s="163"/>
      <c r="BS17" s="163"/>
      <c r="BT17" s="163"/>
      <c r="BU17" s="163"/>
      <c r="BV17" s="203">
        <f t="shared" si="1"/>
        <v>0</v>
      </c>
    </row>
    <row r="18" spans="1:74" ht="21.75" customHeight="1">
      <c r="A18" s="904"/>
      <c r="B18" s="191" t="s">
        <v>810</v>
      </c>
      <c r="C18" s="166" t="s">
        <v>451</v>
      </c>
      <c r="D18" s="159" t="s">
        <v>344</v>
      </c>
      <c r="E18" s="216">
        <v>100000</v>
      </c>
      <c r="F18" s="206">
        <f t="shared" ref="F18:G20" si="4">BJ18</f>
        <v>1</v>
      </c>
      <c r="G18" s="207">
        <f t="shared" si="4"/>
        <v>100000</v>
      </c>
      <c r="H18" s="208">
        <f>G18*0.2</f>
        <v>20000</v>
      </c>
      <c r="I18" s="208">
        <f>G18*0.8</f>
        <v>80000</v>
      </c>
      <c r="J18" s="211"/>
      <c r="K18" s="211"/>
      <c r="L18" s="211"/>
      <c r="M18" s="211"/>
      <c r="N18" s="211"/>
      <c r="O18" s="211"/>
      <c r="P18" s="211"/>
      <c r="Q18" s="211"/>
      <c r="R18" s="212">
        <f>F18*0.25</f>
        <v>0.25</v>
      </c>
      <c r="S18" s="212">
        <f>F18*0.25</f>
        <v>0.25</v>
      </c>
      <c r="T18" s="212">
        <f>F18*0.25</f>
        <v>0.25</v>
      </c>
      <c r="U18" s="212">
        <f>F18*0.25</f>
        <v>0.25</v>
      </c>
      <c r="V18" s="211">
        <f>R18*E18</f>
        <v>25000</v>
      </c>
      <c r="W18" s="211">
        <f>S18*E18</f>
        <v>25000</v>
      </c>
      <c r="X18" s="211">
        <f>T18*E18</f>
        <v>25000</v>
      </c>
      <c r="Y18" s="211">
        <f>U18*E18</f>
        <v>25000</v>
      </c>
      <c r="Z18" s="212"/>
      <c r="AA18" s="202">
        <f>Z18*E18</f>
        <v>0</v>
      </c>
      <c r="AB18" s="212"/>
      <c r="AC18" s="202">
        <f>AB18*E18</f>
        <v>0</v>
      </c>
      <c r="AD18" s="212"/>
      <c r="AE18" s="202">
        <f>AD18*E18</f>
        <v>0</v>
      </c>
      <c r="AF18" s="212"/>
      <c r="AG18" s="202">
        <f>AF18*E18</f>
        <v>0</v>
      </c>
      <c r="AH18" s="212"/>
      <c r="AI18" s="202">
        <f>AH18*E18</f>
        <v>0</v>
      </c>
      <c r="AJ18" s="212"/>
      <c r="AK18" s="202">
        <f>AJ18*E18</f>
        <v>0</v>
      </c>
      <c r="AL18" s="212"/>
      <c r="AM18" s="202">
        <f>AL18*E18</f>
        <v>0</v>
      </c>
      <c r="AN18" s="212"/>
      <c r="AO18" s="202">
        <f>AN18*E18</f>
        <v>0</v>
      </c>
      <c r="AP18" s="212"/>
      <c r="AQ18" s="202">
        <f>AP18*E18</f>
        <v>0</v>
      </c>
      <c r="AR18" s="212"/>
      <c r="AS18" s="202">
        <f>AR18*E18</f>
        <v>0</v>
      </c>
      <c r="AT18" s="212"/>
      <c r="AU18" s="202">
        <f>AT18*E18</f>
        <v>0</v>
      </c>
      <c r="AV18" s="212"/>
      <c r="AW18" s="202">
        <f>AV18*E18</f>
        <v>0</v>
      </c>
      <c r="AX18" s="211"/>
      <c r="AY18" s="202">
        <f>AX18*E18</f>
        <v>0</v>
      </c>
      <c r="AZ18" s="212"/>
      <c r="BA18" s="202">
        <f>AZ18*E18</f>
        <v>0</v>
      </c>
      <c r="BB18" s="212"/>
      <c r="BC18" s="202">
        <f>BB18*E18</f>
        <v>0</v>
      </c>
      <c r="BD18" s="212"/>
      <c r="BE18" s="202">
        <f>BD18*E18</f>
        <v>0</v>
      </c>
      <c r="BF18" s="212"/>
      <c r="BG18" s="202">
        <f>BF18*E18</f>
        <v>0</v>
      </c>
      <c r="BH18" s="212">
        <v>1</v>
      </c>
      <c r="BI18" s="202">
        <f>BH18*E18</f>
        <v>100000</v>
      </c>
      <c r="BJ18" s="180">
        <f t="shared" ref="BJ18:BK20" si="5">BH18+BF18+BD18+BB18+AZ18+AX18+AV18+AT18+AR18+AP18+AN18+AL18+AJ18+AH18+AF18+AD18+AB18+Z18</f>
        <v>1</v>
      </c>
      <c r="BK18" s="180">
        <f t="shared" si="5"/>
        <v>100000</v>
      </c>
      <c r="BL18" s="159" t="s">
        <v>216</v>
      </c>
      <c r="BM18" s="209"/>
      <c r="BN18" s="163"/>
      <c r="BO18" s="163">
        <f>G18</f>
        <v>100000</v>
      </c>
      <c r="BP18" s="163"/>
      <c r="BQ18" s="163"/>
      <c r="BR18" s="163">
        <f>BN18+BO18+BP18+BQ18</f>
        <v>100000</v>
      </c>
      <c r="BS18" s="163"/>
      <c r="BT18" s="163"/>
      <c r="BU18" s="163"/>
      <c r="BV18" s="203">
        <f t="shared" si="1"/>
        <v>100000</v>
      </c>
    </row>
    <row r="19" spans="1:74" s="222" customFormat="1" ht="32.25" customHeight="1">
      <c r="A19" s="904"/>
      <c r="B19" s="191" t="s">
        <v>811</v>
      </c>
      <c r="C19" s="166" t="s">
        <v>680</v>
      </c>
      <c r="D19" s="159" t="s">
        <v>74</v>
      </c>
      <c r="E19" s="216">
        <v>1000000</v>
      </c>
      <c r="F19" s="206">
        <f t="shared" si="4"/>
        <v>0</v>
      </c>
      <c r="G19" s="207">
        <f t="shared" si="4"/>
        <v>0</v>
      </c>
      <c r="H19" s="217">
        <f>G19*0.2</f>
        <v>0</v>
      </c>
      <c r="I19" s="217">
        <f>G19*0.8</f>
        <v>0</v>
      </c>
      <c r="J19" s="218"/>
      <c r="K19" s="218"/>
      <c r="L19" s="218"/>
      <c r="M19" s="218"/>
      <c r="N19" s="218"/>
      <c r="O19" s="218"/>
      <c r="P19" s="218"/>
      <c r="Q19" s="218"/>
      <c r="R19" s="180">
        <f>F19*0.25</f>
        <v>0</v>
      </c>
      <c r="S19" s="180">
        <f>F19*0.25</f>
        <v>0</v>
      </c>
      <c r="T19" s="180">
        <f>F19*0.25</f>
        <v>0</v>
      </c>
      <c r="U19" s="180">
        <f>F19*0.25</f>
        <v>0</v>
      </c>
      <c r="V19" s="202">
        <f>R19*E19</f>
        <v>0</v>
      </c>
      <c r="W19" s="202">
        <f>S19*E19</f>
        <v>0</v>
      </c>
      <c r="X19" s="202">
        <f>T19*E19</f>
        <v>0</v>
      </c>
      <c r="Y19" s="202">
        <f>U19*E19</f>
        <v>0</v>
      </c>
      <c r="Z19" s="180"/>
      <c r="AA19" s="202">
        <f>Z19*E19</f>
        <v>0</v>
      </c>
      <c r="AB19" s="180"/>
      <c r="AC19" s="202">
        <f>AB19*E19</f>
        <v>0</v>
      </c>
      <c r="AD19" s="180"/>
      <c r="AE19" s="202">
        <f>AD19*E19</f>
        <v>0</v>
      </c>
      <c r="AF19" s="180"/>
      <c r="AG19" s="202">
        <f>AF19*E19</f>
        <v>0</v>
      </c>
      <c r="AH19" s="180"/>
      <c r="AI19" s="202">
        <f>AH19*E19</f>
        <v>0</v>
      </c>
      <c r="AJ19" s="180"/>
      <c r="AK19" s="202">
        <f>AJ19*E19</f>
        <v>0</v>
      </c>
      <c r="AL19" s="180"/>
      <c r="AM19" s="202">
        <f>AL19*E19</f>
        <v>0</v>
      </c>
      <c r="AN19" s="180"/>
      <c r="AO19" s="202">
        <f>AN19*E19</f>
        <v>0</v>
      </c>
      <c r="AP19" s="180"/>
      <c r="AQ19" s="202">
        <f>AP19*E19</f>
        <v>0</v>
      </c>
      <c r="AR19" s="180"/>
      <c r="AS19" s="202">
        <f>AR19*E19</f>
        <v>0</v>
      </c>
      <c r="AT19" s="180"/>
      <c r="AU19" s="202">
        <f>AT19*E19</f>
        <v>0</v>
      </c>
      <c r="AV19" s="180"/>
      <c r="AW19" s="202">
        <f>AV19*E19</f>
        <v>0</v>
      </c>
      <c r="AX19" s="202"/>
      <c r="AY19" s="202">
        <f>AX19*E19</f>
        <v>0</v>
      </c>
      <c r="AZ19" s="180"/>
      <c r="BA19" s="202">
        <f>AZ19*E19</f>
        <v>0</v>
      </c>
      <c r="BB19" s="180"/>
      <c r="BC19" s="202">
        <f>BB19*E19</f>
        <v>0</v>
      </c>
      <c r="BD19" s="180"/>
      <c r="BE19" s="202">
        <f>BD19*E19</f>
        <v>0</v>
      </c>
      <c r="BF19" s="180"/>
      <c r="BG19" s="202">
        <f>BF19*E19</f>
        <v>0</v>
      </c>
      <c r="BH19" s="180">
        <v>0</v>
      </c>
      <c r="BI19" s="202">
        <f>BH19*E19</f>
        <v>0</v>
      </c>
      <c r="BJ19" s="180">
        <f t="shared" si="5"/>
        <v>0</v>
      </c>
      <c r="BK19" s="180">
        <f t="shared" si="5"/>
        <v>0</v>
      </c>
      <c r="BL19" s="159" t="s">
        <v>216</v>
      </c>
      <c r="BM19" s="219"/>
      <c r="BN19" s="220"/>
      <c r="BO19" s="220">
        <v>0</v>
      </c>
      <c r="BP19" s="220">
        <f>G19</f>
        <v>0</v>
      </c>
      <c r="BQ19" s="220"/>
      <c r="BR19" s="220">
        <f>BN19+BO19+BP19+BQ19</f>
        <v>0</v>
      </c>
      <c r="BS19" s="220"/>
      <c r="BT19" s="220"/>
      <c r="BU19" s="220"/>
      <c r="BV19" s="221">
        <f t="shared" si="1"/>
        <v>0</v>
      </c>
    </row>
    <row r="20" spans="1:74" s="500" customFormat="1">
      <c r="A20" s="904"/>
      <c r="B20" s="506" t="s">
        <v>812</v>
      </c>
      <c r="C20" s="491" t="s">
        <v>704</v>
      </c>
      <c r="D20" s="494" t="s">
        <v>248</v>
      </c>
      <c r="E20" s="495">
        <v>15000</v>
      </c>
      <c r="F20" s="507">
        <f t="shared" si="4"/>
        <v>305</v>
      </c>
      <c r="G20" s="508">
        <f t="shared" si="4"/>
        <v>4575000</v>
      </c>
      <c r="H20" s="509">
        <f>G20*0.2</f>
        <v>915000</v>
      </c>
      <c r="I20" s="509">
        <f>G20*0.8</f>
        <v>3660000</v>
      </c>
      <c r="J20" s="508"/>
      <c r="K20" s="508"/>
      <c r="L20" s="508"/>
      <c r="M20" s="508"/>
      <c r="N20" s="508"/>
      <c r="O20" s="508"/>
      <c r="P20" s="508"/>
      <c r="Q20" s="508"/>
      <c r="R20" s="505">
        <f>F20*0.25</f>
        <v>76.25</v>
      </c>
      <c r="S20" s="505">
        <f>F20*0.25</f>
        <v>76.25</v>
      </c>
      <c r="T20" s="505">
        <f>F20*0.25</f>
        <v>76.25</v>
      </c>
      <c r="U20" s="505">
        <f>F20*0.25</f>
        <v>76.25</v>
      </c>
      <c r="V20" s="510">
        <f>R20*E20</f>
        <v>1143750</v>
      </c>
      <c r="W20" s="510">
        <f>S20*E20</f>
        <v>1143750</v>
      </c>
      <c r="X20" s="510">
        <f>T20*E20</f>
        <v>1143750</v>
      </c>
      <c r="Y20" s="510">
        <f>U20*E20+134000</f>
        <v>1277750</v>
      </c>
      <c r="Z20" s="505">
        <v>20</v>
      </c>
      <c r="AA20" s="511">
        <f>Z20*E20</f>
        <v>300000</v>
      </c>
      <c r="AB20" s="505">
        <v>12</v>
      </c>
      <c r="AC20" s="511">
        <f>AB20*E20</f>
        <v>180000</v>
      </c>
      <c r="AD20" s="505">
        <v>12</v>
      </c>
      <c r="AE20" s="511">
        <f>AD20*E20</f>
        <v>180000</v>
      </c>
      <c r="AF20" s="505">
        <v>12</v>
      </c>
      <c r="AG20" s="511">
        <f>AF20*E20</f>
        <v>180000</v>
      </c>
      <c r="AH20" s="505">
        <v>12</v>
      </c>
      <c r="AI20" s="511">
        <f>AH20*E20</f>
        <v>180000</v>
      </c>
      <c r="AJ20" s="505">
        <v>30</v>
      </c>
      <c r="AK20" s="511">
        <f>AJ20*E20</f>
        <v>450000</v>
      </c>
      <c r="AL20" s="505">
        <v>24</v>
      </c>
      <c r="AM20" s="511">
        <f>AL20*E20</f>
        <v>360000</v>
      </c>
      <c r="AN20" s="505">
        <v>5</v>
      </c>
      <c r="AO20" s="511">
        <f>AN20*E20</f>
        <v>75000</v>
      </c>
      <c r="AP20" s="505">
        <v>24</v>
      </c>
      <c r="AQ20" s="511">
        <f>AP20*E20</f>
        <v>360000</v>
      </c>
      <c r="AR20" s="505">
        <f>2*12</f>
        <v>24</v>
      </c>
      <c r="AS20" s="511">
        <f>AR20*E20</f>
        <v>360000</v>
      </c>
      <c r="AT20" s="505">
        <v>30</v>
      </c>
      <c r="AU20" s="511">
        <f>AT20*E20</f>
        <v>450000</v>
      </c>
      <c r="AV20" s="505">
        <v>30</v>
      </c>
      <c r="AW20" s="511">
        <f>AV20*E20</f>
        <v>450000</v>
      </c>
      <c r="AX20" s="510">
        <v>12</v>
      </c>
      <c r="AY20" s="511">
        <f>AX20*E20</f>
        <v>180000</v>
      </c>
      <c r="AZ20" s="505">
        <v>20</v>
      </c>
      <c r="BA20" s="511">
        <f>AZ20*E20</f>
        <v>300000</v>
      </c>
      <c r="BB20" s="505">
        <v>24</v>
      </c>
      <c r="BC20" s="511">
        <f>BB20*E20</f>
        <v>360000</v>
      </c>
      <c r="BD20" s="505">
        <v>14</v>
      </c>
      <c r="BE20" s="632">
        <f>BD20*E20</f>
        <v>210000</v>
      </c>
      <c r="BF20" s="505">
        <v>0</v>
      </c>
      <c r="BG20" s="511">
        <f>BF20*E20</f>
        <v>0</v>
      </c>
      <c r="BH20" s="505">
        <v>0</v>
      </c>
      <c r="BI20" s="511">
        <f>BH20*E20</f>
        <v>0</v>
      </c>
      <c r="BJ20" s="512">
        <f t="shared" si="5"/>
        <v>305</v>
      </c>
      <c r="BK20" s="512">
        <f t="shared" si="5"/>
        <v>4575000</v>
      </c>
      <c r="BL20" s="494" t="s">
        <v>216</v>
      </c>
      <c r="BM20" s="513"/>
      <c r="BN20" s="501"/>
      <c r="BO20" s="501"/>
      <c r="BP20" s="501"/>
      <c r="BQ20" s="501"/>
      <c r="BR20" s="501">
        <f>BN20+BO20+BP20+BQ20</f>
        <v>0</v>
      </c>
      <c r="BS20" s="501">
        <f>BK20</f>
        <v>4575000</v>
      </c>
      <c r="BT20" s="501"/>
      <c r="BU20" s="501">
        <f>BS20+BT20</f>
        <v>4575000</v>
      </c>
      <c r="BV20" s="514">
        <f t="shared" si="1"/>
        <v>4575000</v>
      </c>
    </row>
    <row r="21" spans="1:74" s="23" customFormat="1">
      <c r="A21" s="904"/>
      <c r="B21" s="184"/>
      <c r="C21" s="158" t="s">
        <v>452</v>
      </c>
      <c r="D21" s="168" t="s">
        <v>115</v>
      </c>
      <c r="E21" s="177" t="s">
        <v>115</v>
      </c>
      <c r="F21" s="194">
        <f t="shared" ref="F21:AK21" si="6">SUM(F18:F20)</f>
        <v>306</v>
      </c>
      <c r="G21" s="194">
        <f t="shared" si="6"/>
        <v>4675000</v>
      </c>
      <c r="H21" s="194">
        <f t="shared" si="6"/>
        <v>935000</v>
      </c>
      <c r="I21" s="194">
        <f t="shared" si="6"/>
        <v>3740000</v>
      </c>
      <c r="J21" s="194">
        <f t="shared" si="6"/>
        <v>0</v>
      </c>
      <c r="K21" s="194">
        <f t="shared" si="6"/>
        <v>0</v>
      </c>
      <c r="L21" s="194">
        <f t="shared" si="6"/>
        <v>0</v>
      </c>
      <c r="M21" s="194">
        <f t="shared" si="6"/>
        <v>0</v>
      </c>
      <c r="N21" s="194">
        <f t="shared" si="6"/>
        <v>0</v>
      </c>
      <c r="O21" s="194">
        <f t="shared" si="6"/>
        <v>0</v>
      </c>
      <c r="P21" s="194">
        <f t="shared" si="6"/>
        <v>0</v>
      </c>
      <c r="Q21" s="194">
        <f t="shared" si="6"/>
        <v>0</v>
      </c>
      <c r="R21" s="194">
        <f t="shared" si="6"/>
        <v>76.5</v>
      </c>
      <c r="S21" s="194">
        <f t="shared" si="6"/>
        <v>76.5</v>
      </c>
      <c r="T21" s="194">
        <f t="shared" si="6"/>
        <v>76.5</v>
      </c>
      <c r="U21" s="194">
        <f t="shared" si="6"/>
        <v>76.5</v>
      </c>
      <c r="V21" s="194">
        <f t="shared" si="6"/>
        <v>1168750</v>
      </c>
      <c r="W21" s="194">
        <f t="shared" si="6"/>
        <v>1168750</v>
      </c>
      <c r="X21" s="194">
        <f t="shared" si="6"/>
        <v>1168750</v>
      </c>
      <c r="Y21" s="194">
        <f t="shared" si="6"/>
        <v>1302750</v>
      </c>
      <c r="Z21" s="194">
        <f t="shared" si="6"/>
        <v>20</v>
      </c>
      <c r="AA21" s="194">
        <f t="shared" si="6"/>
        <v>300000</v>
      </c>
      <c r="AB21" s="194">
        <f t="shared" si="6"/>
        <v>12</v>
      </c>
      <c r="AC21" s="194">
        <f t="shared" si="6"/>
        <v>180000</v>
      </c>
      <c r="AD21" s="194">
        <f t="shared" si="6"/>
        <v>12</v>
      </c>
      <c r="AE21" s="194">
        <f t="shared" si="6"/>
        <v>180000</v>
      </c>
      <c r="AF21" s="194">
        <f t="shared" si="6"/>
        <v>12</v>
      </c>
      <c r="AG21" s="194">
        <f t="shared" si="6"/>
        <v>180000</v>
      </c>
      <c r="AH21" s="194">
        <f t="shared" si="6"/>
        <v>12</v>
      </c>
      <c r="AI21" s="194">
        <f t="shared" si="6"/>
        <v>180000</v>
      </c>
      <c r="AJ21" s="194">
        <f t="shared" si="6"/>
        <v>30</v>
      </c>
      <c r="AK21" s="194">
        <f t="shared" si="6"/>
        <v>450000</v>
      </c>
      <c r="AL21" s="194">
        <f t="shared" ref="AL21:BK21" si="7">SUM(AL18:AL20)</f>
        <v>24</v>
      </c>
      <c r="AM21" s="194">
        <f t="shared" si="7"/>
        <v>360000</v>
      </c>
      <c r="AN21" s="194">
        <f t="shared" si="7"/>
        <v>5</v>
      </c>
      <c r="AO21" s="194">
        <f t="shared" si="7"/>
        <v>75000</v>
      </c>
      <c r="AP21" s="194">
        <f t="shared" si="7"/>
        <v>24</v>
      </c>
      <c r="AQ21" s="194">
        <f t="shared" si="7"/>
        <v>360000</v>
      </c>
      <c r="AR21" s="194">
        <f t="shared" si="7"/>
        <v>24</v>
      </c>
      <c r="AS21" s="194">
        <f t="shared" si="7"/>
        <v>360000</v>
      </c>
      <c r="AT21" s="194">
        <f t="shared" si="7"/>
        <v>30</v>
      </c>
      <c r="AU21" s="194">
        <f t="shared" si="7"/>
        <v>450000</v>
      </c>
      <c r="AV21" s="194">
        <f t="shared" si="7"/>
        <v>30</v>
      </c>
      <c r="AW21" s="194">
        <f t="shared" si="7"/>
        <v>450000</v>
      </c>
      <c r="AX21" s="194">
        <f t="shared" si="7"/>
        <v>12</v>
      </c>
      <c r="AY21" s="194">
        <f t="shared" si="7"/>
        <v>180000</v>
      </c>
      <c r="AZ21" s="194">
        <f t="shared" si="7"/>
        <v>20</v>
      </c>
      <c r="BA21" s="194">
        <f t="shared" si="7"/>
        <v>300000</v>
      </c>
      <c r="BB21" s="194">
        <f t="shared" si="7"/>
        <v>24</v>
      </c>
      <c r="BC21" s="194">
        <f t="shared" si="7"/>
        <v>360000</v>
      </c>
      <c r="BD21" s="194">
        <f t="shared" si="7"/>
        <v>14</v>
      </c>
      <c r="BE21" s="194">
        <f t="shared" si="7"/>
        <v>210000</v>
      </c>
      <c r="BF21" s="194">
        <f t="shared" si="7"/>
        <v>0</v>
      </c>
      <c r="BG21" s="194">
        <f t="shared" si="7"/>
        <v>0</v>
      </c>
      <c r="BH21" s="194">
        <f t="shared" si="7"/>
        <v>1</v>
      </c>
      <c r="BI21" s="194">
        <f t="shared" si="7"/>
        <v>100000</v>
      </c>
      <c r="BJ21" s="194">
        <f t="shared" si="7"/>
        <v>306</v>
      </c>
      <c r="BK21" s="194">
        <f t="shared" si="7"/>
        <v>4675000</v>
      </c>
      <c r="BL21" s="168" t="s">
        <v>115</v>
      </c>
      <c r="BM21" s="225"/>
      <c r="BN21" s="174"/>
      <c r="BO21" s="174">
        <f>G21</f>
        <v>4675000</v>
      </c>
      <c r="BP21" s="174"/>
      <c r="BQ21" s="174"/>
      <c r="BR21" s="174">
        <f>BN21+BO21+BP21+BQ21</f>
        <v>4675000</v>
      </c>
      <c r="BS21" s="174"/>
      <c r="BT21" s="174"/>
      <c r="BU21" s="174">
        <f>BS21+BT21</f>
        <v>0</v>
      </c>
      <c r="BV21" s="226">
        <f t="shared" si="1"/>
        <v>4675000</v>
      </c>
    </row>
    <row r="22" spans="1:74" s="23" customFormat="1">
      <c r="A22" s="904"/>
      <c r="B22" s="184"/>
      <c r="C22" s="158" t="s">
        <v>453</v>
      </c>
      <c r="D22" s="159"/>
      <c r="E22" s="159"/>
      <c r="F22" s="194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27"/>
      <c r="AA22" s="202">
        <f t="shared" ref="AA22:AA33" si="8">Z22*E22</f>
        <v>0</v>
      </c>
      <c r="AB22" s="227"/>
      <c r="AC22" s="202">
        <f t="shared" ref="AC22:AC33" si="9">AB22*E22</f>
        <v>0</v>
      </c>
      <c r="AD22" s="227"/>
      <c r="AE22" s="202">
        <f t="shared" ref="AE22:AE33" si="10">AD22*E22</f>
        <v>0</v>
      </c>
      <c r="AF22" s="227"/>
      <c r="AG22" s="202">
        <f t="shared" ref="AG22:AG33" si="11">AF22*E22</f>
        <v>0</v>
      </c>
      <c r="AH22" s="227"/>
      <c r="AI22" s="202">
        <f>AH22*E22</f>
        <v>0</v>
      </c>
      <c r="AJ22" s="227"/>
      <c r="AK22" s="202">
        <f t="shared" ref="AK22:AK33" si="12">AJ22*E22</f>
        <v>0</v>
      </c>
      <c r="AL22" s="227"/>
      <c r="AM22" s="202">
        <f t="shared" ref="AM22:AM33" si="13">AL22*E22</f>
        <v>0</v>
      </c>
      <c r="AN22" s="227"/>
      <c r="AO22" s="202">
        <f t="shared" ref="AO22:AO33" si="14">AN22*E22</f>
        <v>0</v>
      </c>
      <c r="AP22" s="227"/>
      <c r="AQ22" s="202">
        <f t="shared" ref="AQ22:AQ33" si="15">AP22*E22</f>
        <v>0</v>
      </c>
      <c r="AR22" s="227"/>
      <c r="AS22" s="202">
        <f t="shared" ref="AS22:AS33" si="16">AR22*E22</f>
        <v>0</v>
      </c>
      <c r="AT22" s="227"/>
      <c r="AU22" s="202">
        <f t="shared" ref="AU22:AU33" si="17">AT22*E22</f>
        <v>0</v>
      </c>
      <c r="AV22" s="227"/>
      <c r="AW22" s="202">
        <f t="shared" ref="AW22:AW33" si="18">AV22*E22</f>
        <v>0</v>
      </c>
      <c r="AX22" s="227"/>
      <c r="AY22" s="202">
        <f t="shared" ref="AY22:AY33" si="19">AX22*E22</f>
        <v>0</v>
      </c>
      <c r="AZ22" s="227"/>
      <c r="BA22" s="202">
        <f>AZ22*E22</f>
        <v>0</v>
      </c>
      <c r="BB22" s="227"/>
      <c r="BC22" s="202">
        <f t="shared" ref="BC22:BC33" si="20">BB22*E22</f>
        <v>0</v>
      </c>
      <c r="BD22" s="227"/>
      <c r="BE22" s="202"/>
      <c r="BF22" s="227"/>
      <c r="BG22" s="202"/>
      <c r="BH22" s="227"/>
      <c r="BI22" s="202"/>
      <c r="BJ22" s="180"/>
      <c r="BK22" s="180"/>
      <c r="BL22" s="159"/>
      <c r="BM22" s="219"/>
      <c r="BN22" s="215"/>
      <c r="BO22" s="215"/>
      <c r="BP22" s="215"/>
      <c r="BQ22" s="215"/>
      <c r="BR22" s="215"/>
      <c r="BS22" s="215"/>
      <c r="BT22" s="215"/>
      <c r="BU22" s="215"/>
      <c r="BV22" s="226"/>
    </row>
    <row r="23" spans="1:74">
      <c r="A23" s="904"/>
      <c r="B23" s="191"/>
      <c r="C23" s="228" t="s">
        <v>75</v>
      </c>
      <c r="D23" s="196"/>
      <c r="E23" s="229"/>
      <c r="F23" s="206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12"/>
      <c r="S23" s="212"/>
      <c r="T23" s="212"/>
      <c r="U23" s="212"/>
      <c r="V23" s="211"/>
      <c r="W23" s="211"/>
      <c r="X23" s="211"/>
      <c r="Y23" s="211"/>
      <c r="Z23" s="212"/>
      <c r="AA23" s="202">
        <f t="shared" si="8"/>
        <v>0</v>
      </c>
      <c r="AB23" s="212"/>
      <c r="AC23" s="202">
        <f t="shared" si="9"/>
        <v>0</v>
      </c>
      <c r="AD23" s="212"/>
      <c r="AE23" s="202">
        <f t="shared" si="10"/>
        <v>0</v>
      </c>
      <c r="AF23" s="212"/>
      <c r="AG23" s="202">
        <f t="shared" si="11"/>
        <v>0</v>
      </c>
      <c r="AH23" s="212"/>
      <c r="AI23" s="202">
        <f>AH23*E23</f>
        <v>0</v>
      </c>
      <c r="AJ23" s="212"/>
      <c r="AK23" s="202">
        <f t="shared" si="12"/>
        <v>0</v>
      </c>
      <c r="AL23" s="212"/>
      <c r="AM23" s="202">
        <f t="shared" si="13"/>
        <v>0</v>
      </c>
      <c r="AN23" s="212"/>
      <c r="AO23" s="202">
        <f t="shared" si="14"/>
        <v>0</v>
      </c>
      <c r="AP23" s="212"/>
      <c r="AQ23" s="202">
        <f t="shared" si="15"/>
        <v>0</v>
      </c>
      <c r="AR23" s="212"/>
      <c r="AS23" s="202">
        <f t="shared" si="16"/>
        <v>0</v>
      </c>
      <c r="AT23" s="212"/>
      <c r="AU23" s="202">
        <f t="shared" si="17"/>
        <v>0</v>
      </c>
      <c r="AV23" s="212"/>
      <c r="AW23" s="202">
        <f t="shared" si="18"/>
        <v>0</v>
      </c>
      <c r="AX23" s="211">
        <v>0</v>
      </c>
      <c r="AY23" s="202">
        <f t="shared" si="19"/>
        <v>0</v>
      </c>
      <c r="AZ23" s="212"/>
      <c r="BA23" s="202">
        <f>AZ23*E23</f>
        <v>0</v>
      </c>
      <c r="BB23" s="212"/>
      <c r="BC23" s="202">
        <f t="shared" si="20"/>
        <v>0</v>
      </c>
      <c r="BD23" s="212"/>
      <c r="BE23" s="202"/>
      <c r="BF23" s="212"/>
      <c r="BG23" s="202"/>
      <c r="BH23" s="212"/>
      <c r="BI23" s="202"/>
      <c r="BJ23" s="180"/>
      <c r="BK23" s="180"/>
      <c r="BL23" s="187"/>
      <c r="BM23" s="219"/>
      <c r="BN23" s="207">
        <f t="shared" ref="BN23:BN31" si="21">G23</f>
        <v>0</v>
      </c>
      <c r="BO23" s="163"/>
      <c r="BP23" s="163"/>
      <c r="BQ23" s="163"/>
      <c r="BR23" s="163">
        <f t="shared" ref="BR23:BR33" si="22">BN23+BO23+BP23+BQ23</f>
        <v>0</v>
      </c>
      <c r="BS23" s="163"/>
      <c r="BT23" s="163"/>
      <c r="BU23" s="163">
        <f>BS23+BT23</f>
        <v>0</v>
      </c>
      <c r="BV23" s="203">
        <f t="shared" si="1"/>
        <v>0</v>
      </c>
    </row>
    <row r="24" spans="1:74" s="693" customFormat="1">
      <c r="A24" s="904"/>
      <c r="B24" s="677" t="s">
        <v>820</v>
      </c>
      <c r="C24" s="678" t="s">
        <v>241</v>
      </c>
      <c r="D24" s="696" t="s">
        <v>247</v>
      </c>
      <c r="E24" s="679">
        <v>40000</v>
      </c>
      <c r="F24" s="680">
        <f t="shared" ref="F24:G33" si="23">BJ24</f>
        <v>136</v>
      </c>
      <c r="G24" s="681">
        <f>BK24</f>
        <v>5440000</v>
      </c>
      <c r="H24" s="682"/>
      <c r="I24" s="682"/>
      <c r="J24" s="682"/>
      <c r="K24" s="682"/>
      <c r="L24" s="682"/>
      <c r="M24" s="682">
        <f>G24</f>
        <v>5440000</v>
      </c>
      <c r="N24" s="682"/>
      <c r="O24" s="682"/>
      <c r="P24" s="682"/>
      <c r="Q24" s="681"/>
      <c r="R24" s="683">
        <f t="shared" ref="R24:R33" si="24">F24*0.35</f>
        <v>47.599999999999994</v>
      </c>
      <c r="S24" s="683">
        <f>F24*0.1</f>
        <v>13.600000000000001</v>
      </c>
      <c r="T24" s="683">
        <f>F24:F24*0.15</f>
        <v>20.399999999999999</v>
      </c>
      <c r="U24" s="683">
        <f>F24*0.4</f>
        <v>54.400000000000006</v>
      </c>
      <c r="V24" s="684">
        <f>G24*0.2</f>
        <v>1088000</v>
      </c>
      <c r="W24" s="684">
        <f>G24*0.45</f>
        <v>2448000</v>
      </c>
      <c r="X24" s="684">
        <f>G24*0.25</f>
        <v>1360000</v>
      </c>
      <c r="Y24" s="684">
        <f>G24*0.1</f>
        <v>544000</v>
      </c>
      <c r="Z24" s="683">
        <v>0</v>
      </c>
      <c r="AA24" s="685">
        <f t="shared" si="8"/>
        <v>0</v>
      </c>
      <c r="AB24" s="683">
        <v>18</v>
      </c>
      <c r="AC24" s="685">
        <f t="shared" si="9"/>
        <v>720000</v>
      </c>
      <c r="AD24" s="683">
        <v>12</v>
      </c>
      <c r="AE24" s="685">
        <f t="shared" si="10"/>
        <v>480000</v>
      </c>
      <c r="AF24" s="683">
        <v>1</v>
      </c>
      <c r="AG24" s="685">
        <f t="shared" si="11"/>
        <v>40000</v>
      </c>
      <c r="AH24" s="683">
        <v>30</v>
      </c>
      <c r="AI24" s="685">
        <f>AH24*E24</f>
        <v>1200000</v>
      </c>
      <c r="AJ24" s="683">
        <v>0</v>
      </c>
      <c r="AK24" s="685">
        <f t="shared" si="12"/>
        <v>0</v>
      </c>
      <c r="AL24" s="683">
        <v>0</v>
      </c>
      <c r="AM24" s="685">
        <f t="shared" si="13"/>
        <v>0</v>
      </c>
      <c r="AN24" s="683">
        <v>4</v>
      </c>
      <c r="AO24" s="685">
        <f t="shared" si="14"/>
        <v>160000</v>
      </c>
      <c r="AP24" s="683">
        <v>0</v>
      </c>
      <c r="AQ24" s="685">
        <f t="shared" si="15"/>
        <v>0</v>
      </c>
      <c r="AR24" s="686">
        <v>0</v>
      </c>
      <c r="AS24" s="685">
        <f t="shared" si="16"/>
        <v>0</v>
      </c>
      <c r="AT24" s="683">
        <v>4</v>
      </c>
      <c r="AU24" s="685">
        <f t="shared" si="17"/>
        <v>160000</v>
      </c>
      <c r="AV24" s="683">
        <v>12</v>
      </c>
      <c r="AW24" s="685">
        <f t="shared" si="18"/>
        <v>480000</v>
      </c>
      <c r="AX24" s="694">
        <v>0</v>
      </c>
      <c r="AY24" s="685">
        <f t="shared" si="19"/>
        <v>0</v>
      </c>
      <c r="AZ24" s="683">
        <v>20</v>
      </c>
      <c r="BA24" s="685">
        <f t="shared" ref="BA24:BA33" si="25">AZ24*E24</f>
        <v>800000</v>
      </c>
      <c r="BB24" s="683">
        <v>0</v>
      </c>
      <c r="BC24" s="685">
        <f t="shared" si="20"/>
        <v>0</v>
      </c>
      <c r="BD24" s="683">
        <v>5</v>
      </c>
      <c r="BE24" s="685">
        <f t="shared" ref="BE24:BE33" si="26">BD24*E24</f>
        <v>200000</v>
      </c>
      <c r="BF24" s="683">
        <v>30</v>
      </c>
      <c r="BG24" s="685">
        <f t="shared" ref="BG24:BG33" si="27">BF24*E24</f>
        <v>1200000</v>
      </c>
      <c r="BH24" s="683"/>
      <c r="BI24" s="685">
        <f t="shared" ref="BI24:BI33" si="28">BH24*E24</f>
        <v>0</v>
      </c>
      <c r="BJ24" s="688">
        <f t="shared" ref="BJ24:BJ33" si="29">BH24+BF24+BD24+BB24+AZ24+AX24+AV24+AT24+AR24+AP24+AN24+AL24+AJ24+AH24+AF24+AD24+AB24+Z24</f>
        <v>136</v>
      </c>
      <c r="BK24" s="688">
        <f t="shared" ref="BK24:BK33" si="30">BI24+BG24+BE24+BC24+BA24+AY24+AW24+AU24+AS24+AQ24+AO24+AM24+AK24+AI24+AG24+AE24+AC24+AA24</f>
        <v>5440000</v>
      </c>
      <c r="BL24" s="689" t="s">
        <v>288</v>
      </c>
      <c r="BM24" s="690"/>
      <c r="BN24" s="681">
        <f t="shared" si="21"/>
        <v>5440000</v>
      </c>
      <c r="BO24" s="691"/>
      <c r="BP24" s="691"/>
      <c r="BQ24" s="691"/>
      <c r="BR24" s="691">
        <f t="shared" si="22"/>
        <v>5440000</v>
      </c>
      <c r="BS24" s="691"/>
      <c r="BT24" s="691"/>
      <c r="BU24" s="691"/>
      <c r="BV24" s="692">
        <f t="shared" si="1"/>
        <v>5440000</v>
      </c>
    </row>
    <row r="25" spans="1:74" ht="31.5">
      <c r="A25" s="904"/>
      <c r="B25" s="191" t="s">
        <v>809</v>
      </c>
      <c r="C25" s="196" t="s">
        <v>819</v>
      </c>
      <c r="D25" s="145" t="s">
        <v>247</v>
      </c>
      <c r="E25" s="229">
        <v>20000</v>
      </c>
      <c r="F25" s="206">
        <f t="shared" si="23"/>
        <v>265</v>
      </c>
      <c r="G25" s="207">
        <f>BK25</f>
        <v>5412200</v>
      </c>
      <c r="H25" s="208">
        <f>G25*0.15</f>
        <v>811830</v>
      </c>
      <c r="I25" s="208">
        <f>G25*0.75</f>
        <v>4059150</v>
      </c>
      <c r="J25" s="208"/>
      <c r="K25" s="208"/>
      <c r="L25" s="208"/>
      <c r="M25" s="208"/>
      <c r="N25" s="208"/>
      <c r="O25" s="208"/>
      <c r="P25" s="208">
        <f>G25*0.1</f>
        <v>541220</v>
      </c>
      <c r="Q25" s="207"/>
      <c r="R25" s="212">
        <f t="shared" si="24"/>
        <v>92.75</v>
      </c>
      <c r="S25" s="212">
        <f>F25*0.1</f>
        <v>26.5</v>
      </c>
      <c r="T25" s="212">
        <f>F25:F25*0.15</f>
        <v>39.75</v>
      </c>
      <c r="U25" s="212">
        <f>F25*0.4</f>
        <v>106</v>
      </c>
      <c r="V25" s="211">
        <f t="shared" ref="V25:V33" si="31">G25*0.2</f>
        <v>1082440</v>
      </c>
      <c r="W25" s="211">
        <f t="shared" ref="W25:W33" si="32">G25*0.45</f>
        <v>2435490</v>
      </c>
      <c r="X25" s="211">
        <f t="shared" ref="X25:X33" si="33">G25*0.25</f>
        <v>1353050</v>
      </c>
      <c r="Y25" s="211">
        <f t="shared" ref="Y25:Y33" si="34">G25*0.1</f>
        <v>541220</v>
      </c>
      <c r="Z25" s="212">
        <v>25</v>
      </c>
      <c r="AA25" s="202">
        <f t="shared" si="8"/>
        <v>500000</v>
      </c>
      <c r="AB25" s="212">
        <v>20</v>
      </c>
      <c r="AC25" s="202">
        <f t="shared" si="9"/>
        <v>400000</v>
      </c>
      <c r="AD25" s="212">
        <v>25</v>
      </c>
      <c r="AE25" s="202">
        <f t="shared" si="10"/>
        <v>500000</v>
      </c>
      <c r="AF25" s="212">
        <v>35</v>
      </c>
      <c r="AG25" s="202">
        <f t="shared" si="11"/>
        <v>700000</v>
      </c>
      <c r="AH25" s="212">
        <v>10</v>
      </c>
      <c r="AI25" s="202">
        <f t="shared" ref="AI25:AI33" si="35">AH25*E25</f>
        <v>200000</v>
      </c>
      <c r="AJ25" s="212">
        <v>10</v>
      </c>
      <c r="AK25" s="202">
        <f t="shared" si="12"/>
        <v>200000</v>
      </c>
      <c r="AL25" s="212">
        <v>0</v>
      </c>
      <c r="AM25" s="202">
        <f t="shared" si="13"/>
        <v>0</v>
      </c>
      <c r="AN25" s="212">
        <v>0</v>
      </c>
      <c r="AO25" s="202">
        <f t="shared" si="14"/>
        <v>0</v>
      </c>
      <c r="AP25" s="212">
        <v>15</v>
      </c>
      <c r="AQ25" s="202">
        <f t="shared" si="15"/>
        <v>300000</v>
      </c>
      <c r="AR25" s="212">
        <v>20</v>
      </c>
      <c r="AS25" s="511">
        <f>(AR25*E25)+40200</f>
        <v>440200</v>
      </c>
      <c r="AT25" s="212">
        <v>15</v>
      </c>
      <c r="AU25" s="202">
        <f t="shared" si="17"/>
        <v>300000</v>
      </c>
      <c r="AV25" s="212">
        <v>20</v>
      </c>
      <c r="AW25" s="511">
        <f>(AV25*E25)+72000</f>
        <v>472000</v>
      </c>
      <c r="AX25" s="510">
        <v>10</v>
      </c>
      <c r="AY25" s="202">
        <f t="shared" si="19"/>
        <v>200000</v>
      </c>
      <c r="AZ25" s="212">
        <v>20</v>
      </c>
      <c r="BA25" s="202">
        <f t="shared" si="25"/>
        <v>400000</v>
      </c>
      <c r="BB25" s="212">
        <v>20</v>
      </c>
      <c r="BC25" s="202">
        <f t="shared" si="20"/>
        <v>400000</v>
      </c>
      <c r="BD25" s="212">
        <v>10</v>
      </c>
      <c r="BE25" s="202">
        <f t="shared" si="26"/>
        <v>200000</v>
      </c>
      <c r="BF25" s="212">
        <v>10</v>
      </c>
      <c r="BG25" s="202">
        <f t="shared" si="27"/>
        <v>200000</v>
      </c>
      <c r="BH25" s="212"/>
      <c r="BI25" s="202">
        <f t="shared" si="28"/>
        <v>0</v>
      </c>
      <c r="BJ25" s="180">
        <f t="shared" si="29"/>
        <v>265</v>
      </c>
      <c r="BK25" s="180">
        <f t="shared" si="30"/>
        <v>5412200</v>
      </c>
      <c r="BL25" s="535" t="s">
        <v>303</v>
      </c>
      <c r="BM25" s="219"/>
      <c r="BN25" s="207">
        <f t="shared" si="21"/>
        <v>5412200</v>
      </c>
      <c r="BO25" s="163"/>
      <c r="BP25" s="163"/>
      <c r="BQ25" s="163"/>
      <c r="BR25" s="163">
        <f t="shared" si="22"/>
        <v>5412200</v>
      </c>
      <c r="BS25" s="163"/>
      <c r="BT25" s="163"/>
      <c r="BU25" s="163"/>
      <c r="BV25" s="203">
        <f t="shared" si="1"/>
        <v>5412200</v>
      </c>
    </row>
    <row r="26" spans="1:74" ht="47.25">
      <c r="A26" s="904"/>
      <c r="B26" s="191"/>
      <c r="C26" s="196" t="s">
        <v>1005</v>
      </c>
      <c r="D26" s="145" t="s">
        <v>76</v>
      </c>
      <c r="E26" s="229">
        <v>20000</v>
      </c>
      <c r="F26" s="206">
        <f t="shared" ref="F26" si="36">BJ26</f>
        <v>220</v>
      </c>
      <c r="G26" s="207">
        <f>BK26</f>
        <v>4352000</v>
      </c>
      <c r="H26" s="208"/>
      <c r="I26" s="208"/>
      <c r="J26" s="208"/>
      <c r="K26" s="208"/>
      <c r="L26" s="208">
        <f>G26</f>
        <v>4352000</v>
      </c>
      <c r="M26" s="208"/>
      <c r="N26" s="208"/>
      <c r="O26" s="208"/>
      <c r="P26" s="208"/>
      <c r="Q26" s="207"/>
      <c r="R26" s="212"/>
      <c r="S26" s="212"/>
      <c r="T26" s="212"/>
      <c r="U26" s="212"/>
      <c r="V26" s="211"/>
      <c r="W26" s="211"/>
      <c r="X26" s="211"/>
      <c r="Y26" s="211"/>
      <c r="Z26" s="212">
        <v>12</v>
      </c>
      <c r="AA26" s="202">
        <f t="shared" si="8"/>
        <v>240000</v>
      </c>
      <c r="AB26" s="212">
        <v>12</v>
      </c>
      <c r="AC26" s="202">
        <f t="shared" si="9"/>
        <v>240000</v>
      </c>
      <c r="AD26" s="212">
        <v>12</v>
      </c>
      <c r="AE26" s="202">
        <f t="shared" si="10"/>
        <v>240000</v>
      </c>
      <c r="AF26" s="212">
        <v>12</v>
      </c>
      <c r="AG26" s="202">
        <f t="shared" si="11"/>
        <v>240000</v>
      </c>
      <c r="AH26" s="212">
        <v>12</v>
      </c>
      <c r="AI26" s="202">
        <f t="shared" si="35"/>
        <v>240000</v>
      </c>
      <c r="AJ26" s="212">
        <v>12</v>
      </c>
      <c r="AK26" s="202">
        <f t="shared" si="12"/>
        <v>240000</v>
      </c>
      <c r="AL26" s="212">
        <f>14+20</f>
        <v>34</v>
      </c>
      <c r="AM26" s="202">
        <f>280000+147000</f>
        <v>427000</v>
      </c>
      <c r="AN26" s="212">
        <v>0</v>
      </c>
      <c r="AO26" s="202">
        <f t="shared" si="14"/>
        <v>0</v>
      </c>
      <c r="AP26" s="212">
        <v>12</v>
      </c>
      <c r="AQ26" s="202">
        <f t="shared" si="15"/>
        <v>240000</v>
      </c>
      <c r="AR26" s="212">
        <v>15</v>
      </c>
      <c r="AS26" s="511">
        <f>(AR26*E26)</f>
        <v>300000</v>
      </c>
      <c r="AT26" s="212">
        <v>14</v>
      </c>
      <c r="AU26" s="202">
        <f>AT26*E26+205000</f>
        <v>485000</v>
      </c>
      <c r="AV26" s="212">
        <v>15</v>
      </c>
      <c r="AW26" s="511">
        <f>(AV26*E26)</f>
        <v>300000</v>
      </c>
      <c r="AX26" s="510">
        <v>16</v>
      </c>
      <c r="AY26" s="202">
        <f t="shared" si="19"/>
        <v>320000</v>
      </c>
      <c r="AZ26" s="212">
        <v>15</v>
      </c>
      <c r="BA26" s="202">
        <f t="shared" si="25"/>
        <v>300000</v>
      </c>
      <c r="BB26" s="212">
        <v>15</v>
      </c>
      <c r="BC26" s="202">
        <f t="shared" si="20"/>
        <v>300000</v>
      </c>
      <c r="BD26" s="212">
        <v>0</v>
      </c>
      <c r="BE26" s="202">
        <f t="shared" si="26"/>
        <v>0</v>
      </c>
      <c r="BF26" s="212">
        <v>12</v>
      </c>
      <c r="BG26" s="202">
        <f t="shared" si="27"/>
        <v>240000</v>
      </c>
      <c r="BH26" s="212"/>
      <c r="BI26" s="202"/>
      <c r="BJ26" s="180">
        <f t="shared" ref="BJ26" si="37">BH26+BF26+BD26+BB26+AZ26+AX26+AV26+AT26+AR26+AP26+AN26+AL26+AJ26+AH26+AF26+AD26+AB26+Z26</f>
        <v>220</v>
      </c>
      <c r="BK26" s="180">
        <f t="shared" ref="BK26" si="38">BI26+BG26+BE26+BC26+BA26+AY26+AW26+AU26+AS26+AQ26+AO26+AM26+AK26+AI26+AG26+AE26+AC26+AA26</f>
        <v>4352000</v>
      </c>
      <c r="BL26" s="535" t="s">
        <v>994</v>
      </c>
      <c r="BM26" s="219"/>
      <c r="BN26" s="207"/>
      <c r="BO26" s="163"/>
      <c r="BP26" s="163"/>
      <c r="BQ26" s="163"/>
      <c r="BR26" s="163"/>
      <c r="BS26" s="163"/>
      <c r="BT26" s="163"/>
      <c r="BU26" s="163"/>
      <c r="BV26" s="203"/>
    </row>
    <row r="27" spans="1:74">
      <c r="A27" s="904"/>
      <c r="B27" s="191"/>
      <c r="C27" s="196" t="s">
        <v>941</v>
      </c>
      <c r="D27" s="145" t="s">
        <v>247</v>
      </c>
      <c r="E27" s="229">
        <v>2500</v>
      </c>
      <c r="F27" s="206">
        <f>BJ27</f>
        <v>745</v>
      </c>
      <c r="G27" s="207">
        <f>F27*E27</f>
        <v>1862500</v>
      </c>
      <c r="H27" s="217">
        <f>G27*0.2</f>
        <v>372500</v>
      </c>
      <c r="I27" s="217">
        <f>G27*0.8</f>
        <v>1490000</v>
      </c>
      <c r="J27" s="208"/>
      <c r="K27" s="208"/>
      <c r="L27" s="208"/>
      <c r="M27" s="208"/>
      <c r="N27" s="208"/>
      <c r="O27" s="208"/>
      <c r="P27" s="208"/>
      <c r="Q27" s="207"/>
      <c r="R27" s="212"/>
      <c r="S27" s="212"/>
      <c r="T27" s="212"/>
      <c r="U27" s="212"/>
      <c r="V27" s="211"/>
      <c r="W27" s="211"/>
      <c r="X27" s="211"/>
      <c r="Y27" s="211"/>
      <c r="Z27" s="212">
        <v>45</v>
      </c>
      <c r="AA27" s="202">
        <f t="shared" si="8"/>
        <v>112500</v>
      </c>
      <c r="AB27" s="212">
        <v>40</v>
      </c>
      <c r="AC27" s="202">
        <f t="shared" si="9"/>
        <v>100000</v>
      </c>
      <c r="AD27" s="212">
        <v>45</v>
      </c>
      <c r="AE27" s="202">
        <f t="shared" si="10"/>
        <v>112500</v>
      </c>
      <c r="AF27" s="212">
        <v>45</v>
      </c>
      <c r="AG27" s="202">
        <f t="shared" si="11"/>
        <v>112500</v>
      </c>
      <c r="AH27" s="212">
        <v>45</v>
      </c>
      <c r="AI27" s="202">
        <f t="shared" si="35"/>
        <v>112500</v>
      </c>
      <c r="AJ27" s="505">
        <v>45</v>
      </c>
      <c r="AK27" s="511">
        <f t="shared" si="12"/>
        <v>112500</v>
      </c>
      <c r="AL27" s="212">
        <v>45</v>
      </c>
      <c r="AM27" s="202">
        <f t="shared" si="13"/>
        <v>112500</v>
      </c>
      <c r="AN27" s="212">
        <v>45</v>
      </c>
      <c r="AO27" s="202">
        <f t="shared" si="14"/>
        <v>112500</v>
      </c>
      <c r="AP27" s="212">
        <v>30</v>
      </c>
      <c r="AQ27" s="202">
        <f t="shared" si="15"/>
        <v>75000</v>
      </c>
      <c r="AR27" s="212">
        <v>45</v>
      </c>
      <c r="AS27" s="202">
        <f t="shared" si="16"/>
        <v>112500</v>
      </c>
      <c r="AT27" s="212">
        <v>45</v>
      </c>
      <c r="AU27" s="202">
        <f t="shared" si="17"/>
        <v>112500</v>
      </c>
      <c r="AV27" s="212">
        <v>45</v>
      </c>
      <c r="AW27" s="202">
        <f t="shared" si="18"/>
        <v>112500</v>
      </c>
      <c r="AX27" s="212">
        <v>45</v>
      </c>
      <c r="AY27" s="202">
        <f t="shared" si="19"/>
        <v>112500</v>
      </c>
      <c r="AZ27" s="212">
        <v>45</v>
      </c>
      <c r="BA27" s="202">
        <f t="shared" si="25"/>
        <v>112500</v>
      </c>
      <c r="BB27" s="212">
        <v>45</v>
      </c>
      <c r="BC27" s="202">
        <f t="shared" si="20"/>
        <v>112500</v>
      </c>
      <c r="BD27" s="212">
        <v>45</v>
      </c>
      <c r="BE27" s="202">
        <f t="shared" si="26"/>
        <v>112500</v>
      </c>
      <c r="BF27" s="212">
        <v>45</v>
      </c>
      <c r="BG27" s="202">
        <f t="shared" si="27"/>
        <v>112500</v>
      </c>
      <c r="BH27" s="212"/>
      <c r="BI27" s="202"/>
      <c r="BJ27" s="180">
        <f>BH27+BF27+BD27+BB27+AZ27+AX27+AV27+AT27+AR27+AP27+AN27+AL27+AJ27+AH27+AF27+AD27+AB27+Z27</f>
        <v>745</v>
      </c>
      <c r="BK27" s="180">
        <f>BI27+BG27+BE27+BC27+BA27+AY27+AW27+AU27+AS27+AQ27+AO27+AM27+AK27+AI27+AG27+AE27+AC27+AA27</f>
        <v>1862500</v>
      </c>
      <c r="BL27" s="159" t="s">
        <v>216</v>
      </c>
      <c r="BM27" s="219"/>
      <c r="BN27" s="207"/>
      <c r="BO27" s="163"/>
      <c r="BP27" s="163"/>
      <c r="BQ27" s="163"/>
      <c r="BR27" s="163"/>
      <c r="BS27" s="163"/>
      <c r="BT27" s="163"/>
      <c r="BU27" s="163"/>
      <c r="BV27" s="203"/>
    </row>
    <row r="28" spans="1:74">
      <c r="A28" s="904"/>
      <c r="B28" s="191"/>
      <c r="C28" s="196" t="s">
        <v>942</v>
      </c>
      <c r="D28" s="145" t="s">
        <v>943</v>
      </c>
      <c r="E28" s="229">
        <v>50000</v>
      </c>
      <c r="F28" s="206">
        <f>BJ28</f>
        <v>0</v>
      </c>
      <c r="G28" s="207">
        <f>F28*E28</f>
        <v>0</v>
      </c>
      <c r="H28" s="217">
        <f>G28*0.2</f>
        <v>0</v>
      </c>
      <c r="I28" s="217">
        <f>G28*0.8</f>
        <v>0</v>
      </c>
      <c r="J28" s="208"/>
      <c r="K28" s="208"/>
      <c r="L28" s="208"/>
      <c r="M28" s="208"/>
      <c r="N28" s="208"/>
      <c r="O28" s="208"/>
      <c r="P28" s="208"/>
      <c r="Q28" s="207"/>
      <c r="R28" s="212"/>
      <c r="S28" s="212"/>
      <c r="T28" s="212"/>
      <c r="U28" s="212"/>
      <c r="V28" s="211"/>
      <c r="W28" s="211"/>
      <c r="X28" s="211"/>
      <c r="Y28" s="211"/>
      <c r="Z28" s="505">
        <v>0</v>
      </c>
      <c r="AA28" s="511">
        <f t="shared" si="8"/>
        <v>0</v>
      </c>
      <c r="AB28" s="212">
        <v>0</v>
      </c>
      <c r="AC28" s="202">
        <f t="shared" si="9"/>
        <v>0</v>
      </c>
      <c r="AD28" s="505">
        <v>0</v>
      </c>
      <c r="AE28" s="202">
        <f t="shared" si="10"/>
        <v>0</v>
      </c>
      <c r="AF28" s="212">
        <v>0</v>
      </c>
      <c r="AG28" s="202">
        <f t="shared" si="11"/>
        <v>0</v>
      </c>
      <c r="AH28" s="505">
        <v>0</v>
      </c>
      <c r="AI28" s="511">
        <f t="shared" si="35"/>
        <v>0</v>
      </c>
      <c r="AJ28" s="505">
        <v>0</v>
      </c>
      <c r="AK28" s="511">
        <f t="shared" si="12"/>
        <v>0</v>
      </c>
      <c r="AL28" s="212">
        <v>0</v>
      </c>
      <c r="AM28" s="202">
        <f t="shared" si="13"/>
        <v>0</v>
      </c>
      <c r="AN28" s="212">
        <v>0</v>
      </c>
      <c r="AO28" s="202">
        <f t="shared" si="14"/>
        <v>0</v>
      </c>
      <c r="AP28" s="212">
        <v>0</v>
      </c>
      <c r="AQ28" s="202">
        <f t="shared" si="15"/>
        <v>0</v>
      </c>
      <c r="AR28" s="505">
        <v>0</v>
      </c>
      <c r="AS28" s="202">
        <f t="shared" si="16"/>
        <v>0</v>
      </c>
      <c r="AT28" s="212">
        <v>0</v>
      </c>
      <c r="AU28" s="202">
        <f t="shared" si="17"/>
        <v>0</v>
      </c>
      <c r="AV28" s="212">
        <v>0</v>
      </c>
      <c r="AW28" s="202">
        <f t="shared" si="18"/>
        <v>0</v>
      </c>
      <c r="AX28" s="212">
        <v>0</v>
      </c>
      <c r="AY28" s="202">
        <f t="shared" si="19"/>
        <v>0</v>
      </c>
      <c r="AZ28" s="212">
        <v>0</v>
      </c>
      <c r="BA28" s="202">
        <f t="shared" si="25"/>
        <v>0</v>
      </c>
      <c r="BB28" s="505">
        <v>0</v>
      </c>
      <c r="BC28" s="202">
        <f t="shared" si="20"/>
        <v>0</v>
      </c>
      <c r="BD28" s="212">
        <v>0</v>
      </c>
      <c r="BE28" s="202">
        <f t="shared" si="26"/>
        <v>0</v>
      </c>
      <c r="BF28" s="212">
        <v>0</v>
      </c>
      <c r="BG28" s="202">
        <f t="shared" si="27"/>
        <v>0</v>
      </c>
      <c r="BH28" s="212"/>
      <c r="BI28" s="202"/>
      <c r="BJ28" s="180">
        <f>BH28+BF28+BD28+BB28+AZ28+AX28+AV28+AT28+AR28+AP28+AN28+AL28+AJ28+AH28+AF28+AD28+AB28+Z28</f>
        <v>0</v>
      </c>
      <c r="BK28" s="180">
        <f>BI28+BG28+BE28+BC28+BA28+AY28+AW28+AU28+AS28+AQ28+AO28+AM28+AK28+AI28+AG28+AE28+AC28+AA28</f>
        <v>0</v>
      </c>
      <c r="BL28" s="159" t="s">
        <v>216</v>
      </c>
      <c r="BM28" s="219"/>
      <c r="BN28" s="207"/>
      <c r="BO28" s="163"/>
      <c r="BP28" s="163"/>
      <c r="BQ28" s="163"/>
      <c r="BR28" s="163"/>
      <c r="BS28" s="163"/>
      <c r="BT28" s="163"/>
      <c r="BU28" s="163"/>
      <c r="BV28" s="203"/>
    </row>
    <row r="29" spans="1:74" s="788" customFormat="1">
      <c r="A29" s="904"/>
      <c r="B29" s="677" t="s">
        <v>822</v>
      </c>
      <c r="C29" s="728" t="s">
        <v>245</v>
      </c>
      <c r="D29" s="8" t="s">
        <v>283</v>
      </c>
      <c r="E29" s="715">
        <v>800</v>
      </c>
      <c r="F29" s="756">
        <f t="shared" si="23"/>
        <v>0</v>
      </c>
      <c r="G29" s="808">
        <f t="shared" ref="G29:G33" si="39">F29*E29</f>
        <v>0</v>
      </c>
      <c r="H29" s="809"/>
      <c r="I29" s="809"/>
      <c r="J29" s="809"/>
      <c r="K29" s="809"/>
      <c r="L29" s="809"/>
      <c r="M29" s="809">
        <f>G29</f>
        <v>0</v>
      </c>
      <c r="N29" s="809"/>
      <c r="O29" s="809"/>
      <c r="P29" s="809"/>
      <c r="Q29" s="808"/>
      <c r="R29" s="810">
        <f t="shared" si="24"/>
        <v>0</v>
      </c>
      <c r="S29" s="810">
        <f>F29*0.1</f>
        <v>0</v>
      </c>
      <c r="T29" s="810">
        <f>F29:F29*0.15</f>
        <v>0</v>
      </c>
      <c r="U29" s="810">
        <f>F29*0.4</f>
        <v>0</v>
      </c>
      <c r="V29" s="811">
        <f t="shared" si="31"/>
        <v>0</v>
      </c>
      <c r="W29" s="811">
        <f t="shared" si="32"/>
        <v>0</v>
      </c>
      <c r="X29" s="811">
        <f t="shared" si="33"/>
        <v>0</v>
      </c>
      <c r="Y29" s="811">
        <f t="shared" si="34"/>
        <v>0</v>
      </c>
      <c r="Z29" s="810">
        <v>0</v>
      </c>
      <c r="AA29" s="668">
        <f t="shared" si="8"/>
        <v>0</v>
      </c>
      <c r="AB29" s="810">
        <v>0</v>
      </c>
      <c r="AC29" s="668">
        <f t="shared" si="9"/>
        <v>0</v>
      </c>
      <c r="AD29" s="810">
        <v>0</v>
      </c>
      <c r="AE29" s="668">
        <f t="shared" si="10"/>
        <v>0</v>
      </c>
      <c r="AF29" s="810">
        <v>0</v>
      </c>
      <c r="AG29" s="668">
        <f t="shared" si="11"/>
        <v>0</v>
      </c>
      <c r="AH29" s="810">
        <v>0</v>
      </c>
      <c r="AI29" s="668">
        <f t="shared" si="35"/>
        <v>0</v>
      </c>
      <c r="AJ29" s="810">
        <v>0</v>
      </c>
      <c r="AK29" s="668">
        <f t="shared" si="12"/>
        <v>0</v>
      </c>
      <c r="AL29" s="810">
        <v>0</v>
      </c>
      <c r="AM29" s="668">
        <f t="shared" si="13"/>
        <v>0</v>
      </c>
      <c r="AN29" s="810">
        <v>0</v>
      </c>
      <c r="AO29" s="668">
        <f t="shared" si="14"/>
        <v>0</v>
      </c>
      <c r="AP29" s="810">
        <v>0</v>
      </c>
      <c r="AQ29" s="668">
        <f t="shared" si="15"/>
        <v>0</v>
      </c>
      <c r="AR29" s="810">
        <v>0</v>
      </c>
      <c r="AS29" s="668">
        <f t="shared" si="16"/>
        <v>0</v>
      </c>
      <c r="AT29" s="810">
        <v>0</v>
      </c>
      <c r="AU29" s="668">
        <f t="shared" si="17"/>
        <v>0</v>
      </c>
      <c r="AV29" s="810">
        <v>0</v>
      </c>
      <c r="AW29" s="668">
        <f t="shared" si="18"/>
        <v>0</v>
      </c>
      <c r="AX29" s="811">
        <v>0</v>
      </c>
      <c r="AY29" s="668">
        <f t="shared" si="19"/>
        <v>0</v>
      </c>
      <c r="AZ29" s="810">
        <v>0</v>
      </c>
      <c r="BA29" s="668">
        <f t="shared" si="25"/>
        <v>0</v>
      </c>
      <c r="BB29" s="810"/>
      <c r="BC29" s="668">
        <f t="shared" si="20"/>
        <v>0</v>
      </c>
      <c r="BD29" s="810">
        <v>0</v>
      </c>
      <c r="BE29" s="668">
        <f t="shared" si="26"/>
        <v>0</v>
      </c>
      <c r="BF29" s="810">
        <v>0</v>
      </c>
      <c r="BG29" s="668">
        <f t="shared" si="27"/>
        <v>0</v>
      </c>
      <c r="BH29" s="810"/>
      <c r="BI29" s="668">
        <f t="shared" si="28"/>
        <v>0</v>
      </c>
      <c r="BJ29" s="770">
        <f t="shared" si="29"/>
        <v>0</v>
      </c>
      <c r="BK29" s="770">
        <f t="shared" si="30"/>
        <v>0</v>
      </c>
      <c r="BL29" s="812" t="s">
        <v>288</v>
      </c>
      <c r="BM29" s="813"/>
      <c r="BN29" s="808">
        <f t="shared" si="21"/>
        <v>0</v>
      </c>
      <c r="BO29" s="789"/>
      <c r="BP29" s="789"/>
      <c r="BQ29" s="789"/>
      <c r="BR29" s="789">
        <f t="shared" si="22"/>
        <v>0</v>
      </c>
      <c r="BS29" s="789"/>
      <c r="BT29" s="789"/>
      <c r="BU29" s="789"/>
      <c r="BV29" s="814">
        <f t="shared" si="1"/>
        <v>0</v>
      </c>
    </row>
    <row r="30" spans="1:74" s="693" customFormat="1">
      <c r="A30" s="904"/>
      <c r="B30" s="677" t="s">
        <v>821</v>
      </c>
      <c r="C30" s="678" t="s">
        <v>243</v>
      </c>
      <c r="D30" s="696" t="s">
        <v>247</v>
      </c>
      <c r="E30" s="679">
        <v>40000</v>
      </c>
      <c r="F30" s="680">
        <f t="shared" si="23"/>
        <v>130</v>
      </c>
      <c r="G30" s="681">
        <f>BK30</f>
        <v>5200000</v>
      </c>
      <c r="H30" s="682"/>
      <c r="I30" s="682"/>
      <c r="J30" s="682"/>
      <c r="K30" s="682"/>
      <c r="L30" s="682"/>
      <c r="M30" s="682">
        <f>G30</f>
        <v>5200000</v>
      </c>
      <c r="N30" s="682"/>
      <c r="O30" s="682"/>
      <c r="P30" s="682"/>
      <c r="Q30" s="681"/>
      <c r="R30" s="683">
        <f t="shared" si="24"/>
        <v>45.5</v>
      </c>
      <c r="S30" s="683">
        <f>F30*0.1</f>
        <v>13</v>
      </c>
      <c r="T30" s="683">
        <f>F30:F30*0.15</f>
        <v>19.5</v>
      </c>
      <c r="U30" s="683">
        <f>F30*0.4</f>
        <v>52</v>
      </c>
      <c r="V30" s="684">
        <f t="shared" si="31"/>
        <v>1040000</v>
      </c>
      <c r="W30" s="684">
        <f t="shared" si="32"/>
        <v>2340000</v>
      </c>
      <c r="X30" s="684">
        <f t="shared" si="33"/>
        <v>1300000</v>
      </c>
      <c r="Y30" s="684">
        <f t="shared" si="34"/>
        <v>520000</v>
      </c>
      <c r="Z30" s="683">
        <v>0</v>
      </c>
      <c r="AA30" s="685">
        <f t="shared" si="8"/>
        <v>0</v>
      </c>
      <c r="AB30" s="683">
        <v>0</v>
      </c>
      <c r="AC30" s="685">
        <f t="shared" si="9"/>
        <v>0</v>
      </c>
      <c r="AD30" s="683">
        <v>2</v>
      </c>
      <c r="AE30" s="685">
        <f t="shared" si="10"/>
        <v>80000</v>
      </c>
      <c r="AF30" s="683">
        <v>0</v>
      </c>
      <c r="AG30" s="685">
        <f t="shared" si="11"/>
        <v>0</v>
      </c>
      <c r="AH30" s="683">
        <v>5</v>
      </c>
      <c r="AI30" s="685">
        <f t="shared" si="35"/>
        <v>200000</v>
      </c>
      <c r="AJ30" s="683">
        <v>0</v>
      </c>
      <c r="AK30" s="685">
        <f t="shared" si="12"/>
        <v>0</v>
      </c>
      <c r="AL30" s="683">
        <v>50</v>
      </c>
      <c r="AM30" s="685">
        <f t="shared" si="13"/>
        <v>2000000</v>
      </c>
      <c r="AN30" s="683">
        <v>0</v>
      </c>
      <c r="AO30" s="685">
        <f t="shared" si="14"/>
        <v>0</v>
      </c>
      <c r="AP30" s="683">
        <v>0</v>
      </c>
      <c r="AQ30" s="685">
        <f t="shared" si="15"/>
        <v>0</v>
      </c>
      <c r="AR30" s="686">
        <v>0</v>
      </c>
      <c r="AS30" s="685">
        <f>AR30*E30</f>
        <v>0</v>
      </c>
      <c r="AT30" s="683">
        <v>0</v>
      </c>
      <c r="AU30" s="685">
        <f t="shared" si="17"/>
        <v>0</v>
      </c>
      <c r="AV30" s="683">
        <v>9</v>
      </c>
      <c r="AW30" s="685">
        <f t="shared" si="18"/>
        <v>360000</v>
      </c>
      <c r="AX30" s="684">
        <v>4</v>
      </c>
      <c r="AY30" s="685">
        <f t="shared" si="19"/>
        <v>160000</v>
      </c>
      <c r="AZ30" s="683">
        <v>60</v>
      </c>
      <c r="BA30" s="685">
        <f t="shared" si="25"/>
        <v>2400000</v>
      </c>
      <c r="BB30" s="683"/>
      <c r="BC30" s="685">
        <f t="shared" si="20"/>
        <v>0</v>
      </c>
      <c r="BD30" s="683">
        <v>0</v>
      </c>
      <c r="BE30" s="685">
        <f t="shared" si="26"/>
        <v>0</v>
      </c>
      <c r="BF30" s="683">
        <v>0</v>
      </c>
      <c r="BG30" s="685">
        <f t="shared" si="27"/>
        <v>0</v>
      </c>
      <c r="BH30" s="683"/>
      <c r="BI30" s="685">
        <f t="shared" si="28"/>
        <v>0</v>
      </c>
      <c r="BJ30" s="688">
        <f t="shared" si="29"/>
        <v>130</v>
      </c>
      <c r="BK30" s="688">
        <f t="shared" si="30"/>
        <v>5200000</v>
      </c>
      <c r="BL30" s="689" t="s">
        <v>288</v>
      </c>
      <c r="BM30" s="690"/>
      <c r="BN30" s="681">
        <f t="shared" si="21"/>
        <v>5200000</v>
      </c>
      <c r="BO30" s="691"/>
      <c r="BP30" s="691"/>
      <c r="BQ30" s="691"/>
      <c r="BR30" s="691">
        <f t="shared" si="22"/>
        <v>5200000</v>
      </c>
      <c r="BS30" s="691"/>
      <c r="BT30" s="691"/>
      <c r="BU30" s="691"/>
      <c r="BV30" s="692">
        <f t="shared" si="1"/>
        <v>5200000</v>
      </c>
    </row>
    <row r="31" spans="1:74" s="693" customFormat="1">
      <c r="A31" s="904"/>
      <c r="B31" s="677" t="s">
        <v>823</v>
      </c>
      <c r="C31" s="678" t="s">
        <v>242</v>
      </c>
      <c r="D31" s="696" t="s">
        <v>249</v>
      </c>
      <c r="E31" s="679">
        <v>600</v>
      </c>
      <c r="F31" s="680">
        <f t="shared" si="23"/>
        <v>17100</v>
      </c>
      <c r="G31" s="681">
        <f>BK31</f>
        <v>9260000</v>
      </c>
      <c r="H31" s="682"/>
      <c r="I31" s="682"/>
      <c r="J31" s="682"/>
      <c r="K31" s="682"/>
      <c r="L31" s="682"/>
      <c r="M31" s="682">
        <f>G31</f>
        <v>9260000</v>
      </c>
      <c r="N31" s="682"/>
      <c r="O31" s="682"/>
      <c r="P31" s="682"/>
      <c r="Q31" s="681"/>
      <c r="R31" s="683">
        <f t="shared" si="24"/>
        <v>5985</v>
      </c>
      <c r="S31" s="683">
        <f>F31*0.1</f>
        <v>1710</v>
      </c>
      <c r="T31" s="683">
        <f>F31:F31*0.15</f>
        <v>2565</v>
      </c>
      <c r="U31" s="683">
        <f>F31*0.4</f>
        <v>6840</v>
      </c>
      <c r="V31" s="684">
        <f t="shared" si="31"/>
        <v>1852000</v>
      </c>
      <c r="W31" s="684">
        <f t="shared" si="32"/>
        <v>4167000</v>
      </c>
      <c r="X31" s="684">
        <f t="shared" si="33"/>
        <v>2315000</v>
      </c>
      <c r="Y31" s="684">
        <f t="shared" si="34"/>
        <v>926000</v>
      </c>
      <c r="Z31" s="683">
        <v>1000</v>
      </c>
      <c r="AA31" s="685">
        <f t="shared" si="8"/>
        <v>600000</v>
      </c>
      <c r="AB31" s="683">
        <v>2200</v>
      </c>
      <c r="AC31" s="685">
        <f>AB31*E31</f>
        <v>1320000</v>
      </c>
      <c r="AD31" s="683">
        <v>500</v>
      </c>
      <c r="AE31" s="685">
        <f>AD31*E31</f>
        <v>300000</v>
      </c>
      <c r="AF31" s="683">
        <v>4000</v>
      </c>
      <c r="AG31" s="685">
        <f>AF31*E31-1000000</f>
        <v>1400000</v>
      </c>
      <c r="AH31" s="683">
        <v>2000</v>
      </c>
      <c r="AI31" s="685">
        <f>AH31*E31</f>
        <v>1200000</v>
      </c>
      <c r="AJ31" s="683">
        <v>0</v>
      </c>
      <c r="AK31" s="685">
        <f t="shared" si="12"/>
        <v>0</v>
      </c>
      <c r="AL31" s="683">
        <v>0</v>
      </c>
      <c r="AM31" s="685">
        <f t="shared" si="13"/>
        <v>0</v>
      </c>
      <c r="AN31" s="683">
        <v>0</v>
      </c>
      <c r="AO31" s="685">
        <f t="shared" si="14"/>
        <v>0</v>
      </c>
      <c r="AP31" s="683">
        <v>0</v>
      </c>
      <c r="AQ31" s="685">
        <f t="shared" si="15"/>
        <v>0</v>
      </c>
      <c r="AR31" s="683">
        <v>0</v>
      </c>
      <c r="AS31" s="685">
        <f t="shared" si="16"/>
        <v>0</v>
      </c>
      <c r="AT31" s="683">
        <v>0</v>
      </c>
      <c r="AU31" s="685">
        <f t="shared" si="17"/>
        <v>0</v>
      </c>
      <c r="AV31" s="683">
        <v>200</v>
      </c>
      <c r="AW31" s="685">
        <f t="shared" si="18"/>
        <v>120000</v>
      </c>
      <c r="AX31" s="694">
        <v>200</v>
      </c>
      <c r="AY31" s="685">
        <f t="shared" si="19"/>
        <v>120000</v>
      </c>
      <c r="AZ31" s="683">
        <v>6000</v>
      </c>
      <c r="BA31" s="685">
        <f t="shared" si="25"/>
        <v>3600000</v>
      </c>
      <c r="BB31" s="683">
        <v>1000</v>
      </c>
      <c r="BC31" s="685">
        <f t="shared" si="20"/>
        <v>600000</v>
      </c>
      <c r="BD31" s="683">
        <v>0</v>
      </c>
      <c r="BE31" s="685">
        <f t="shared" si="26"/>
        <v>0</v>
      </c>
      <c r="BF31" s="683">
        <v>0</v>
      </c>
      <c r="BG31" s="685">
        <f t="shared" si="27"/>
        <v>0</v>
      </c>
      <c r="BH31" s="683"/>
      <c r="BI31" s="685">
        <f t="shared" si="28"/>
        <v>0</v>
      </c>
      <c r="BJ31" s="688">
        <f t="shared" si="29"/>
        <v>17100</v>
      </c>
      <c r="BK31" s="688">
        <f t="shared" si="30"/>
        <v>9260000</v>
      </c>
      <c r="BL31" s="689" t="s">
        <v>288</v>
      </c>
      <c r="BM31" s="690"/>
      <c r="BN31" s="681">
        <f t="shared" si="21"/>
        <v>9260000</v>
      </c>
      <c r="BO31" s="691"/>
      <c r="BP31" s="691"/>
      <c r="BQ31" s="691"/>
      <c r="BR31" s="691">
        <f t="shared" si="22"/>
        <v>9260000</v>
      </c>
      <c r="BS31" s="691"/>
      <c r="BT31" s="691"/>
      <c r="BU31" s="691"/>
      <c r="BV31" s="692">
        <f t="shared" si="1"/>
        <v>9260000</v>
      </c>
    </row>
    <row r="32" spans="1:74" s="693" customFormat="1">
      <c r="A32" s="904"/>
      <c r="B32" s="677"/>
      <c r="C32" s="678" t="s">
        <v>308</v>
      </c>
      <c r="D32" s="696" t="s">
        <v>76</v>
      </c>
      <c r="E32" s="679">
        <v>160000</v>
      </c>
      <c r="F32" s="680">
        <f t="shared" si="23"/>
        <v>14</v>
      </c>
      <c r="G32" s="680">
        <f t="shared" si="23"/>
        <v>1240000</v>
      </c>
      <c r="H32" s="682"/>
      <c r="I32" s="682"/>
      <c r="J32" s="682"/>
      <c r="K32" s="682"/>
      <c r="L32" s="682"/>
      <c r="M32" s="682">
        <f>G32</f>
        <v>1240000</v>
      </c>
      <c r="N32" s="682"/>
      <c r="O32" s="682"/>
      <c r="P32" s="682"/>
      <c r="Q32" s="681"/>
      <c r="R32" s="683">
        <f t="shared" si="24"/>
        <v>4.8999999999999995</v>
      </c>
      <c r="S32" s="683">
        <f>F32*0.65</f>
        <v>9.1</v>
      </c>
      <c r="T32" s="683"/>
      <c r="U32" s="683"/>
      <c r="V32" s="684">
        <f t="shared" si="31"/>
        <v>248000</v>
      </c>
      <c r="W32" s="684">
        <f t="shared" si="32"/>
        <v>558000</v>
      </c>
      <c r="X32" s="684">
        <f t="shared" si="33"/>
        <v>310000</v>
      </c>
      <c r="Y32" s="684">
        <f t="shared" si="34"/>
        <v>124000</v>
      </c>
      <c r="Z32" s="683">
        <v>0</v>
      </c>
      <c r="AA32" s="685">
        <f t="shared" si="8"/>
        <v>0</v>
      </c>
      <c r="AB32" s="683">
        <v>0</v>
      </c>
      <c r="AC32" s="685">
        <f t="shared" si="9"/>
        <v>0</v>
      </c>
      <c r="AD32" s="683">
        <v>0</v>
      </c>
      <c r="AE32" s="685">
        <f t="shared" si="10"/>
        <v>0</v>
      </c>
      <c r="AF32" s="683">
        <v>0</v>
      </c>
      <c r="AG32" s="685">
        <f t="shared" si="11"/>
        <v>0</v>
      </c>
      <c r="AH32" s="683">
        <v>0</v>
      </c>
      <c r="AI32" s="685">
        <f t="shared" si="35"/>
        <v>0</v>
      </c>
      <c r="AJ32" s="683">
        <v>0</v>
      </c>
      <c r="AK32" s="685">
        <f t="shared" si="12"/>
        <v>0</v>
      </c>
      <c r="AL32" s="683">
        <v>0</v>
      </c>
      <c r="AM32" s="685">
        <f t="shared" si="13"/>
        <v>0</v>
      </c>
      <c r="AN32" s="683">
        <v>0</v>
      </c>
      <c r="AO32" s="685">
        <f t="shared" si="14"/>
        <v>0</v>
      </c>
      <c r="AP32" s="683">
        <v>0</v>
      </c>
      <c r="AQ32" s="685">
        <f t="shared" si="15"/>
        <v>0</v>
      </c>
      <c r="AR32" s="683">
        <v>0</v>
      </c>
      <c r="AS32" s="685">
        <f t="shared" si="16"/>
        <v>0</v>
      </c>
      <c r="AT32" s="683">
        <v>0</v>
      </c>
      <c r="AU32" s="685">
        <f t="shared" si="17"/>
        <v>0</v>
      </c>
      <c r="AV32" s="683">
        <v>0</v>
      </c>
      <c r="AW32" s="685">
        <f t="shared" si="18"/>
        <v>0</v>
      </c>
      <c r="AX32" s="684">
        <v>0</v>
      </c>
      <c r="AY32" s="685">
        <f t="shared" si="19"/>
        <v>0</v>
      </c>
      <c r="AZ32" s="683">
        <v>0</v>
      </c>
      <c r="BA32" s="685">
        <f t="shared" si="25"/>
        <v>0</v>
      </c>
      <c r="BB32" s="683"/>
      <c r="BC32" s="685">
        <f t="shared" si="20"/>
        <v>0</v>
      </c>
      <c r="BD32" s="683">
        <v>14</v>
      </c>
      <c r="BE32" s="685">
        <f>BD32*E32-1000000</f>
        <v>1240000</v>
      </c>
      <c r="BF32" s="683">
        <v>0</v>
      </c>
      <c r="BG32" s="685">
        <f t="shared" si="27"/>
        <v>0</v>
      </c>
      <c r="BH32" s="683"/>
      <c r="BI32" s="685">
        <f t="shared" si="28"/>
        <v>0</v>
      </c>
      <c r="BJ32" s="688">
        <f t="shared" si="29"/>
        <v>14</v>
      </c>
      <c r="BK32" s="688">
        <f t="shared" si="30"/>
        <v>1240000</v>
      </c>
      <c r="BL32" s="689" t="s">
        <v>288</v>
      </c>
      <c r="BM32" s="690"/>
      <c r="BN32" s="681"/>
      <c r="BO32" s="691"/>
      <c r="BP32" s="697">
        <f>G32</f>
        <v>1240000</v>
      </c>
      <c r="BQ32" s="691"/>
      <c r="BR32" s="691">
        <f t="shared" si="22"/>
        <v>1240000</v>
      </c>
      <c r="BS32" s="691"/>
      <c r="BT32" s="691"/>
      <c r="BU32" s="691"/>
      <c r="BV32" s="692">
        <f t="shared" si="1"/>
        <v>1240000</v>
      </c>
    </row>
    <row r="33" spans="1:74" s="693" customFormat="1">
      <c r="A33" s="904"/>
      <c r="B33" s="677"/>
      <c r="C33" s="678" t="s">
        <v>516</v>
      </c>
      <c r="D33" s="696" t="s">
        <v>76</v>
      </c>
      <c r="E33" s="679">
        <v>80000</v>
      </c>
      <c r="F33" s="680">
        <f t="shared" si="23"/>
        <v>30</v>
      </c>
      <c r="G33" s="681">
        <f t="shared" si="39"/>
        <v>2400000</v>
      </c>
      <c r="H33" s="682"/>
      <c r="I33" s="682"/>
      <c r="J33" s="682"/>
      <c r="K33" s="682"/>
      <c r="L33" s="682"/>
      <c r="M33" s="682">
        <f>G33</f>
        <v>2400000</v>
      </c>
      <c r="N33" s="682"/>
      <c r="O33" s="682"/>
      <c r="P33" s="682"/>
      <c r="Q33" s="681"/>
      <c r="R33" s="683">
        <f t="shared" si="24"/>
        <v>10.5</v>
      </c>
      <c r="S33" s="683">
        <f>F33*0.65</f>
        <v>19.5</v>
      </c>
      <c r="T33" s="683"/>
      <c r="U33" s="683"/>
      <c r="V33" s="684">
        <f t="shared" si="31"/>
        <v>480000</v>
      </c>
      <c r="W33" s="684">
        <f t="shared" si="32"/>
        <v>1080000</v>
      </c>
      <c r="X33" s="684">
        <f t="shared" si="33"/>
        <v>600000</v>
      </c>
      <c r="Y33" s="684">
        <f t="shared" si="34"/>
        <v>240000</v>
      </c>
      <c r="Z33" s="683">
        <v>0</v>
      </c>
      <c r="AA33" s="685">
        <f t="shared" si="8"/>
        <v>0</v>
      </c>
      <c r="AB33" s="683">
        <v>0</v>
      </c>
      <c r="AC33" s="685">
        <f t="shared" si="9"/>
        <v>0</v>
      </c>
      <c r="AD33" s="683"/>
      <c r="AE33" s="685">
        <f t="shared" si="10"/>
        <v>0</v>
      </c>
      <c r="AF33" s="683">
        <v>0</v>
      </c>
      <c r="AG33" s="685">
        <f t="shared" si="11"/>
        <v>0</v>
      </c>
      <c r="AH33" s="683">
        <v>0</v>
      </c>
      <c r="AI33" s="685">
        <f t="shared" si="35"/>
        <v>0</v>
      </c>
      <c r="AJ33" s="683">
        <v>0</v>
      </c>
      <c r="AK33" s="685">
        <f t="shared" si="12"/>
        <v>0</v>
      </c>
      <c r="AL33" s="683"/>
      <c r="AM33" s="685">
        <f t="shared" si="13"/>
        <v>0</v>
      </c>
      <c r="AN33" s="683">
        <v>0</v>
      </c>
      <c r="AO33" s="685">
        <f t="shared" si="14"/>
        <v>0</v>
      </c>
      <c r="AP33" s="683">
        <v>0</v>
      </c>
      <c r="AQ33" s="685">
        <f t="shared" si="15"/>
        <v>0</v>
      </c>
      <c r="AR33" s="683">
        <v>0</v>
      </c>
      <c r="AS33" s="685">
        <f t="shared" si="16"/>
        <v>0</v>
      </c>
      <c r="AT33" s="683">
        <v>0</v>
      </c>
      <c r="AU33" s="685">
        <f t="shared" si="17"/>
        <v>0</v>
      </c>
      <c r="AV33" s="683">
        <v>0</v>
      </c>
      <c r="AW33" s="685">
        <f t="shared" si="18"/>
        <v>0</v>
      </c>
      <c r="AX33" s="684">
        <v>0</v>
      </c>
      <c r="AY33" s="685">
        <f t="shared" si="19"/>
        <v>0</v>
      </c>
      <c r="AZ33" s="683">
        <v>0</v>
      </c>
      <c r="BA33" s="685">
        <f t="shared" si="25"/>
        <v>0</v>
      </c>
      <c r="BB33" s="683"/>
      <c r="BC33" s="685">
        <f t="shared" si="20"/>
        <v>0</v>
      </c>
      <c r="BD33" s="683"/>
      <c r="BE33" s="685">
        <f t="shared" si="26"/>
        <v>0</v>
      </c>
      <c r="BF33" s="683">
        <v>30</v>
      </c>
      <c r="BG33" s="685">
        <f t="shared" si="27"/>
        <v>2400000</v>
      </c>
      <c r="BH33" s="683"/>
      <c r="BI33" s="685">
        <f t="shared" si="28"/>
        <v>0</v>
      </c>
      <c r="BJ33" s="688">
        <f t="shared" si="29"/>
        <v>30</v>
      </c>
      <c r="BK33" s="688">
        <f t="shared" si="30"/>
        <v>2400000</v>
      </c>
      <c r="BL33" s="689" t="s">
        <v>288</v>
      </c>
      <c r="BM33" s="690"/>
      <c r="BN33" s="681"/>
      <c r="BO33" s="691"/>
      <c r="BP33" s="697">
        <f>G33</f>
        <v>2400000</v>
      </c>
      <c r="BQ33" s="691"/>
      <c r="BR33" s="691">
        <f t="shared" si="22"/>
        <v>2400000</v>
      </c>
      <c r="BS33" s="691"/>
      <c r="BT33" s="691"/>
      <c r="BU33" s="691"/>
      <c r="BV33" s="692">
        <f t="shared" si="1"/>
        <v>2400000</v>
      </c>
    </row>
    <row r="34" spans="1:74">
      <c r="A34" s="904"/>
      <c r="B34" s="190"/>
      <c r="C34" s="230" t="s">
        <v>3</v>
      </c>
      <c r="D34" s="155"/>
      <c r="E34" s="231"/>
      <c r="F34" s="194">
        <f t="shared" ref="F34:AK34" si="40">SUM(F24:F33)</f>
        <v>18640</v>
      </c>
      <c r="G34" s="194">
        <f t="shared" si="40"/>
        <v>35166700</v>
      </c>
      <c r="H34" s="194">
        <f t="shared" si="40"/>
        <v>1184330</v>
      </c>
      <c r="I34" s="194">
        <f t="shared" si="40"/>
        <v>5549150</v>
      </c>
      <c r="J34" s="194">
        <f t="shared" si="40"/>
        <v>0</v>
      </c>
      <c r="K34" s="194">
        <f t="shared" si="40"/>
        <v>0</v>
      </c>
      <c r="L34" s="194">
        <f t="shared" si="40"/>
        <v>4352000</v>
      </c>
      <c r="M34" s="194">
        <f t="shared" si="40"/>
        <v>23540000</v>
      </c>
      <c r="N34" s="194">
        <f t="shared" si="40"/>
        <v>0</v>
      </c>
      <c r="O34" s="194">
        <f t="shared" si="40"/>
        <v>0</v>
      </c>
      <c r="P34" s="194">
        <f t="shared" si="40"/>
        <v>541220</v>
      </c>
      <c r="Q34" s="194">
        <f t="shared" si="40"/>
        <v>0</v>
      </c>
      <c r="R34" s="194">
        <f t="shared" si="40"/>
        <v>6186.25</v>
      </c>
      <c r="S34" s="194">
        <f t="shared" si="40"/>
        <v>1791.6999999999998</v>
      </c>
      <c r="T34" s="194">
        <f t="shared" si="40"/>
        <v>2644.65</v>
      </c>
      <c r="U34" s="194">
        <f t="shared" si="40"/>
        <v>7052.4</v>
      </c>
      <c r="V34" s="194">
        <f t="shared" si="40"/>
        <v>5790440</v>
      </c>
      <c r="W34" s="194">
        <f t="shared" si="40"/>
        <v>13028490</v>
      </c>
      <c r="X34" s="194">
        <f t="shared" si="40"/>
        <v>7238050</v>
      </c>
      <c r="Y34" s="194">
        <f t="shared" si="40"/>
        <v>2895220</v>
      </c>
      <c r="Z34" s="194">
        <f t="shared" si="40"/>
        <v>1082</v>
      </c>
      <c r="AA34" s="194">
        <f t="shared" si="40"/>
        <v>1452500</v>
      </c>
      <c r="AB34" s="194">
        <f t="shared" si="40"/>
        <v>2290</v>
      </c>
      <c r="AC34" s="194">
        <f t="shared" si="40"/>
        <v>2780000</v>
      </c>
      <c r="AD34" s="194">
        <f t="shared" si="40"/>
        <v>596</v>
      </c>
      <c r="AE34" s="194">
        <f t="shared" si="40"/>
        <v>1712500</v>
      </c>
      <c r="AF34" s="194">
        <f t="shared" si="40"/>
        <v>4093</v>
      </c>
      <c r="AG34" s="194">
        <f t="shared" si="40"/>
        <v>2492500</v>
      </c>
      <c r="AH34" s="194">
        <f t="shared" si="40"/>
        <v>2102</v>
      </c>
      <c r="AI34" s="194">
        <f t="shared" si="40"/>
        <v>3152500</v>
      </c>
      <c r="AJ34" s="194">
        <f t="shared" si="40"/>
        <v>67</v>
      </c>
      <c r="AK34" s="194">
        <f t="shared" si="40"/>
        <v>552500</v>
      </c>
      <c r="AL34" s="194">
        <f t="shared" ref="AL34:BQ34" si="41">SUM(AL24:AL33)</f>
        <v>129</v>
      </c>
      <c r="AM34" s="194">
        <f t="shared" si="41"/>
        <v>2539500</v>
      </c>
      <c r="AN34" s="194">
        <f t="shared" si="41"/>
        <v>49</v>
      </c>
      <c r="AO34" s="194">
        <f t="shared" si="41"/>
        <v>272500</v>
      </c>
      <c r="AP34" s="194">
        <f t="shared" si="41"/>
        <v>57</v>
      </c>
      <c r="AQ34" s="194">
        <f t="shared" si="41"/>
        <v>615000</v>
      </c>
      <c r="AR34" s="194">
        <f t="shared" si="41"/>
        <v>80</v>
      </c>
      <c r="AS34" s="194">
        <f t="shared" si="41"/>
        <v>852700</v>
      </c>
      <c r="AT34" s="194">
        <f t="shared" si="41"/>
        <v>78</v>
      </c>
      <c r="AU34" s="194">
        <f t="shared" si="41"/>
        <v>1057500</v>
      </c>
      <c r="AV34" s="194">
        <f t="shared" si="41"/>
        <v>301</v>
      </c>
      <c r="AW34" s="194">
        <f t="shared" si="41"/>
        <v>1844500</v>
      </c>
      <c r="AX34" s="194">
        <f t="shared" si="41"/>
        <v>275</v>
      </c>
      <c r="AY34" s="194">
        <f t="shared" si="41"/>
        <v>912500</v>
      </c>
      <c r="AZ34" s="194">
        <f t="shared" si="41"/>
        <v>6160</v>
      </c>
      <c r="BA34" s="194">
        <f t="shared" si="41"/>
        <v>7612500</v>
      </c>
      <c r="BB34" s="194">
        <f t="shared" si="41"/>
        <v>1080</v>
      </c>
      <c r="BC34" s="194">
        <f t="shared" si="41"/>
        <v>1412500</v>
      </c>
      <c r="BD34" s="194">
        <f t="shared" si="41"/>
        <v>74</v>
      </c>
      <c r="BE34" s="194">
        <f t="shared" si="41"/>
        <v>1752500</v>
      </c>
      <c r="BF34" s="194">
        <f t="shared" si="41"/>
        <v>127</v>
      </c>
      <c r="BG34" s="194">
        <f t="shared" si="41"/>
        <v>4152500</v>
      </c>
      <c r="BH34" s="194">
        <f t="shared" si="41"/>
        <v>0</v>
      </c>
      <c r="BI34" s="194">
        <f t="shared" si="41"/>
        <v>0</v>
      </c>
      <c r="BJ34" s="194">
        <f t="shared" si="41"/>
        <v>18640</v>
      </c>
      <c r="BK34" s="194">
        <f t="shared" si="41"/>
        <v>35166700</v>
      </c>
      <c r="BL34" s="194">
        <f t="shared" si="41"/>
        <v>0</v>
      </c>
      <c r="BM34" s="194">
        <f t="shared" si="41"/>
        <v>0</v>
      </c>
      <c r="BN34" s="194">
        <f t="shared" si="41"/>
        <v>25312200</v>
      </c>
      <c r="BO34" s="194">
        <f t="shared" si="41"/>
        <v>0</v>
      </c>
      <c r="BP34" s="194">
        <f t="shared" si="41"/>
        <v>3640000</v>
      </c>
      <c r="BQ34" s="194">
        <f t="shared" si="41"/>
        <v>0</v>
      </c>
      <c r="BR34" s="194">
        <f>SUM(BR24:BR33)</f>
        <v>28952200</v>
      </c>
      <c r="BS34" s="194">
        <f>SUM(BS24:BS33)</f>
        <v>0</v>
      </c>
      <c r="BT34" s="194">
        <f>SUM(BT24:BT33)</f>
        <v>0</v>
      </c>
      <c r="BU34" s="194">
        <f>SUM(BU24:BU33)</f>
        <v>0</v>
      </c>
      <c r="BV34" s="194">
        <f>SUM(BV24:BV33)</f>
        <v>28952200</v>
      </c>
    </row>
    <row r="35" spans="1:74">
      <c r="A35" s="904"/>
      <c r="B35" s="191"/>
      <c r="C35" s="228" t="s">
        <v>246</v>
      </c>
      <c r="D35" s="196"/>
      <c r="E35" s="229"/>
      <c r="F35" s="206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12"/>
      <c r="S35" s="212"/>
      <c r="T35" s="212"/>
      <c r="U35" s="212"/>
      <c r="V35" s="211"/>
      <c r="W35" s="211"/>
      <c r="X35" s="211"/>
      <c r="Y35" s="211"/>
      <c r="Z35" s="212"/>
      <c r="AA35" s="202"/>
      <c r="AB35" s="212"/>
      <c r="AC35" s="202"/>
      <c r="AD35" s="212"/>
      <c r="AE35" s="202"/>
      <c r="AF35" s="212"/>
      <c r="AG35" s="202"/>
      <c r="AH35" s="212"/>
      <c r="AI35" s="202"/>
      <c r="AJ35" s="212"/>
      <c r="AK35" s="202"/>
      <c r="AL35" s="212"/>
      <c r="AM35" s="202"/>
      <c r="AN35" s="212"/>
      <c r="AO35" s="202"/>
      <c r="AP35" s="212"/>
      <c r="AQ35" s="202"/>
      <c r="AR35" s="212"/>
      <c r="AS35" s="202"/>
      <c r="AT35" s="212"/>
      <c r="AU35" s="202"/>
      <c r="AV35" s="212"/>
      <c r="AW35" s="202"/>
      <c r="AX35" s="211"/>
      <c r="AY35" s="202"/>
      <c r="AZ35" s="212"/>
      <c r="BA35" s="202"/>
      <c r="BB35" s="212"/>
      <c r="BC35" s="202"/>
      <c r="BD35" s="212"/>
      <c r="BE35" s="202"/>
      <c r="BF35" s="212"/>
      <c r="BG35" s="202"/>
      <c r="BH35" s="212"/>
      <c r="BI35" s="202"/>
      <c r="BJ35" s="180"/>
      <c r="BK35" s="180"/>
      <c r="BL35" s="187"/>
      <c r="BM35" s="219"/>
      <c r="BN35" s="207"/>
      <c r="BO35" s="163"/>
      <c r="BP35" s="163"/>
      <c r="BQ35" s="163"/>
      <c r="BR35" s="163"/>
      <c r="BS35" s="163"/>
      <c r="BT35" s="163"/>
      <c r="BU35" s="163"/>
      <c r="BV35" s="203"/>
    </row>
    <row r="36" spans="1:74" s="693" customFormat="1">
      <c r="A36" s="904"/>
      <c r="B36" s="677"/>
      <c r="C36" s="678" t="s">
        <v>244</v>
      </c>
      <c r="D36" s="678" t="s">
        <v>248</v>
      </c>
      <c r="E36" s="679">
        <v>15000</v>
      </c>
      <c r="F36" s="680">
        <f>BJ36</f>
        <v>170</v>
      </c>
      <c r="G36" s="681">
        <f>BK36</f>
        <v>2550030</v>
      </c>
      <c r="H36" s="681"/>
      <c r="I36" s="681"/>
      <c r="J36" s="681"/>
      <c r="K36" s="681"/>
      <c r="L36" s="681"/>
      <c r="M36" s="682">
        <f>G36</f>
        <v>2550030</v>
      </c>
      <c r="N36" s="681"/>
      <c r="O36" s="681"/>
      <c r="P36" s="681"/>
      <c r="Q36" s="681"/>
      <c r="R36" s="683">
        <f>F36*0.35</f>
        <v>59.499999999999993</v>
      </c>
      <c r="S36" s="683">
        <f>F36*0.1</f>
        <v>17</v>
      </c>
      <c r="T36" s="683">
        <f>F36:F36*0.15</f>
        <v>25.5</v>
      </c>
      <c r="U36" s="683">
        <f>F36*0.4</f>
        <v>68</v>
      </c>
      <c r="V36" s="684">
        <f>G36*0.2</f>
        <v>510006</v>
      </c>
      <c r="W36" s="684">
        <f>G36*0.45</f>
        <v>1147513.5</v>
      </c>
      <c r="X36" s="684">
        <f>G36*0.25</f>
        <v>637507.5</v>
      </c>
      <c r="Y36" s="684">
        <f>G36*0.1</f>
        <v>255003</v>
      </c>
      <c r="Z36" s="683">
        <v>0</v>
      </c>
      <c r="AA36" s="685">
        <f>Z36*E36</f>
        <v>0</v>
      </c>
      <c r="AB36" s="683">
        <v>90</v>
      </c>
      <c r="AC36" s="685">
        <f>AB36*E36</f>
        <v>1350000</v>
      </c>
      <c r="AD36" s="683">
        <v>10</v>
      </c>
      <c r="AE36" s="685">
        <f>AD36*E36</f>
        <v>150000</v>
      </c>
      <c r="AF36" s="683">
        <v>2</v>
      </c>
      <c r="AG36" s="685">
        <f>AF36*E36</f>
        <v>30000</v>
      </c>
      <c r="AH36" s="683">
        <v>20</v>
      </c>
      <c r="AI36" s="685">
        <f>AH36*E36</f>
        <v>300000</v>
      </c>
      <c r="AJ36" s="683">
        <v>0</v>
      </c>
      <c r="AK36" s="685">
        <f>AJ36*E36</f>
        <v>0</v>
      </c>
      <c r="AL36" s="683">
        <v>6</v>
      </c>
      <c r="AM36" s="685">
        <f>AL36*E36</f>
        <v>90000</v>
      </c>
      <c r="AN36" s="683">
        <v>0</v>
      </c>
      <c r="AO36" s="685">
        <f>AN36*E36</f>
        <v>0</v>
      </c>
      <c r="AP36" s="683">
        <v>0</v>
      </c>
      <c r="AQ36" s="685">
        <f>AP36*E36</f>
        <v>0</v>
      </c>
      <c r="AR36" s="683">
        <v>0</v>
      </c>
      <c r="AS36" s="685">
        <f>AR36*140000</f>
        <v>0</v>
      </c>
      <c r="AT36" s="683">
        <v>0</v>
      </c>
      <c r="AU36" s="685">
        <v>30</v>
      </c>
      <c r="AV36" s="683">
        <v>0</v>
      </c>
      <c r="AW36" s="685">
        <f>AV36*E36</f>
        <v>0</v>
      </c>
      <c r="AX36" s="684">
        <v>12</v>
      </c>
      <c r="AY36" s="685">
        <f>AX36*E36</f>
        <v>180000</v>
      </c>
      <c r="AZ36" s="683">
        <v>0</v>
      </c>
      <c r="BA36" s="685">
        <f>AZ36*E36</f>
        <v>0</v>
      </c>
      <c r="BB36" s="683">
        <v>10</v>
      </c>
      <c r="BC36" s="685">
        <f>BB36*E36</f>
        <v>150000</v>
      </c>
      <c r="BD36" s="683">
        <v>0</v>
      </c>
      <c r="BE36" s="685">
        <f>BD36*E36</f>
        <v>0</v>
      </c>
      <c r="BF36" s="683">
        <v>20</v>
      </c>
      <c r="BG36" s="685">
        <f>BF36*E36</f>
        <v>300000</v>
      </c>
      <c r="BH36" s="683"/>
      <c r="BI36" s="685">
        <f>BH36*E36</f>
        <v>0</v>
      </c>
      <c r="BJ36" s="688">
        <f>BH36+BF36+BD36+BB36+AZ36+AX36+AV36+AT36+AR36+AP36+AN36+AL36+AJ36+AH36+AF36+AD36+AB36+Z36</f>
        <v>170</v>
      </c>
      <c r="BK36" s="688">
        <f>BI36+BG36+BE36+BC36+BA36+AY36+AW36+AU36+AS36+AQ36+AO36+AM36+AK36+AI36+AG36+AE36+AC36+AA36</f>
        <v>2550030</v>
      </c>
      <c r="BL36" s="689" t="s">
        <v>288</v>
      </c>
      <c r="BM36" s="690"/>
      <c r="BN36" s="681">
        <f>G36</f>
        <v>2550030</v>
      </c>
      <c r="BO36" s="691"/>
      <c r="BP36" s="691"/>
      <c r="BQ36" s="691"/>
      <c r="BR36" s="691">
        <f>BN36+BO36+BP36+BQ36</f>
        <v>2550030</v>
      </c>
      <c r="BS36" s="691"/>
      <c r="BT36" s="691"/>
      <c r="BU36" s="691"/>
      <c r="BV36" s="692">
        <f>BR36+BU36</f>
        <v>2550030</v>
      </c>
    </row>
    <row r="37" spans="1:74" s="693" customFormat="1">
      <c r="A37" s="904"/>
      <c r="B37" s="677"/>
      <c r="C37" s="678" t="s">
        <v>272</v>
      </c>
      <c r="D37" s="678" t="s">
        <v>248</v>
      </c>
      <c r="E37" s="679">
        <v>15000</v>
      </c>
      <c r="F37" s="680">
        <f>BJ37</f>
        <v>294</v>
      </c>
      <c r="G37" s="681">
        <f>BK37</f>
        <v>4610000</v>
      </c>
      <c r="H37" s="681"/>
      <c r="I37" s="681"/>
      <c r="J37" s="681"/>
      <c r="K37" s="681"/>
      <c r="L37" s="681"/>
      <c r="M37" s="682">
        <f>G37</f>
        <v>4610000</v>
      </c>
      <c r="N37" s="681"/>
      <c r="O37" s="681"/>
      <c r="P37" s="681"/>
      <c r="Q37" s="681"/>
      <c r="R37" s="683">
        <f>F37*0.35</f>
        <v>102.89999999999999</v>
      </c>
      <c r="S37" s="683">
        <f>F37*0.1</f>
        <v>29.400000000000002</v>
      </c>
      <c r="T37" s="683">
        <f>F37:F37*0.15</f>
        <v>44.1</v>
      </c>
      <c r="U37" s="683">
        <f>F37*0.4</f>
        <v>117.60000000000001</v>
      </c>
      <c r="V37" s="684">
        <f>G37*0.2</f>
        <v>922000</v>
      </c>
      <c r="W37" s="684">
        <f>G37*0.45</f>
        <v>2074500</v>
      </c>
      <c r="X37" s="684">
        <f>G37*0.25</f>
        <v>1152500</v>
      </c>
      <c r="Y37" s="684">
        <f>G37*0.1</f>
        <v>461000</v>
      </c>
      <c r="Z37" s="683">
        <v>0</v>
      </c>
      <c r="AA37" s="685">
        <f>Z37*E37</f>
        <v>0</v>
      </c>
      <c r="AB37" s="683"/>
      <c r="AC37" s="685">
        <f>AB37*E37</f>
        <v>0</v>
      </c>
      <c r="AD37" s="683">
        <v>0</v>
      </c>
      <c r="AE37" s="685">
        <f>AD37*E37</f>
        <v>0</v>
      </c>
      <c r="AF37" s="683">
        <v>0</v>
      </c>
      <c r="AG37" s="685">
        <f>AF37*E37</f>
        <v>0</v>
      </c>
      <c r="AH37" s="683">
        <v>0</v>
      </c>
      <c r="AI37" s="685">
        <f>AH37*E37</f>
        <v>0</v>
      </c>
      <c r="AJ37" s="683">
        <v>0</v>
      </c>
      <c r="AK37" s="685">
        <f>AJ37*E37</f>
        <v>0</v>
      </c>
      <c r="AL37" s="686">
        <v>0</v>
      </c>
      <c r="AM37" s="687">
        <f>AL37*E37</f>
        <v>0</v>
      </c>
      <c r="AN37" s="683">
        <v>0</v>
      </c>
      <c r="AO37" s="685">
        <f>AN37*E37</f>
        <v>0</v>
      </c>
      <c r="AP37" s="683">
        <v>0</v>
      </c>
      <c r="AQ37" s="685">
        <f>AP37*E37</f>
        <v>0</v>
      </c>
      <c r="AR37" s="683">
        <v>280</v>
      </c>
      <c r="AS37" s="685">
        <f>AR37*E37</f>
        <v>4200000</v>
      </c>
      <c r="AT37" s="683">
        <v>0</v>
      </c>
      <c r="AU37" s="685">
        <f>AT37*E37</f>
        <v>0</v>
      </c>
      <c r="AV37" s="683">
        <v>0</v>
      </c>
      <c r="AW37" s="685">
        <f>AV37*E37</f>
        <v>0</v>
      </c>
      <c r="AX37" s="684">
        <v>0</v>
      </c>
      <c r="AY37" s="685">
        <f>AX37*E37</f>
        <v>0</v>
      </c>
      <c r="AZ37" s="683">
        <v>14</v>
      </c>
      <c r="BA37" s="685">
        <f>AZ37*E37</f>
        <v>210000</v>
      </c>
      <c r="BB37" s="683">
        <v>0</v>
      </c>
      <c r="BC37" s="685">
        <f>BB37*E37</f>
        <v>0</v>
      </c>
      <c r="BD37" s="683">
        <v>0</v>
      </c>
      <c r="BE37" s="685">
        <f>BD37*E37+200000</f>
        <v>200000</v>
      </c>
      <c r="BF37" s="683">
        <v>0</v>
      </c>
      <c r="BG37" s="685">
        <f>BF37*E37</f>
        <v>0</v>
      </c>
      <c r="BH37" s="683"/>
      <c r="BI37" s="685">
        <f>BH37*E37</f>
        <v>0</v>
      </c>
      <c r="BJ37" s="688">
        <f>BH37+BF37+BD37+BB37+AZ37+AX37+AV37+AT37+AR37+AP37+AN37+AL37+AJ37+AH37+AF37+AD37+AB37+Z37</f>
        <v>294</v>
      </c>
      <c r="BK37" s="688">
        <f>BI37+BG37+BE37+BC37+BA37+AY37+AW37+AU37+AS37+AQ37+AO37+AM37+AK37+AI37+AG37+AE37+AC37+AA37</f>
        <v>4610000</v>
      </c>
      <c r="BL37" s="689" t="s">
        <v>288</v>
      </c>
      <c r="BM37" s="690"/>
      <c r="BN37" s="681">
        <f>G37</f>
        <v>4610000</v>
      </c>
      <c r="BO37" s="691"/>
      <c r="BP37" s="691"/>
      <c r="BQ37" s="691"/>
      <c r="BR37" s="691">
        <f>BN37+BO37+BP37+BQ37</f>
        <v>4610000</v>
      </c>
      <c r="BS37" s="691"/>
      <c r="BT37" s="691"/>
      <c r="BU37" s="691"/>
      <c r="BV37" s="692">
        <f>BR37+BU37</f>
        <v>4610000</v>
      </c>
    </row>
    <row r="38" spans="1:74" s="788" customFormat="1" ht="17.25" customHeight="1">
      <c r="A38" s="904"/>
      <c r="B38" s="807"/>
      <c r="C38" s="728" t="s">
        <v>629</v>
      </c>
      <c r="D38" s="728" t="s">
        <v>248</v>
      </c>
      <c r="E38" s="715">
        <v>140000</v>
      </c>
      <c r="F38" s="756"/>
      <c r="G38" s="808"/>
      <c r="H38" s="808"/>
      <c r="I38" s="808"/>
      <c r="J38" s="808"/>
      <c r="K38" s="808"/>
      <c r="L38" s="808"/>
      <c r="M38" s="809"/>
      <c r="N38" s="808"/>
      <c r="O38" s="808"/>
      <c r="P38" s="808"/>
      <c r="Q38" s="808"/>
      <c r="R38" s="810"/>
      <c r="S38" s="810"/>
      <c r="T38" s="810"/>
      <c r="U38" s="810"/>
      <c r="V38" s="811"/>
      <c r="W38" s="811"/>
      <c r="X38" s="811"/>
      <c r="Y38" s="811"/>
      <c r="Z38" s="810"/>
      <c r="AA38" s="668"/>
      <c r="AB38" s="810"/>
      <c r="AC38" s="668"/>
      <c r="AD38" s="810"/>
      <c r="AE38" s="668"/>
      <c r="AF38" s="810">
        <v>0</v>
      </c>
      <c r="AG38" s="668"/>
      <c r="AH38" s="810"/>
      <c r="AI38" s="668"/>
      <c r="AJ38" s="810">
        <v>0</v>
      </c>
      <c r="AK38" s="668"/>
      <c r="AL38" s="810"/>
      <c r="AM38" s="668"/>
      <c r="AN38" s="810"/>
      <c r="AO38" s="668"/>
      <c r="AP38" s="810">
        <v>0</v>
      </c>
      <c r="AQ38" s="668"/>
      <c r="AR38" s="810"/>
      <c r="AS38" s="668"/>
      <c r="AT38" s="810"/>
      <c r="AU38" s="668"/>
      <c r="AV38" s="810"/>
      <c r="AW38" s="668"/>
      <c r="AX38" s="811"/>
      <c r="AY38" s="668"/>
      <c r="AZ38" s="810"/>
      <c r="BA38" s="668"/>
      <c r="BB38" s="810"/>
      <c r="BC38" s="668"/>
      <c r="BD38" s="810">
        <v>0</v>
      </c>
      <c r="BE38" s="668">
        <f>BD38*E38+200000</f>
        <v>200000</v>
      </c>
      <c r="BF38" s="810">
        <v>0</v>
      </c>
      <c r="BG38" s="668"/>
      <c r="BH38" s="810"/>
      <c r="BI38" s="668"/>
      <c r="BJ38" s="770"/>
      <c r="BK38" s="770"/>
      <c r="BL38" s="812"/>
      <c r="BM38" s="813"/>
      <c r="BN38" s="808"/>
      <c r="BO38" s="789"/>
      <c r="BP38" s="789"/>
      <c r="BQ38" s="789"/>
      <c r="BR38" s="789"/>
      <c r="BS38" s="789"/>
      <c r="BT38" s="789"/>
      <c r="BU38" s="789"/>
      <c r="BV38" s="814"/>
    </row>
    <row r="39" spans="1:74">
      <c r="A39" s="904"/>
      <c r="B39" s="190"/>
      <c r="C39" s="230" t="s">
        <v>3</v>
      </c>
      <c r="D39" s="228"/>
      <c r="E39" s="231"/>
      <c r="F39" s="194">
        <f>SUM(F36:F37)</f>
        <v>464</v>
      </c>
      <c r="G39" s="194">
        <f t="shared" ref="G39:BR39" si="42">SUM(G36:G37)</f>
        <v>7160030</v>
      </c>
      <c r="H39" s="194">
        <f t="shared" si="42"/>
        <v>0</v>
      </c>
      <c r="I39" s="194">
        <f t="shared" si="42"/>
        <v>0</v>
      </c>
      <c r="J39" s="194">
        <f t="shared" si="42"/>
        <v>0</v>
      </c>
      <c r="K39" s="194">
        <f t="shared" si="42"/>
        <v>0</v>
      </c>
      <c r="L39" s="194">
        <f t="shared" si="42"/>
        <v>0</v>
      </c>
      <c r="M39" s="194">
        <f t="shared" si="42"/>
        <v>7160030</v>
      </c>
      <c r="N39" s="194">
        <f t="shared" si="42"/>
        <v>0</v>
      </c>
      <c r="O39" s="194">
        <f t="shared" si="42"/>
        <v>0</v>
      </c>
      <c r="P39" s="194">
        <f t="shared" si="42"/>
        <v>0</v>
      </c>
      <c r="Q39" s="194">
        <f t="shared" si="42"/>
        <v>0</v>
      </c>
      <c r="R39" s="194">
        <f t="shared" si="42"/>
        <v>162.39999999999998</v>
      </c>
      <c r="S39" s="194">
        <f t="shared" si="42"/>
        <v>46.400000000000006</v>
      </c>
      <c r="T39" s="194">
        <f t="shared" si="42"/>
        <v>69.599999999999994</v>
      </c>
      <c r="U39" s="194">
        <f t="shared" si="42"/>
        <v>185.60000000000002</v>
      </c>
      <c r="V39" s="194">
        <f t="shared" si="42"/>
        <v>1432006</v>
      </c>
      <c r="W39" s="194">
        <f t="shared" si="42"/>
        <v>3222013.5</v>
      </c>
      <c r="X39" s="194">
        <f t="shared" si="42"/>
        <v>1790007.5</v>
      </c>
      <c r="Y39" s="194">
        <f t="shared" si="42"/>
        <v>716003</v>
      </c>
      <c r="Z39" s="194">
        <f t="shared" si="42"/>
        <v>0</v>
      </c>
      <c r="AA39" s="194">
        <f t="shared" si="42"/>
        <v>0</v>
      </c>
      <c r="AB39" s="194">
        <f t="shared" si="42"/>
        <v>90</v>
      </c>
      <c r="AC39" s="194">
        <f t="shared" si="42"/>
        <v>1350000</v>
      </c>
      <c r="AD39" s="194">
        <f t="shared" si="42"/>
        <v>10</v>
      </c>
      <c r="AE39" s="194">
        <f t="shared" si="42"/>
        <v>150000</v>
      </c>
      <c r="AF39" s="194">
        <f>SUM(AF36:AF38)</f>
        <v>2</v>
      </c>
      <c r="AG39" s="194">
        <f t="shared" si="42"/>
        <v>30000</v>
      </c>
      <c r="AH39" s="194">
        <f t="shared" si="42"/>
        <v>20</v>
      </c>
      <c r="AI39" s="194">
        <f t="shared" si="42"/>
        <v>300000</v>
      </c>
      <c r="AJ39" s="194">
        <f t="shared" si="42"/>
        <v>0</v>
      </c>
      <c r="AK39" s="194">
        <f t="shared" si="42"/>
        <v>0</v>
      </c>
      <c r="AL39" s="194">
        <f t="shared" si="42"/>
        <v>6</v>
      </c>
      <c r="AM39" s="194">
        <f t="shared" si="42"/>
        <v>90000</v>
      </c>
      <c r="AN39" s="194">
        <f t="shared" si="42"/>
        <v>0</v>
      </c>
      <c r="AO39" s="194">
        <f t="shared" si="42"/>
        <v>0</v>
      </c>
      <c r="AP39" s="194">
        <f>SUM(AP36:AP38)</f>
        <v>0</v>
      </c>
      <c r="AQ39" s="194">
        <f t="shared" si="42"/>
        <v>0</v>
      </c>
      <c r="AR39" s="194">
        <f t="shared" si="42"/>
        <v>280</v>
      </c>
      <c r="AS39" s="194">
        <f t="shared" si="42"/>
        <v>4200000</v>
      </c>
      <c r="AT39" s="194">
        <f t="shared" si="42"/>
        <v>0</v>
      </c>
      <c r="AU39" s="194">
        <f t="shared" si="42"/>
        <v>30</v>
      </c>
      <c r="AV39" s="194">
        <f t="shared" si="42"/>
        <v>0</v>
      </c>
      <c r="AW39" s="194">
        <f t="shared" si="42"/>
        <v>0</v>
      </c>
      <c r="AX39" s="194">
        <f t="shared" si="42"/>
        <v>12</v>
      </c>
      <c r="AY39" s="194">
        <f t="shared" si="42"/>
        <v>180000</v>
      </c>
      <c r="AZ39" s="194">
        <f t="shared" si="42"/>
        <v>14</v>
      </c>
      <c r="BA39" s="194">
        <f t="shared" si="42"/>
        <v>210000</v>
      </c>
      <c r="BB39" s="194">
        <f t="shared" si="42"/>
        <v>10</v>
      </c>
      <c r="BC39" s="194">
        <f t="shared" si="42"/>
        <v>150000</v>
      </c>
      <c r="BD39" s="194">
        <f>SUM(BD36:BD38)</f>
        <v>0</v>
      </c>
      <c r="BE39" s="194">
        <f t="shared" si="42"/>
        <v>200000</v>
      </c>
      <c r="BF39" s="194">
        <f>SUM(BF36:BF38)</f>
        <v>20</v>
      </c>
      <c r="BG39" s="194">
        <f t="shared" si="42"/>
        <v>300000</v>
      </c>
      <c r="BH39" s="194">
        <f t="shared" si="42"/>
        <v>0</v>
      </c>
      <c r="BI39" s="194">
        <f t="shared" si="42"/>
        <v>0</v>
      </c>
      <c r="BJ39" s="194">
        <f t="shared" si="42"/>
        <v>464</v>
      </c>
      <c r="BK39" s="194">
        <f t="shared" si="42"/>
        <v>7160030</v>
      </c>
      <c r="BL39" s="194">
        <f t="shared" si="42"/>
        <v>0</v>
      </c>
      <c r="BM39" s="194">
        <f t="shared" si="42"/>
        <v>0</v>
      </c>
      <c r="BN39" s="194">
        <f t="shared" si="42"/>
        <v>7160030</v>
      </c>
      <c r="BO39" s="194">
        <f t="shared" si="42"/>
        <v>0</v>
      </c>
      <c r="BP39" s="194">
        <f t="shared" si="42"/>
        <v>0</v>
      </c>
      <c r="BQ39" s="194">
        <f t="shared" si="42"/>
        <v>0</v>
      </c>
      <c r="BR39" s="194">
        <f t="shared" si="42"/>
        <v>7160030</v>
      </c>
      <c r="BS39" s="194">
        <f>SUM(BS36:BS37)</f>
        <v>0</v>
      </c>
      <c r="BT39" s="194">
        <f>SUM(BT36:BT37)</f>
        <v>0</v>
      </c>
      <c r="BU39" s="194">
        <f>SUM(BU36:BU37)</f>
        <v>0</v>
      </c>
      <c r="BV39" s="194">
        <f>SUM(BV36:BV37)</f>
        <v>7160030</v>
      </c>
    </row>
    <row r="40" spans="1:74">
      <c r="A40" s="904"/>
      <c r="B40" s="190"/>
      <c r="C40" s="230" t="s">
        <v>285</v>
      </c>
      <c r="D40" s="228"/>
      <c r="E40" s="231"/>
      <c r="F40" s="206">
        <f t="shared" ref="F40:G45" si="43">BJ40</f>
        <v>0</v>
      </c>
      <c r="G40" s="207">
        <f>F40*E40</f>
        <v>0</v>
      </c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12">
        <f t="shared" ref="R40:R45" si="44">F40*0.35</f>
        <v>0</v>
      </c>
      <c r="S40" s="212">
        <f t="shared" ref="S40:S45" si="45">F40*0.1</f>
        <v>0</v>
      </c>
      <c r="T40" s="212">
        <f t="shared" ref="T40:T45" si="46">F40:F40*0.15</f>
        <v>0</v>
      </c>
      <c r="U40" s="212">
        <f t="shared" ref="U40:U45" si="47">F40*0.4</f>
        <v>0</v>
      </c>
      <c r="V40" s="211">
        <f t="shared" ref="V40:V45" si="48">R40*E40</f>
        <v>0</v>
      </c>
      <c r="W40" s="211">
        <f t="shared" ref="W40:W45" si="49">S40*E40</f>
        <v>0</v>
      </c>
      <c r="X40" s="211">
        <f t="shared" ref="X40:X45" si="50">T40*E40</f>
        <v>0</v>
      </c>
      <c r="Y40" s="211">
        <f t="shared" ref="Y40:Y45" si="51">U40*E40</f>
        <v>0</v>
      </c>
      <c r="Z40" s="194"/>
      <c r="AA40" s="202">
        <f t="shared" ref="AA40:AA45" si="52">Z40*E40</f>
        <v>0</v>
      </c>
      <c r="AB40" s="194"/>
      <c r="AC40" s="202">
        <f t="shared" ref="AC40:AC51" si="53">AB40*E40</f>
        <v>0</v>
      </c>
      <c r="AD40" s="194"/>
      <c r="AE40" s="202">
        <f t="shared" ref="AE40:AE50" si="54">AD40*E40</f>
        <v>0</v>
      </c>
      <c r="AF40" s="194"/>
      <c r="AG40" s="202">
        <f t="shared" ref="AG40:AG48" si="55">AF40*E40</f>
        <v>0</v>
      </c>
      <c r="AH40" s="194"/>
      <c r="AI40" s="202">
        <f t="shared" ref="AI40:AI51" si="56">AH40*E40</f>
        <v>0</v>
      </c>
      <c r="AJ40" s="194"/>
      <c r="AK40" s="202">
        <f t="shared" ref="AK40:AK51" si="57">AJ40*E40</f>
        <v>0</v>
      </c>
      <c r="AL40" s="194"/>
      <c r="AM40" s="202">
        <f t="shared" ref="AM40:AM45" si="58">AL40*E40</f>
        <v>0</v>
      </c>
      <c r="AN40" s="194"/>
      <c r="AO40" s="202">
        <f t="shared" ref="AO40:AO51" si="59">AN40*E40</f>
        <v>0</v>
      </c>
      <c r="AP40" s="194"/>
      <c r="AQ40" s="202">
        <f t="shared" ref="AQ40:AQ47" si="60">AP40*E40</f>
        <v>0</v>
      </c>
      <c r="AR40" s="194"/>
      <c r="AS40" s="202">
        <f t="shared" ref="AS40:AS51" si="61">AR40*E40</f>
        <v>0</v>
      </c>
      <c r="AT40" s="194"/>
      <c r="AU40" s="202">
        <f t="shared" ref="AU40:AU47" si="62">AT40*E40</f>
        <v>0</v>
      </c>
      <c r="AV40" s="194"/>
      <c r="AW40" s="202">
        <f t="shared" ref="AW40:AW51" si="63">AV40*E40</f>
        <v>0</v>
      </c>
      <c r="AX40" s="195"/>
      <c r="AY40" s="202">
        <f t="shared" ref="AY40:AY50" si="64">AX40*E40</f>
        <v>0</v>
      </c>
      <c r="AZ40" s="194"/>
      <c r="BA40" s="202">
        <f t="shared" ref="BA40:BA45" si="65">AZ40*E40</f>
        <v>0</v>
      </c>
      <c r="BB40" s="194"/>
      <c r="BC40" s="202">
        <f t="shared" ref="BC40:BC51" si="66">BB40*E40</f>
        <v>0</v>
      </c>
      <c r="BD40" s="194"/>
      <c r="BE40" s="202">
        <f t="shared" ref="BE40:BE51" si="67">BD40*E40</f>
        <v>0</v>
      </c>
      <c r="BF40" s="194"/>
      <c r="BG40" s="202">
        <f t="shared" ref="BG40:BG46" si="68">BF40*E40</f>
        <v>0</v>
      </c>
      <c r="BH40" s="194"/>
      <c r="BI40" s="202">
        <f t="shared" ref="BI40:BI51" si="69">BH40*E40</f>
        <v>0</v>
      </c>
      <c r="BJ40" s="180">
        <f t="shared" ref="BJ40:BJ45" si="70">BH40+BF40+BD40+BB40+AZ40+AX40+AV40+AT40+AR40+AP40+AN40+AL40+AJ40+AH40+AF40+AD40+AB40+Z40</f>
        <v>0</v>
      </c>
      <c r="BK40" s="202">
        <f>BJ40*E40</f>
        <v>0</v>
      </c>
      <c r="BL40" s="187" t="s">
        <v>288</v>
      </c>
      <c r="BM40" s="219"/>
      <c r="BN40" s="207"/>
      <c r="BO40" s="163"/>
      <c r="BP40" s="163"/>
      <c r="BQ40" s="163"/>
      <c r="BR40" s="163"/>
      <c r="BS40" s="163"/>
      <c r="BT40" s="163"/>
      <c r="BU40" s="163"/>
      <c r="BV40" s="203"/>
    </row>
    <row r="41" spans="1:74" s="693" customFormat="1">
      <c r="A41" s="904"/>
      <c r="B41" s="677"/>
      <c r="C41" s="678" t="s">
        <v>275</v>
      </c>
      <c r="D41" s="678" t="s">
        <v>248</v>
      </c>
      <c r="E41" s="679">
        <v>113000</v>
      </c>
      <c r="F41" s="680">
        <f t="shared" si="43"/>
        <v>30</v>
      </c>
      <c r="G41" s="680">
        <f t="shared" si="43"/>
        <v>2390000</v>
      </c>
      <c r="H41" s="681"/>
      <c r="I41" s="681"/>
      <c r="J41" s="681"/>
      <c r="K41" s="681"/>
      <c r="L41" s="681"/>
      <c r="M41" s="682">
        <f>G41</f>
        <v>2390000</v>
      </c>
      <c r="N41" s="681"/>
      <c r="O41" s="681"/>
      <c r="P41" s="681"/>
      <c r="Q41" s="681"/>
      <c r="R41" s="683">
        <f t="shared" si="44"/>
        <v>10.5</v>
      </c>
      <c r="S41" s="683">
        <f t="shared" si="45"/>
        <v>3</v>
      </c>
      <c r="T41" s="683">
        <f t="shared" si="46"/>
        <v>4.5</v>
      </c>
      <c r="U41" s="683">
        <f t="shared" si="47"/>
        <v>12</v>
      </c>
      <c r="V41" s="684">
        <f t="shared" si="48"/>
        <v>1186500</v>
      </c>
      <c r="W41" s="684">
        <f t="shared" si="49"/>
        <v>339000</v>
      </c>
      <c r="X41" s="684">
        <f t="shared" si="50"/>
        <v>508500</v>
      </c>
      <c r="Y41" s="684">
        <f t="shared" si="51"/>
        <v>1356000</v>
      </c>
      <c r="Z41" s="683">
        <v>12</v>
      </c>
      <c r="AA41" s="685">
        <f>Z41*E41-500000</f>
        <v>856000</v>
      </c>
      <c r="AB41" s="683">
        <v>0</v>
      </c>
      <c r="AC41" s="685">
        <f t="shared" si="53"/>
        <v>0</v>
      </c>
      <c r="AD41" s="683">
        <v>1</v>
      </c>
      <c r="AE41" s="685">
        <f t="shared" si="54"/>
        <v>113000</v>
      </c>
      <c r="AF41" s="683">
        <v>0</v>
      </c>
      <c r="AG41" s="685">
        <f t="shared" si="55"/>
        <v>0</v>
      </c>
      <c r="AH41" s="683">
        <v>14</v>
      </c>
      <c r="AI41" s="685">
        <f>AH41*E41-500000</f>
        <v>1082000</v>
      </c>
      <c r="AJ41" s="683">
        <v>0</v>
      </c>
      <c r="AK41" s="685">
        <f t="shared" si="57"/>
        <v>0</v>
      </c>
      <c r="AL41" s="686">
        <v>0</v>
      </c>
      <c r="AM41" s="687">
        <f t="shared" si="58"/>
        <v>0</v>
      </c>
      <c r="AN41" s="683">
        <v>0</v>
      </c>
      <c r="AO41" s="685">
        <f t="shared" si="59"/>
        <v>0</v>
      </c>
      <c r="AP41" s="683"/>
      <c r="AQ41" s="685">
        <f t="shared" si="60"/>
        <v>0</v>
      </c>
      <c r="AR41" s="686">
        <v>0</v>
      </c>
      <c r="AS41" s="685">
        <f t="shared" si="61"/>
        <v>0</v>
      </c>
      <c r="AT41" s="683">
        <v>0</v>
      </c>
      <c r="AU41" s="685">
        <f t="shared" si="62"/>
        <v>0</v>
      </c>
      <c r="AV41" s="683">
        <v>3</v>
      </c>
      <c r="AW41" s="685">
        <f t="shared" si="63"/>
        <v>339000</v>
      </c>
      <c r="AX41" s="684">
        <v>0</v>
      </c>
      <c r="AY41" s="685">
        <f t="shared" si="64"/>
        <v>0</v>
      </c>
      <c r="AZ41" s="683">
        <v>0</v>
      </c>
      <c r="BA41" s="685">
        <f t="shared" si="65"/>
        <v>0</v>
      </c>
      <c r="BB41" s="683">
        <v>0</v>
      </c>
      <c r="BC41" s="685">
        <f t="shared" si="66"/>
        <v>0</v>
      </c>
      <c r="BD41" s="683">
        <v>0</v>
      </c>
      <c r="BE41" s="685">
        <f t="shared" si="67"/>
        <v>0</v>
      </c>
      <c r="BF41" s="683">
        <v>0</v>
      </c>
      <c r="BG41" s="685">
        <f t="shared" si="68"/>
        <v>0</v>
      </c>
      <c r="BH41" s="683"/>
      <c r="BI41" s="685">
        <f t="shared" si="69"/>
        <v>0</v>
      </c>
      <c r="BJ41" s="688">
        <f t="shared" si="70"/>
        <v>30</v>
      </c>
      <c r="BK41" s="688">
        <f t="shared" ref="BK41:BK51" si="71">BI41+BG41+BE41+BC41+BA41+AY41+AW41+AU41+AS41+AQ41+AO41+AM41+AK41+AI41+AG41+AE41+AC41+AA41</f>
        <v>2390000</v>
      </c>
      <c r="BL41" s="689" t="s">
        <v>288</v>
      </c>
      <c r="BM41" s="690"/>
      <c r="BN41" s="681">
        <f>G41</f>
        <v>2390000</v>
      </c>
      <c r="BO41" s="691"/>
      <c r="BP41" s="691"/>
      <c r="BQ41" s="691"/>
      <c r="BR41" s="691">
        <f>BN41+BO41+BP41+BQ41</f>
        <v>2390000</v>
      </c>
      <c r="BS41" s="691"/>
      <c r="BT41" s="691"/>
      <c r="BU41" s="691"/>
      <c r="BV41" s="692">
        <f>BR41+BU41</f>
        <v>2390000</v>
      </c>
    </row>
    <row r="42" spans="1:74" s="693" customFormat="1">
      <c r="A42" s="904"/>
      <c r="B42" s="677"/>
      <c r="C42" s="678" t="s">
        <v>279</v>
      </c>
      <c r="D42" s="678" t="s">
        <v>248</v>
      </c>
      <c r="E42" s="679">
        <v>44000</v>
      </c>
      <c r="F42" s="680">
        <f t="shared" si="43"/>
        <v>19</v>
      </c>
      <c r="G42" s="681">
        <f>F42*E42</f>
        <v>836000</v>
      </c>
      <c r="H42" s="681"/>
      <c r="I42" s="681"/>
      <c r="J42" s="681"/>
      <c r="K42" s="681"/>
      <c r="L42" s="681"/>
      <c r="M42" s="682">
        <f>G42</f>
        <v>836000</v>
      </c>
      <c r="N42" s="681"/>
      <c r="O42" s="681"/>
      <c r="P42" s="681"/>
      <c r="Q42" s="681"/>
      <c r="R42" s="683">
        <f t="shared" si="44"/>
        <v>6.6499999999999995</v>
      </c>
      <c r="S42" s="683">
        <f t="shared" si="45"/>
        <v>1.9000000000000001</v>
      </c>
      <c r="T42" s="683">
        <f t="shared" si="46"/>
        <v>2.85</v>
      </c>
      <c r="U42" s="683">
        <f t="shared" si="47"/>
        <v>7.6000000000000005</v>
      </c>
      <c r="V42" s="684">
        <f t="shared" si="48"/>
        <v>292600</v>
      </c>
      <c r="W42" s="684">
        <f t="shared" si="49"/>
        <v>83600</v>
      </c>
      <c r="X42" s="684">
        <f t="shared" si="50"/>
        <v>125400</v>
      </c>
      <c r="Y42" s="684">
        <f t="shared" si="51"/>
        <v>334400</v>
      </c>
      <c r="Z42" s="683">
        <v>0</v>
      </c>
      <c r="AA42" s="685">
        <f t="shared" si="52"/>
        <v>0</v>
      </c>
      <c r="AB42" s="683">
        <v>0</v>
      </c>
      <c r="AC42" s="685">
        <f t="shared" si="53"/>
        <v>0</v>
      </c>
      <c r="AD42" s="683">
        <v>0</v>
      </c>
      <c r="AE42" s="685">
        <f t="shared" si="54"/>
        <v>0</v>
      </c>
      <c r="AF42" s="683">
        <v>0</v>
      </c>
      <c r="AG42" s="685">
        <f t="shared" si="55"/>
        <v>0</v>
      </c>
      <c r="AH42" s="683">
        <v>0</v>
      </c>
      <c r="AI42" s="685">
        <f t="shared" si="56"/>
        <v>0</v>
      </c>
      <c r="AJ42" s="683">
        <v>0</v>
      </c>
      <c r="AK42" s="685">
        <f t="shared" si="57"/>
        <v>0</v>
      </c>
      <c r="AL42" s="686">
        <v>0</v>
      </c>
      <c r="AM42" s="687">
        <f t="shared" si="58"/>
        <v>0</v>
      </c>
      <c r="AN42" s="683">
        <v>4</v>
      </c>
      <c r="AO42" s="685">
        <f t="shared" si="59"/>
        <v>176000</v>
      </c>
      <c r="AP42" s="683"/>
      <c r="AQ42" s="685">
        <f t="shared" si="60"/>
        <v>0</v>
      </c>
      <c r="AR42" s="686">
        <v>0</v>
      </c>
      <c r="AS42" s="685">
        <f t="shared" si="61"/>
        <v>0</v>
      </c>
      <c r="AT42" s="683">
        <v>0</v>
      </c>
      <c r="AU42" s="685">
        <f t="shared" si="62"/>
        <v>0</v>
      </c>
      <c r="AV42" s="683">
        <v>0</v>
      </c>
      <c r="AW42" s="685">
        <f t="shared" si="63"/>
        <v>0</v>
      </c>
      <c r="AX42" s="694">
        <v>15</v>
      </c>
      <c r="AY42" s="685">
        <f t="shared" si="64"/>
        <v>660000</v>
      </c>
      <c r="AZ42" s="683">
        <v>0</v>
      </c>
      <c r="BA42" s="685">
        <f t="shared" si="65"/>
        <v>0</v>
      </c>
      <c r="BB42" s="683">
        <v>0</v>
      </c>
      <c r="BC42" s="685">
        <f t="shared" si="66"/>
        <v>0</v>
      </c>
      <c r="BD42" s="683">
        <v>0</v>
      </c>
      <c r="BE42" s="685">
        <f t="shared" si="67"/>
        <v>0</v>
      </c>
      <c r="BF42" s="683">
        <v>0</v>
      </c>
      <c r="BG42" s="685">
        <f t="shared" si="68"/>
        <v>0</v>
      </c>
      <c r="BH42" s="683"/>
      <c r="BI42" s="685">
        <f t="shared" si="69"/>
        <v>0</v>
      </c>
      <c r="BJ42" s="688">
        <f t="shared" si="70"/>
        <v>19</v>
      </c>
      <c r="BK42" s="688">
        <f t="shared" si="71"/>
        <v>836000</v>
      </c>
      <c r="BL42" s="689" t="s">
        <v>288</v>
      </c>
      <c r="BM42" s="690"/>
      <c r="BN42" s="681">
        <f>G42</f>
        <v>836000</v>
      </c>
      <c r="BO42" s="691"/>
      <c r="BP42" s="691"/>
      <c r="BQ42" s="691"/>
      <c r="BR42" s="691">
        <f>BN42+BO42+BP42+BQ42</f>
        <v>836000</v>
      </c>
      <c r="BS42" s="691"/>
      <c r="BT42" s="691"/>
      <c r="BU42" s="691"/>
      <c r="BV42" s="692">
        <f>BR42+BU42</f>
        <v>836000</v>
      </c>
    </row>
    <row r="43" spans="1:74" s="693" customFormat="1">
      <c r="A43" s="904"/>
      <c r="B43" s="677"/>
      <c r="C43" s="678" t="s">
        <v>276</v>
      </c>
      <c r="D43" s="678" t="s">
        <v>277</v>
      </c>
      <c r="E43" s="679">
        <v>182</v>
      </c>
      <c r="F43" s="680">
        <f t="shared" si="43"/>
        <v>0</v>
      </c>
      <c r="G43" s="681">
        <f>F43*E43</f>
        <v>0</v>
      </c>
      <c r="H43" s="681"/>
      <c r="I43" s="681"/>
      <c r="J43" s="681"/>
      <c r="K43" s="681"/>
      <c r="L43" s="681"/>
      <c r="M43" s="682">
        <f>G43</f>
        <v>0</v>
      </c>
      <c r="N43" s="681"/>
      <c r="O43" s="681"/>
      <c r="P43" s="681"/>
      <c r="Q43" s="681"/>
      <c r="R43" s="683">
        <f t="shared" si="44"/>
        <v>0</v>
      </c>
      <c r="S43" s="683">
        <f t="shared" si="45"/>
        <v>0</v>
      </c>
      <c r="T43" s="683">
        <f t="shared" si="46"/>
        <v>0</v>
      </c>
      <c r="U43" s="683">
        <f t="shared" si="47"/>
        <v>0</v>
      </c>
      <c r="V43" s="684">
        <f t="shared" si="48"/>
        <v>0</v>
      </c>
      <c r="W43" s="684">
        <f t="shared" si="49"/>
        <v>0</v>
      </c>
      <c r="X43" s="684">
        <f t="shared" si="50"/>
        <v>0</v>
      </c>
      <c r="Y43" s="684">
        <f t="shared" si="51"/>
        <v>0</v>
      </c>
      <c r="Z43" s="683">
        <v>0</v>
      </c>
      <c r="AA43" s="685">
        <f t="shared" si="52"/>
        <v>0</v>
      </c>
      <c r="AB43" s="683">
        <v>0</v>
      </c>
      <c r="AC43" s="685">
        <f t="shared" si="53"/>
        <v>0</v>
      </c>
      <c r="AD43" s="683"/>
      <c r="AE43" s="685">
        <f t="shared" si="54"/>
        <v>0</v>
      </c>
      <c r="AF43" s="683">
        <v>0</v>
      </c>
      <c r="AG43" s="685">
        <f t="shared" si="55"/>
        <v>0</v>
      </c>
      <c r="AH43" s="683">
        <v>0</v>
      </c>
      <c r="AI43" s="685">
        <f t="shared" si="56"/>
        <v>0</v>
      </c>
      <c r="AJ43" s="683">
        <v>0</v>
      </c>
      <c r="AK43" s="685">
        <f t="shared" si="57"/>
        <v>0</v>
      </c>
      <c r="AL43" s="683">
        <v>0</v>
      </c>
      <c r="AM43" s="685">
        <f t="shared" si="58"/>
        <v>0</v>
      </c>
      <c r="AN43" s="683">
        <v>0</v>
      </c>
      <c r="AO43" s="685">
        <f t="shared" si="59"/>
        <v>0</v>
      </c>
      <c r="AP43" s="683">
        <v>0</v>
      </c>
      <c r="AQ43" s="685">
        <f t="shared" si="60"/>
        <v>0</v>
      </c>
      <c r="AR43" s="686">
        <v>0</v>
      </c>
      <c r="AS43" s="685">
        <f t="shared" si="61"/>
        <v>0</v>
      </c>
      <c r="AT43" s="683">
        <v>0</v>
      </c>
      <c r="AU43" s="685">
        <f t="shared" si="62"/>
        <v>0</v>
      </c>
      <c r="AV43" s="683">
        <v>0</v>
      </c>
      <c r="AW43" s="685">
        <f t="shared" si="63"/>
        <v>0</v>
      </c>
      <c r="AX43" s="684">
        <v>0</v>
      </c>
      <c r="AY43" s="685">
        <f t="shared" si="64"/>
        <v>0</v>
      </c>
      <c r="AZ43" s="683">
        <v>0</v>
      </c>
      <c r="BA43" s="685">
        <f t="shared" si="65"/>
        <v>0</v>
      </c>
      <c r="BB43" s="683">
        <v>0</v>
      </c>
      <c r="BC43" s="685">
        <f t="shared" si="66"/>
        <v>0</v>
      </c>
      <c r="BD43" s="683">
        <v>0</v>
      </c>
      <c r="BE43" s="685">
        <f t="shared" si="67"/>
        <v>0</v>
      </c>
      <c r="BF43" s="683">
        <v>0</v>
      </c>
      <c r="BG43" s="685">
        <f t="shared" si="68"/>
        <v>0</v>
      </c>
      <c r="BH43" s="683"/>
      <c r="BI43" s="685">
        <f t="shared" si="69"/>
        <v>0</v>
      </c>
      <c r="BJ43" s="688">
        <f t="shared" si="70"/>
        <v>0</v>
      </c>
      <c r="BK43" s="688">
        <f t="shared" si="71"/>
        <v>0</v>
      </c>
      <c r="BL43" s="689" t="s">
        <v>288</v>
      </c>
      <c r="BM43" s="690"/>
      <c r="BN43" s="681">
        <f>G43</f>
        <v>0</v>
      </c>
      <c r="BO43" s="691"/>
      <c r="BP43" s="691"/>
      <c r="BQ43" s="691"/>
      <c r="BR43" s="691">
        <f>BN43+BO43+BP43+BQ43</f>
        <v>0</v>
      </c>
      <c r="BS43" s="691"/>
      <c r="BT43" s="691"/>
      <c r="BU43" s="691"/>
      <c r="BV43" s="692">
        <f>BR43+BU43</f>
        <v>0</v>
      </c>
    </row>
    <row r="44" spans="1:74" s="693" customFormat="1">
      <c r="A44" s="904"/>
      <c r="B44" s="677"/>
      <c r="C44" s="678" t="s">
        <v>287</v>
      </c>
      <c r="D44" s="678" t="s">
        <v>248</v>
      </c>
      <c r="E44" s="679">
        <v>17000</v>
      </c>
      <c r="F44" s="680">
        <f t="shared" si="43"/>
        <v>4</v>
      </c>
      <c r="G44" s="681">
        <f>F44*E44</f>
        <v>68000</v>
      </c>
      <c r="H44" s="681"/>
      <c r="I44" s="681"/>
      <c r="J44" s="681"/>
      <c r="K44" s="681"/>
      <c r="L44" s="681"/>
      <c r="M44" s="682">
        <f>G44</f>
        <v>68000</v>
      </c>
      <c r="N44" s="681"/>
      <c r="O44" s="681"/>
      <c r="P44" s="681"/>
      <c r="Q44" s="681"/>
      <c r="R44" s="683">
        <f t="shared" si="44"/>
        <v>1.4</v>
      </c>
      <c r="S44" s="683">
        <f t="shared" si="45"/>
        <v>0.4</v>
      </c>
      <c r="T44" s="683">
        <f t="shared" si="46"/>
        <v>0.6</v>
      </c>
      <c r="U44" s="683">
        <f t="shared" si="47"/>
        <v>1.6</v>
      </c>
      <c r="V44" s="684">
        <f t="shared" si="48"/>
        <v>23800</v>
      </c>
      <c r="W44" s="684">
        <f t="shared" si="49"/>
        <v>6800</v>
      </c>
      <c r="X44" s="684">
        <f t="shared" si="50"/>
        <v>10200</v>
      </c>
      <c r="Y44" s="684">
        <f t="shared" si="51"/>
        <v>27200</v>
      </c>
      <c r="Z44" s="683">
        <v>0</v>
      </c>
      <c r="AA44" s="685">
        <f t="shared" si="52"/>
        <v>0</v>
      </c>
      <c r="AB44" s="688">
        <v>0</v>
      </c>
      <c r="AC44" s="685">
        <f t="shared" si="53"/>
        <v>0</v>
      </c>
      <c r="AD44" s="688"/>
      <c r="AE44" s="685">
        <f t="shared" si="54"/>
        <v>0</v>
      </c>
      <c r="AF44" s="683">
        <v>0</v>
      </c>
      <c r="AG44" s="685">
        <f t="shared" si="55"/>
        <v>0</v>
      </c>
      <c r="AH44" s="688">
        <v>0</v>
      </c>
      <c r="AI44" s="685">
        <f t="shared" si="56"/>
        <v>0</v>
      </c>
      <c r="AJ44" s="688"/>
      <c r="AK44" s="685">
        <f t="shared" si="57"/>
        <v>0</v>
      </c>
      <c r="AL44" s="688">
        <v>0</v>
      </c>
      <c r="AM44" s="685">
        <f t="shared" si="58"/>
        <v>0</v>
      </c>
      <c r="AN44" s="688">
        <v>4</v>
      </c>
      <c r="AO44" s="685">
        <f t="shared" si="59"/>
        <v>68000</v>
      </c>
      <c r="AP44" s="688">
        <v>0</v>
      </c>
      <c r="AQ44" s="685">
        <f t="shared" si="60"/>
        <v>0</v>
      </c>
      <c r="AR44" s="686">
        <v>0</v>
      </c>
      <c r="AS44" s="685">
        <f t="shared" si="61"/>
        <v>0</v>
      </c>
      <c r="AT44" s="683">
        <v>0</v>
      </c>
      <c r="AU44" s="685">
        <f t="shared" si="62"/>
        <v>0</v>
      </c>
      <c r="AV44" s="688">
        <v>0</v>
      </c>
      <c r="AW44" s="685">
        <f t="shared" si="63"/>
        <v>0</v>
      </c>
      <c r="AX44" s="685">
        <v>0</v>
      </c>
      <c r="AY44" s="685">
        <f t="shared" si="64"/>
        <v>0</v>
      </c>
      <c r="AZ44" s="683">
        <v>0</v>
      </c>
      <c r="BA44" s="685">
        <f t="shared" si="65"/>
        <v>0</v>
      </c>
      <c r="BB44" s="683">
        <v>0</v>
      </c>
      <c r="BC44" s="685">
        <f t="shared" si="66"/>
        <v>0</v>
      </c>
      <c r="BD44" s="683">
        <v>0</v>
      </c>
      <c r="BE44" s="685">
        <f t="shared" si="67"/>
        <v>0</v>
      </c>
      <c r="BF44" s="688">
        <v>0</v>
      </c>
      <c r="BG44" s="685">
        <f t="shared" si="68"/>
        <v>0</v>
      </c>
      <c r="BH44" s="688"/>
      <c r="BI44" s="685">
        <f t="shared" si="69"/>
        <v>0</v>
      </c>
      <c r="BJ44" s="688">
        <f t="shared" si="70"/>
        <v>4</v>
      </c>
      <c r="BK44" s="688">
        <f t="shared" si="71"/>
        <v>68000</v>
      </c>
      <c r="BL44" s="689" t="s">
        <v>288</v>
      </c>
      <c r="BM44" s="690"/>
      <c r="BN44" s="681">
        <f>G44</f>
        <v>68000</v>
      </c>
      <c r="BO44" s="691"/>
      <c r="BP44" s="691"/>
      <c r="BQ44" s="691"/>
      <c r="BR44" s="691">
        <f>BN44+BO44+BP44+BQ44</f>
        <v>68000</v>
      </c>
      <c r="BS44" s="691"/>
      <c r="BT44" s="691"/>
      <c r="BU44" s="691"/>
      <c r="BV44" s="692">
        <f>BR44+BU44</f>
        <v>68000</v>
      </c>
    </row>
    <row r="45" spans="1:74" s="693" customFormat="1">
      <c r="A45" s="904"/>
      <c r="B45" s="677"/>
      <c r="C45" s="678" t="s">
        <v>293</v>
      </c>
      <c r="D45" s="678" t="s">
        <v>248</v>
      </c>
      <c r="E45" s="679">
        <v>20000</v>
      </c>
      <c r="F45" s="680">
        <f t="shared" si="43"/>
        <v>8</v>
      </c>
      <c r="G45" s="680">
        <f t="shared" si="43"/>
        <v>160000</v>
      </c>
      <c r="H45" s="681"/>
      <c r="I45" s="681"/>
      <c r="J45" s="681"/>
      <c r="K45" s="681"/>
      <c r="L45" s="681"/>
      <c r="M45" s="682">
        <f>G45</f>
        <v>160000</v>
      </c>
      <c r="N45" s="681"/>
      <c r="O45" s="681"/>
      <c r="P45" s="681"/>
      <c r="Q45" s="681"/>
      <c r="R45" s="683">
        <f t="shared" si="44"/>
        <v>2.8</v>
      </c>
      <c r="S45" s="683">
        <f t="shared" si="45"/>
        <v>0.8</v>
      </c>
      <c r="T45" s="683">
        <f t="shared" si="46"/>
        <v>1.2</v>
      </c>
      <c r="U45" s="683">
        <f t="shared" si="47"/>
        <v>3.2</v>
      </c>
      <c r="V45" s="684">
        <f t="shared" si="48"/>
        <v>56000</v>
      </c>
      <c r="W45" s="684">
        <f t="shared" si="49"/>
        <v>16000</v>
      </c>
      <c r="X45" s="684">
        <f t="shared" si="50"/>
        <v>24000</v>
      </c>
      <c r="Y45" s="684">
        <f t="shared" si="51"/>
        <v>64000</v>
      </c>
      <c r="Z45" s="683">
        <v>0</v>
      </c>
      <c r="AA45" s="685">
        <f t="shared" si="52"/>
        <v>0</v>
      </c>
      <c r="AB45" s="688">
        <v>0</v>
      </c>
      <c r="AC45" s="685">
        <f t="shared" si="53"/>
        <v>0</v>
      </c>
      <c r="AD45" s="688">
        <v>0</v>
      </c>
      <c r="AE45" s="685">
        <f t="shared" si="54"/>
        <v>0</v>
      </c>
      <c r="AF45" s="683">
        <v>2</v>
      </c>
      <c r="AG45" s="685">
        <f t="shared" si="55"/>
        <v>40000</v>
      </c>
      <c r="AH45" s="688">
        <v>0</v>
      </c>
      <c r="AI45" s="685">
        <f t="shared" si="56"/>
        <v>0</v>
      </c>
      <c r="AJ45" s="688">
        <v>0</v>
      </c>
      <c r="AK45" s="685">
        <f t="shared" si="57"/>
        <v>0</v>
      </c>
      <c r="AL45" s="688">
        <v>0</v>
      </c>
      <c r="AM45" s="685">
        <f t="shared" si="58"/>
        <v>0</v>
      </c>
      <c r="AN45" s="688">
        <v>6</v>
      </c>
      <c r="AO45" s="685">
        <f t="shared" si="59"/>
        <v>120000</v>
      </c>
      <c r="AP45" s="688">
        <v>0</v>
      </c>
      <c r="AQ45" s="685">
        <f t="shared" si="60"/>
        <v>0</v>
      </c>
      <c r="AR45" s="686">
        <v>0</v>
      </c>
      <c r="AS45" s="685">
        <f t="shared" si="61"/>
        <v>0</v>
      </c>
      <c r="AT45" s="683">
        <v>0</v>
      </c>
      <c r="AU45" s="685">
        <f t="shared" si="62"/>
        <v>0</v>
      </c>
      <c r="AV45" s="688">
        <v>0</v>
      </c>
      <c r="AW45" s="685">
        <f t="shared" si="63"/>
        <v>0</v>
      </c>
      <c r="AX45" s="687">
        <v>0</v>
      </c>
      <c r="AY45" s="685">
        <f t="shared" si="64"/>
        <v>0</v>
      </c>
      <c r="AZ45" s="688">
        <v>0</v>
      </c>
      <c r="BA45" s="685">
        <f t="shared" si="65"/>
        <v>0</v>
      </c>
      <c r="BB45" s="683">
        <v>0</v>
      </c>
      <c r="BC45" s="685">
        <f t="shared" si="66"/>
        <v>0</v>
      </c>
      <c r="BD45" s="683">
        <v>0</v>
      </c>
      <c r="BE45" s="685">
        <f t="shared" si="67"/>
        <v>0</v>
      </c>
      <c r="BF45" s="688">
        <v>0</v>
      </c>
      <c r="BG45" s="685">
        <f t="shared" si="68"/>
        <v>0</v>
      </c>
      <c r="BH45" s="688"/>
      <c r="BI45" s="685">
        <f t="shared" si="69"/>
        <v>0</v>
      </c>
      <c r="BJ45" s="688">
        <f t="shared" si="70"/>
        <v>8</v>
      </c>
      <c r="BK45" s="688">
        <f t="shared" si="71"/>
        <v>160000</v>
      </c>
      <c r="BL45" s="689" t="s">
        <v>288</v>
      </c>
      <c r="BM45" s="690"/>
      <c r="BN45" s="681">
        <f>G45</f>
        <v>160000</v>
      </c>
      <c r="BO45" s="691"/>
      <c r="BP45" s="691"/>
      <c r="BQ45" s="691"/>
      <c r="BR45" s="691">
        <f>BN45+BO45+BP45+BQ45</f>
        <v>160000</v>
      </c>
      <c r="BS45" s="691"/>
      <c r="BT45" s="691"/>
      <c r="BU45" s="691"/>
      <c r="BV45" s="692">
        <f>BR45+BU45</f>
        <v>160000</v>
      </c>
    </row>
    <row r="46" spans="1:74" s="693" customFormat="1">
      <c r="A46" s="904"/>
      <c r="B46" s="677"/>
      <c r="C46" s="678" t="s">
        <v>622</v>
      </c>
      <c r="D46" s="678" t="s">
        <v>624</v>
      </c>
      <c r="E46" s="679">
        <v>200000</v>
      </c>
      <c r="F46" s="680">
        <f t="shared" ref="F46:F51" si="72">BJ46</f>
        <v>8</v>
      </c>
      <c r="G46" s="680">
        <f t="shared" ref="G46:G51" si="73">BK46</f>
        <v>5100000</v>
      </c>
      <c r="H46" s="681"/>
      <c r="I46" s="681"/>
      <c r="J46" s="681"/>
      <c r="K46" s="681"/>
      <c r="L46" s="681"/>
      <c r="M46" s="682">
        <f t="shared" ref="M46:M51" si="74">G46</f>
        <v>5100000</v>
      </c>
      <c r="N46" s="681"/>
      <c r="O46" s="681"/>
      <c r="P46" s="681"/>
      <c r="Q46" s="681"/>
      <c r="R46" s="683">
        <f t="shared" ref="R46:R51" si="75">F46*0.35</f>
        <v>2.8</v>
      </c>
      <c r="S46" s="683">
        <f t="shared" ref="S46:S51" si="76">F46*0.1</f>
        <v>0.8</v>
      </c>
      <c r="T46" s="683">
        <f t="shared" ref="T46:T51" si="77">F46:F46*0.15</f>
        <v>1.2</v>
      </c>
      <c r="U46" s="683">
        <f t="shared" ref="U46:U51" si="78">F46*0.4</f>
        <v>3.2</v>
      </c>
      <c r="V46" s="684">
        <f t="shared" ref="V46:V51" si="79">R46*E46</f>
        <v>560000</v>
      </c>
      <c r="W46" s="684">
        <f t="shared" ref="W46:W51" si="80">S46*E46</f>
        <v>160000</v>
      </c>
      <c r="X46" s="684">
        <f t="shared" ref="X46:X51" si="81">T46*E46</f>
        <v>240000</v>
      </c>
      <c r="Y46" s="684">
        <f t="shared" ref="Y46:Y51" si="82">U46*E46</f>
        <v>640000</v>
      </c>
      <c r="Z46" s="688">
        <v>0</v>
      </c>
      <c r="AA46" s="685">
        <f>Z46*E46+3500000</f>
        <v>3500000</v>
      </c>
      <c r="AB46" s="688">
        <v>2</v>
      </c>
      <c r="AC46" s="685">
        <f t="shared" si="53"/>
        <v>400000</v>
      </c>
      <c r="AD46" s="688"/>
      <c r="AE46" s="685">
        <f t="shared" si="54"/>
        <v>0</v>
      </c>
      <c r="AF46" s="688"/>
      <c r="AG46" s="685">
        <f t="shared" si="55"/>
        <v>0</v>
      </c>
      <c r="AH46" s="688"/>
      <c r="AI46" s="685">
        <f t="shared" si="56"/>
        <v>0</v>
      </c>
      <c r="AJ46" s="688"/>
      <c r="AK46" s="685">
        <f t="shared" si="57"/>
        <v>0</v>
      </c>
      <c r="AL46" s="688"/>
      <c r="AM46" s="685"/>
      <c r="AN46" s="688"/>
      <c r="AO46" s="685">
        <f t="shared" si="59"/>
        <v>0</v>
      </c>
      <c r="AP46" s="688">
        <v>0</v>
      </c>
      <c r="AQ46" s="685">
        <f t="shared" si="60"/>
        <v>0</v>
      </c>
      <c r="AR46" s="695"/>
      <c r="AS46" s="685">
        <f t="shared" si="61"/>
        <v>0</v>
      </c>
      <c r="AT46" s="688">
        <v>6</v>
      </c>
      <c r="AU46" s="685">
        <f t="shared" si="62"/>
        <v>1200000</v>
      </c>
      <c r="AV46" s="688"/>
      <c r="AW46" s="685">
        <f t="shared" si="63"/>
        <v>0</v>
      </c>
      <c r="AX46" s="685"/>
      <c r="AY46" s="685">
        <f t="shared" si="64"/>
        <v>0</v>
      </c>
      <c r="AZ46" s="688"/>
      <c r="BA46" s="685"/>
      <c r="BB46" s="688"/>
      <c r="BC46" s="685">
        <f t="shared" si="66"/>
        <v>0</v>
      </c>
      <c r="BD46" s="688">
        <v>0</v>
      </c>
      <c r="BE46" s="685">
        <f t="shared" si="67"/>
        <v>0</v>
      </c>
      <c r="BF46" s="688">
        <v>0</v>
      </c>
      <c r="BG46" s="685">
        <f t="shared" si="68"/>
        <v>0</v>
      </c>
      <c r="BH46" s="688"/>
      <c r="BI46" s="685">
        <f t="shared" si="69"/>
        <v>0</v>
      </c>
      <c r="BJ46" s="688">
        <f t="shared" ref="BJ46:BJ51" si="83">BH46+BF46+BD46+BB46+AZ46+AX46+AV46+AT46+AR46+AP46+AN46+AL46+AJ46+AH46+AF46+AD46+AB46+Z46</f>
        <v>8</v>
      </c>
      <c r="BK46" s="688">
        <f t="shared" si="71"/>
        <v>5100000</v>
      </c>
      <c r="BL46" s="689" t="s">
        <v>288</v>
      </c>
      <c r="BM46" s="690"/>
      <c r="BN46" s="681"/>
      <c r="BO46" s="691"/>
      <c r="BP46" s="691"/>
      <c r="BQ46" s="691"/>
      <c r="BR46" s="691"/>
      <c r="BS46" s="691"/>
      <c r="BT46" s="691"/>
      <c r="BU46" s="691"/>
      <c r="BV46" s="692"/>
    </row>
    <row r="47" spans="1:74" s="693" customFormat="1">
      <c r="A47" s="904"/>
      <c r="B47" s="677"/>
      <c r="C47" s="678" t="s">
        <v>623</v>
      </c>
      <c r="D47" s="678" t="s">
        <v>624</v>
      </c>
      <c r="E47" s="679">
        <v>400000</v>
      </c>
      <c r="F47" s="680">
        <f t="shared" si="72"/>
        <v>4</v>
      </c>
      <c r="G47" s="680">
        <f t="shared" si="73"/>
        <v>1600000</v>
      </c>
      <c r="H47" s="681"/>
      <c r="I47" s="681"/>
      <c r="J47" s="681"/>
      <c r="K47" s="681"/>
      <c r="L47" s="681"/>
      <c r="M47" s="682">
        <f t="shared" si="74"/>
        <v>1600000</v>
      </c>
      <c r="N47" s="681"/>
      <c r="O47" s="681"/>
      <c r="P47" s="681"/>
      <c r="Q47" s="681"/>
      <c r="R47" s="683">
        <f t="shared" si="75"/>
        <v>1.4</v>
      </c>
      <c r="S47" s="683">
        <f t="shared" si="76"/>
        <v>0.4</v>
      </c>
      <c r="T47" s="683">
        <f t="shared" si="77"/>
        <v>0.6</v>
      </c>
      <c r="U47" s="683">
        <f t="shared" si="78"/>
        <v>1.6</v>
      </c>
      <c r="V47" s="684">
        <f t="shared" si="79"/>
        <v>560000</v>
      </c>
      <c r="W47" s="684">
        <f t="shared" si="80"/>
        <v>160000</v>
      </c>
      <c r="X47" s="684">
        <f t="shared" si="81"/>
        <v>240000</v>
      </c>
      <c r="Y47" s="684">
        <f t="shared" si="82"/>
        <v>640000</v>
      </c>
      <c r="Z47" s="688"/>
      <c r="AA47" s="685">
        <v>0</v>
      </c>
      <c r="AB47" s="688">
        <v>0</v>
      </c>
      <c r="AC47" s="685">
        <f t="shared" si="53"/>
        <v>0</v>
      </c>
      <c r="AD47" s="688">
        <v>1</v>
      </c>
      <c r="AE47" s="685">
        <f>AD47*E47</f>
        <v>400000</v>
      </c>
      <c r="AF47" s="688">
        <v>0</v>
      </c>
      <c r="AG47" s="685">
        <f t="shared" si="55"/>
        <v>0</v>
      </c>
      <c r="AH47" s="688">
        <v>0</v>
      </c>
      <c r="AI47" s="685">
        <f t="shared" si="56"/>
        <v>0</v>
      </c>
      <c r="AJ47" s="688">
        <v>1</v>
      </c>
      <c r="AK47" s="685">
        <f t="shared" si="57"/>
        <v>400000</v>
      </c>
      <c r="AL47" s="688"/>
      <c r="AM47" s="685"/>
      <c r="AN47" s="688"/>
      <c r="AO47" s="685">
        <f t="shared" si="59"/>
        <v>0</v>
      </c>
      <c r="AP47" s="688">
        <v>0</v>
      </c>
      <c r="AQ47" s="685">
        <f t="shared" si="60"/>
        <v>0</v>
      </c>
      <c r="AR47" s="695">
        <v>0</v>
      </c>
      <c r="AS47" s="685">
        <f t="shared" si="61"/>
        <v>0</v>
      </c>
      <c r="AT47" s="688">
        <v>1</v>
      </c>
      <c r="AU47" s="685">
        <f t="shared" si="62"/>
        <v>400000</v>
      </c>
      <c r="AV47" s="688"/>
      <c r="AW47" s="685">
        <f t="shared" si="63"/>
        <v>0</v>
      </c>
      <c r="AX47" s="685">
        <v>1</v>
      </c>
      <c r="AY47" s="685">
        <f t="shared" si="64"/>
        <v>400000</v>
      </c>
      <c r="AZ47" s="688"/>
      <c r="BA47" s="685"/>
      <c r="BB47" s="688"/>
      <c r="BC47" s="685">
        <f t="shared" si="66"/>
        <v>0</v>
      </c>
      <c r="BD47" s="688">
        <v>0</v>
      </c>
      <c r="BE47" s="685">
        <f t="shared" si="67"/>
        <v>0</v>
      </c>
      <c r="BF47" s="688"/>
      <c r="BG47" s="685"/>
      <c r="BH47" s="688"/>
      <c r="BI47" s="685">
        <f t="shared" si="69"/>
        <v>0</v>
      </c>
      <c r="BJ47" s="688">
        <f t="shared" si="83"/>
        <v>4</v>
      </c>
      <c r="BK47" s="688">
        <f t="shared" si="71"/>
        <v>1600000</v>
      </c>
      <c r="BL47" s="689" t="s">
        <v>288</v>
      </c>
      <c r="BM47" s="690"/>
      <c r="BN47" s="681"/>
      <c r="BO47" s="691"/>
      <c r="BP47" s="691"/>
      <c r="BQ47" s="691"/>
      <c r="BR47" s="691"/>
      <c r="BS47" s="691"/>
      <c r="BT47" s="691"/>
      <c r="BU47" s="691"/>
      <c r="BV47" s="692"/>
    </row>
    <row r="48" spans="1:74" s="693" customFormat="1">
      <c r="A48" s="904"/>
      <c r="B48" s="677"/>
      <c r="C48" s="678" t="s">
        <v>626</v>
      </c>
      <c r="D48" s="678"/>
      <c r="E48" s="679">
        <v>10700</v>
      </c>
      <c r="F48" s="680">
        <f t="shared" si="72"/>
        <v>21</v>
      </c>
      <c r="G48" s="680">
        <f t="shared" si="73"/>
        <v>224700</v>
      </c>
      <c r="H48" s="681"/>
      <c r="I48" s="681"/>
      <c r="J48" s="681"/>
      <c r="K48" s="681"/>
      <c r="L48" s="681"/>
      <c r="M48" s="682">
        <f t="shared" si="74"/>
        <v>224700</v>
      </c>
      <c r="N48" s="681"/>
      <c r="O48" s="681"/>
      <c r="P48" s="681"/>
      <c r="Q48" s="681"/>
      <c r="R48" s="683">
        <f t="shared" si="75"/>
        <v>7.35</v>
      </c>
      <c r="S48" s="683">
        <f t="shared" si="76"/>
        <v>2.1</v>
      </c>
      <c r="T48" s="683">
        <f t="shared" si="77"/>
        <v>3.15</v>
      </c>
      <c r="U48" s="683">
        <f t="shared" si="78"/>
        <v>8.4</v>
      </c>
      <c r="V48" s="684">
        <f t="shared" si="79"/>
        <v>78645</v>
      </c>
      <c r="W48" s="684">
        <f t="shared" si="80"/>
        <v>22470</v>
      </c>
      <c r="X48" s="684">
        <f t="shared" si="81"/>
        <v>33705</v>
      </c>
      <c r="Y48" s="684">
        <f t="shared" si="82"/>
        <v>89880</v>
      </c>
      <c r="Z48" s="688">
        <v>0</v>
      </c>
      <c r="AA48" s="685">
        <f>Z48*E48</f>
        <v>0</v>
      </c>
      <c r="AB48" s="688"/>
      <c r="AC48" s="685">
        <f t="shared" si="53"/>
        <v>0</v>
      </c>
      <c r="AD48" s="688">
        <v>21</v>
      </c>
      <c r="AE48" s="685">
        <f t="shared" si="54"/>
        <v>224700</v>
      </c>
      <c r="AF48" s="688">
        <v>0</v>
      </c>
      <c r="AG48" s="685">
        <f t="shared" si="55"/>
        <v>0</v>
      </c>
      <c r="AH48" s="688"/>
      <c r="AI48" s="685">
        <f t="shared" si="56"/>
        <v>0</v>
      </c>
      <c r="AJ48" s="688"/>
      <c r="AK48" s="685">
        <f t="shared" si="57"/>
        <v>0</v>
      </c>
      <c r="AL48" s="688"/>
      <c r="AM48" s="685"/>
      <c r="AN48" s="688"/>
      <c r="AO48" s="685">
        <f t="shared" si="59"/>
        <v>0</v>
      </c>
      <c r="AP48" s="688">
        <v>0</v>
      </c>
      <c r="AQ48" s="685"/>
      <c r="AR48" s="695">
        <v>0</v>
      </c>
      <c r="AS48" s="685">
        <f t="shared" si="61"/>
        <v>0</v>
      </c>
      <c r="AT48" s="688"/>
      <c r="AU48" s="685"/>
      <c r="AV48" s="688"/>
      <c r="AW48" s="685">
        <f t="shared" si="63"/>
        <v>0</v>
      </c>
      <c r="AX48" s="685"/>
      <c r="AY48" s="685">
        <f t="shared" si="64"/>
        <v>0</v>
      </c>
      <c r="AZ48" s="688"/>
      <c r="BA48" s="685"/>
      <c r="BB48" s="688"/>
      <c r="BC48" s="685">
        <f t="shared" si="66"/>
        <v>0</v>
      </c>
      <c r="BD48" s="688"/>
      <c r="BE48" s="685">
        <f t="shared" si="67"/>
        <v>0</v>
      </c>
      <c r="BF48" s="688"/>
      <c r="BG48" s="685"/>
      <c r="BH48" s="688"/>
      <c r="BI48" s="685">
        <f t="shared" si="69"/>
        <v>0</v>
      </c>
      <c r="BJ48" s="688">
        <f t="shared" si="83"/>
        <v>21</v>
      </c>
      <c r="BK48" s="688">
        <f t="shared" si="71"/>
        <v>224700</v>
      </c>
      <c r="BL48" s="689" t="s">
        <v>288</v>
      </c>
      <c r="BM48" s="690"/>
      <c r="BN48" s="681"/>
      <c r="BO48" s="691"/>
      <c r="BP48" s="691"/>
      <c r="BQ48" s="691"/>
      <c r="BR48" s="691"/>
      <c r="BS48" s="691"/>
      <c r="BT48" s="691"/>
      <c r="BU48" s="691"/>
      <c r="BV48" s="692"/>
    </row>
    <row r="49" spans="1:74" s="693" customFormat="1">
      <c r="A49" s="904"/>
      <c r="B49" s="677"/>
      <c r="C49" s="678" t="s">
        <v>627</v>
      </c>
      <c r="D49" s="678" t="s">
        <v>249</v>
      </c>
      <c r="E49" s="679">
        <v>443</v>
      </c>
      <c r="F49" s="680">
        <f t="shared" si="72"/>
        <v>1000</v>
      </c>
      <c r="G49" s="680">
        <f t="shared" si="73"/>
        <v>443000</v>
      </c>
      <c r="H49" s="681"/>
      <c r="I49" s="681"/>
      <c r="J49" s="681"/>
      <c r="K49" s="681"/>
      <c r="L49" s="681"/>
      <c r="M49" s="682">
        <f t="shared" si="74"/>
        <v>443000</v>
      </c>
      <c r="N49" s="681"/>
      <c r="O49" s="681"/>
      <c r="P49" s="681"/>
      <c r="Q49" s="681"/>
      <c r="R49" s="683">
        <f t="shared" si="75"/>
        <v>350</v>
      </c>
      <c r="S49" s="683">
        <f t="shared" si="76"/>
        <v>100</v>
      </c>
      <c r="T49" s="683">
        <f t="shared" si="77"/>
        <v>150</v>
      </c>
      <c r="U49" s="683">
        <f t="shared" si="78"/>
        <v>400</v>
      </c>
      <c r="V49" s="684">
        <f t="shared" si="79"/>
        <v>155050</v>
      </c>
      <c r="W49" s="684">
        <f t="shared" si="80"/>
        <v>44300</v>
      </c>
      <c r="X49" s="684">
        <f t="shared" si="81"/>
        <v>66450</v>
      </c>
      <c r="Y49" s="684">
        <f t="shared" si="82"/>
        <v>177200</v>
      </c>
      <c r="Z49" s="688"/>
      <c r="AA49" s="685">
        <f>Z49*E49</f>
        <v>0</v>
      </c>
      <c r="AB49" s="688"/>
      <c r="AC49" s="685">
        <f t="shared" si="53"/>
        <v>0</v>
      </c>
      <c r="AD49" s="688"/>
      <c r="AE49" s="685">
        <f t="shared" si="54"/>
        <v>0</v>
      </c>
      <c r="AF49" s="688"/>
      <c r="AG49" s="685"/>
      <c r="AH49" s="688"/>
      <c r="AI49" s="685">
        <f t="shared" si="56"/>
        <v>0</v>
      </c>
      <c r="AJ49" s="688"/>
      <c r="AK49" s="685">
        <f t="shared" si="57"/>
        <v>0</v>
      </c>
      <c r="AL49" s="688"/>
      <c r="AM49" s="685"/>
      <c r="AN49" s="688"/>
      <c r="AO49" s="685">
        <f t="shared" si="59"/>
        <v>0</v>
      </c>
      <c r="AP49" s="688"/>
      <c r="AQ49" s="685"/>
      <c r="AR49" s="688"/>
      <c r="AS49" s="685">
        <f t="shared" si="61"/>
        <v>0</v>
      </c>
      <c r="AT49" s="688"/>
      <c r="AU49" s="685"/>
      <c r="AV49" s="688"/>
      <c r="AW49" s="685">
        <f t="shared" si="63"/>
        <v>0</v>
      </c>
      <c r="AX49" s="685"/>
      <c r="AY49" s="685">
        <f t="shared" si="64"/>
        <v>0</v>
      </c>
      <c r="AZ49" s="688"/>
      <c r="BA49" s="685"/>
      <c r="BB49" s="688"/>
      <c r="BC49" s="685">
        <f t="shared" si="66"/>
        <v>0</v>
      </c>
      <c r="BD49" s="688">
        <v>1000</v>
      </c>
      <c r="BE49" s="685">
        <f t="shared" si="67"/>
        <v>443000</v>
      </c>
      <c r="BF49" s="688"/>
      <c r="BG49" s="685"/>
      <c r="BH49" s="688"/>
      <c r="BI49" s="685">
        <f t="shared" si="69"/>
        <v>0</v>
      </c>
      <c r="BJ49" s="688">
        <f t="shared" si="83"/>
        <v>1000</v>
      </c>
      <c r="BK49" s="688">
        <f t="shared" si="71"/>
        <v>443000</v>
      </c>
      <c r="BL49" s="689" t="s">
        <v>288</v>
      </c>
      <c r="BM49" s="690"/>
      <c r="BN49" s="681"/>
      <c r="BO49" s="691"/>
      <c r="BP49" s="691"/>
      <c r="BQ49" s="691"/>
      <c r="BR49" s="691"/>
      <c r="BS49" s="691"/>
      <c r="BT49" s="691"/>
      <c r="BU49" s="691"/>
      <c r="BV49" s="692"/>
    </row>
    <row r="50" spans="1:74" s="693" customFormat="1">
      <c r="A50" s="904"/>
      <c r="B50" s="677"/>
      <c r="C50" s="678" t="s">
        <v>628</v>
      </c>
      <c r="D50" s="678" t="s">
        <v>249</v>
      </c>
      <c r="E50" s="679">
        <v>354</v>
      </c>
      <c r="F50" s="680">
        <f t="shared" si="72"/>
        <v>200</v>
      </c>
      <c r="G50" s="680">
        <f t="shared" si="73"/>
        <v>70800</v>
      </c>
      <c r="H50" s="681"/>
      <c r="I50" s="681"/>
      <c r="J50" s="681"/>
      <c r="K50" s="681"/>
      <c r="L50" s="681"/>
      <c r="M50" s="682">
        <f t="shared" si="74"/>
        <v>70800</v>
      </c>
      <c r="N50" s="681"/>
      <c r="O50" s="681"/>
      <c r="P50" s="681"/>
      <c r="Q50" s="681"/>
      <c r="R50" s="683">
        <f t="shared" si="75"/>
        <v>70</v>
      </c>
      <c r="S50" s="683">
        <f t="shared" si="76"/>
        <v>20</v>
      </c>
      <c r="T50" s="683">
        <f t="shared" si="77"/>
        <v>30</v>
      </c>
      <c r="U50" s="683">
        <f t="shared" si="78"/>
        <v>80</v>
      </c>
      <c r="V50" s="684">
        <f t="shared" si="79"/>
        <v>24780</v>
      </c>
      <c r="W50" s="684">
        <f t="shared" si="80"/>
        <v>7080</v>
      </c>
      <c r="X50" s="684">
        <f t="shared" si="81"/>
        <v>10620</v>
      </c>
      <c r="Y50" s="684">
        <f t="shared" si="82"/>
        <v>28320</v>
      </c>
      <c r="Z50" s="688"/>
      <c r="AA50" s="685">
        <f>Z50*E50</f>
        <v>0</v>
      </c>
      <c r="AB50" s="688"/>
      <c r="AC50" s="685">
        <f t="shared" si="53"/>
        <v>0</v>
      </c>
      <c r="AD50" s="688">
        <v>0</v>
      </c>
      <c r="AE50" s="685">
        <f t="shared" si="54"/>
        <v>0</v>
      </c>
      <c r="AF50" s="688"/>
      <c r="AG50" s="685"/>
      <c r="AH50" s="688"/>
      <c r="AI50" s="685">
        <f t="shared" si="56"/>
        <v>0</v>
      </c>
      <c r="AJ50" s="688"/>
      <c r="AK50" s="685">
        <f t="shared" si="57"/>
        <v>0</v>
      </c>
      <c r="AL50" s="688"/>
      <c r="AM50" s="685"/>
      <c r="AN50" s="688"/>
      <c r="AO50" s="685">
        <f t="shared" si="59"/>
        <v>0</v>
      </c>
      <c r="AP50" s="688"/>
      <c r="AQ50" s="685"/>
      <c r="AR50" s="688"/>
      <c r="AS50" s="685">
        <f t="shared" si="61"/>
        <v>0</v>
      </c>
      <c r="AT50" s="688"/>
      <c r="AU50" s="685"/>
      <c r="AV50" s="688"/>
      <c r="AW50" s="685">
        <f t="shared" si="63"/>
        <v>0</v>
      </c>
      <c r="AX50" s="685">
        <v>200</v>
      </c>
      <c r="AY50" s="685">
        <f t="shared" si="64"/>
        <v>70800</v>
      </c>
      <c r="AZ50" s="688"/>
      <c r="BA50" s="685"/>
      <c r="BB50" s="688"/>
      <c r="BC50" s="685">
        <f t="shared" si="66"/>
        <v>0</v>
      </c>
      <c r="BD50" s="688">
        <v>0</v>
      </c>
      <c r="BE50" s="685">
        <f t="shared" si="67"/>
        <v>0</v>
      </c>
      <c r="BF50" s="688"/>
      <c r="BG50" s="685"/>
      <c r="BH50" s="688"/>
      <c r="BI50" s="685">
        <f t="shared" si="69"/>
        <v>0</v>
      </c>
      <c r="BJ50" s="688">
        <f t="shared" si="83"/>
        <v>200</v>
      </c>
      <c r="BK50" s="688">
        <f t="shared" si="71"/>
        <v>70800</v>
      </c>
      <c r="BL50" s="689" t="s">
        <v>288</v>
      </c>
      <c r="BM50" s="690"/>
      <c r="BN50" s="681"/>
      <c r="BO50" s="691"/>
      <c r="BP50" s="691"/>
      <c r="BQ50" s="691"/>
      <c r="BR50" s="691"/>
      <c r="BS50" s="691"/>
      <c r="BT50" s="691"/>
      <c r="BU50" s="691"/>
      <c r="BV50" s="692"/>
    </row>
    <row r="51" spans="1:74" s="693" customFormat="1">
      <c r="A51" s="904"/>
      <c r="B51" s="677"/>
      <c r="C51" s="678" t="s">
        <v>630</v>
      </c>
      <c r="D51" s="678" t="s">
        <v>624</v>
      </c>
      <c r="E51" s="679">
        <v>300000</v>
      </c>
      <c r="F51" s="680">
        <f t="shared" si="72"/>
        <v>16</v>
      </c>
      <c r="G51" s="680">
        <f t="shared" si="73"/>
        <v>4800000</v>
      </c>
      <c r="H51" s="681"/>
      <c r="I51" s="681"/>
      <c r="J51" s="681"/>
      <c r="K51" s="681"/>
      <c r="L51" s="681"/>
      <c r="M51" s="682">
        <f t="shared" si="74"/>
        <v>4800000</v>
      </c>
      <c r="N51" s="681"/>
      <c r="O51" s="681"/>
      <c r="P51" s="681"/>
      <c r="Q51" s="681"/>
      <c r="R51" s="683">
        <f t="shared" si="75"/>
        <v>5.6</v>
      </c>
      <c r="S51" s="683">
        <f t="shared" si="76"/>
        <v>1.6</v>
      </c>
      <c r="T51" s="683">
        <f t="shared" si="77"/>
        <v>2.4</v>
      </c>
      <c r="U51" s="683">
        <f t="shared" si="78"/>
        <v>6.4</v>
      </c>
      <c r="V51" s="684">
        <f t="shared" si="79"/>
        <v>1680000</v>
      </c>
      <c r="W51" s="684">
        <f t="shared" si="80"/>
        <v>480000</v>
      </c>
      <c r="X51" s="684">
        <f t="shared" si="81"/>
        <v>720000</v>
      </c>
      <c r="Y51" s="684">
        <f t="shared" si="82"/>
        <v>1920000</v>
      </c>
      <c r="Z51" s="688">
        <v>0</v>
      </c>
      <c r="AA51" s="685">
        <f>Z51*E51</f>
        <v>0</v>
      </c>
      <c r="AB51" s="688">
        <v>0</v>
      </c>
      <c r="AC51" s="685">
        <f t="shared" si="53"/>
        <v>0</v>
      </c>
      <c r="AD51" s="688"/>
      <c r="AE51" s="685"/>
      <c r="AF51" s="688"/>
      <c r="AG51" s="685"/>
      <c r="AH51" s="688">
        <v>0</v>
      </c>
      <c r="AI51" s="685">
        <f t="shared" si="56"/>
        <v>0</v>
      </c>
      <c r="AJ51" s="688">
        <v>4</v>
      </c>
      <c r="AK51" s="685">
        <f t="shared" si="57"/>
        <v>1200000</v>
      </c>
      <c r="AL51" s="688"/>
      <c r="AM51" s="685"/>
      <c r="AN51" s="688">
        <v>3</v>
      </c>
      <c r="AO51" s="685">
        <f t="shared" si="59"/>
        <v>900000</v>
      </c>
      <c r="AP51" s="688"/>
      <c r="AQ51" s="685"/>
      <c r="AR51" s="688"/>
      <c r="AS51" s="685">
        <f t="shared" si="61"/>
        <v>0</v>
      </c>
      <c r="AT51" s="688"/>
      <c r="AU51" s="685"/>
      <c r="AV51" s="688">
        <v>3</v>
      </c>
      <c r="AW51" s="685">
        <f t="shared" si="63"/>
        <v>900000</v>
      </c>
      <c r="AX51" s="685"/>
      <c r="AY51" s="685"/>
      <c r="AZ51" s="688"/>
      <c r="BA51" s="685"/>
      <c r="BB51" s="688">
        <v>3</v>
      </c>
      <c r="BC51" s="685">
        <f t="shared" si="66"/>
        <v>900000</v>
      </c>
      <c r="BD51" s="685">
        <v>3</v>
      </c>
      <c r="BE51" s="685">
        <f t="shared" si="67"/>
        <v>900000</v>
      </c>
      <c r="BF51" s="688">
        <v>0</v>
      </c>
      <c r="BG51" s="685">
        <f>BF51*E51</f>
        <v>0</v>
      </c>
      <c r="BH51" s="688"/>
      <c r="BI51" s="685">
        <f t="shared" si="69"/>
        <v>0</v>
      </c>
      <c r="BJ51" s="688">
        <f t="shared" si="83"/>
        <v>16</v>
      </c>
      <c r="BK51" s="688">
        <f t="shared" si="71"/>
        <v>4800000</v>
      </c>
      <c r="BL51" s="689" t="s">
        <v>288</v>
      </c>
      <c r="BM51" s="690"/>
      <c r="BN51" s="681"/>
      <c r="BO51" s="691"/>
      <c r="BP51" s="691"/>
      <c r="BQ51" s="691"/>
      <c r="BR51" s="691"/>
      <c r="BS51" s="691"/>
      <c r="BT51" s="691"/>
      <c r="BU51" s="691"/>
      <c r="BV51" s="692"/>
    </row>
    <row r="52" spans="1:74">
      <c r="A52" s="904"/>
      <c r="B52" s="190"/>
      <c r="C52" s="230" t="s">
        <v>3</v>
      </c>
      <c r="D52" s="228"/>
      <c r="E52" s="231"/>
      <c r="F52" s="194">
        <f>SUM(F41:F51)</f>
        <v>1310</v>
      </c>
      <c r="G52" s="194">
        <f>SUM(G41:G51)</f>
        <v>15692500</v>
      </c>
      <c r="H52" s="194">
        <f t="shared" ref="H52:BK52" si="84">SUM(H41:H51)</f>
        <v>0</v>
      </c>
      <c r="I52" s="194">
        <f t="shared" si="84"/>
        <v>0</v>
      </c>
      <c r="J52" s="194">
        <f t="shared" si="84"/>
        <v>0</v>
      </c>
      <c r="K52" s="194">
        <f t="shared" si="84"/>
        <v>0</v>
      </c>
      <c r="L52" s="194">
        <f t="shared" si="84"/>
        <v>0</v>
      </c>
      <c r="M52" s="194">
        <f t="shared" si="84"/>
        <v>15692500</v>
      </c>
      <c r="N52" s="194">
        <f t="shared" si="84"/>
        <v>0</v>
      </c>
      <c r="O52" s="194">
        <f t="shared" si="84"/>
        <v>0</v>
      </c>
      <c r="P52" s="194">
        <f t="shared" si="84"/>
        <v>0</v>
      </c>
      <c r="Q52" s="194">
        <f t="shared" si="84"/>
        <v>0</v>
      </c>
      <c r="R52" s="194">
        <f t="shared" si="84"/>
        <v>458.5</v>
      </c>
      <c r="S52" s="194">
        <f t="shared" si="84"/>
        <v>131</v>
      </c>
      <c r="T52" s="194">
        <f t="shared" si="84"/>
        <v>196.5</v>
      </c>
      <c r="U52" s="194">
        <f t="shared" si="84"/>
        <v>524</v>
      </c>
      <c r="V52" s="194">
        <f t="shared" si="84"/>
        <v>4617375</v>
      </c>
      <c r="W52" s="194">
        <f t="shared" si="84"/>
        <v>1319250</v>
      </c>
      <c r="X52" s="194">
        <f t="shared" si="84"/>
        <v>1978875</v>
      </c>
      <c r="Y52" s="194">
        <f t="shared" si="84"/>
        <v>5277000</v>
      </c>
      <c r="Z52" s="194">
        <f t="shared" si="84"/>
        <v>12</v>
      </c>
      <c r="AA52" s="194">
        <f t="shared" si="84"/>
        <v>4356000</v>
      </c>
      <c r="AB52" s="194">
        <f t="shared" si="84"/>
        <v>2</v>
      </c>
      <c r="AC52" s="194">
        <f t="shared" si="84"/>
        <v>400000</v>
      </c>
      <c r="AD52" s="194">
        <f t="shared" si="84"/>
        <v>23</v>
      </c>
      <c r="AE52" s="194">
        <f t="shared" si="84"/>
        <v>737700</v>
      </c>
      <c r="AF52" s="194">
        <f t="shared" si="84"/>
        <v>2</v>
      </c>
      <c r="AG52" s="194">
        <f t="shared" si="84"/>
        <v>40000</v>
      </c>
      <c r="AH52" s="194">
        <f t="shared" si="84"/>
        <v>14</v>
      </c>
      <c r="AI52" s="194">
        <f t="shared" si="84"/>
        <v>1082000</v>
      </c>
      <c r="AJ52" s="194">
        <f t="shared" si="84"/>
        <v>5</v>
      </c>
      <c r="AK52" s="194">
        <f t="shared" si="84"/>
        <v>1600000</v>
      </c>
      <c r="AL52" s="194">
        <f t="shared" si="84"/>
        <v>0</v>
      </c>
      <c r="AM52" s="194">
        <f t="shared" si="84"/>
        <v>0</v>
      </c>
      <c r="AN52" s="194">
        <f t="shared" si="84"/>
        <v>17</v>
      </c>
      <c r="AO52" s="194">
        <f t="shared" si="84"/>
        <v>1264000</v>
      </c>
      <c r="AP52" s="194">
        <f t="shared" si="84"/>
        <v>0</v>
      </c>
      <c r="AQ52" s="194">
        <f t="shared" si="84"/>
        <v>0</v>
      </c>
      <c r="AR52" s="194">
        <f t="shared" si="84"/>
        <v>0</v>
      </c>
      <c r="AS52" s="194">
        <f t="shared" si="84"/>
        <v>0</v>
      </c>
      <c r="AT52" s="194">
        <f t="shared" si="84"/>
        <v>7</v>
      </c>
      <c r="AU52" s="194">
        <f t="shared" si="84"/>
        <v>1600000</v>
      </c>
      <c r="AV52" s="194">
        <f t="shared" si="84"/>
        <v>6</v>
      </c>
      <c r="AW52" s="194">
        <f t="shared" si="84"/>
        <v>1239000</v>
      </c>
      <c r="AX52" s="194">
        <f t="shared" si="84"/>
        <v>216</v>
      </c>
      <c r="AY52" s="194">
        <f t="shared" si="84"/>
        <v>1130800</v>
      </c>
      <c r="AZ52" s="194">
        <f t="shared" si="84"/>
        <v>0</v>
      </c>
      <c r="BA52" s="194">
        <f t="shared" si="84"/>
        <v>0</v>
      </c>
      <c r="BB52" s="194">
        <f t="shared" si="84"/>
        <v>3</v>
      </c>
      <c r="BC52" s="194">
        <f t="shared" si="84"/>
        <v>900000</v>
      </c>
      <c r="BD52" s="194">
        <f t="shared" si="84"/>
        <v>1003</v>
      </c>
      <c r="BE52" s="194">
        <f t="shared" si="84"/>
        <v>1343000</v>
      </c>
      <c r="BF52" s="194">
        <f t="shared" si="84"/>
        <v>0</v>
      </c>
      <c r="BG52" s="194">
        <f t="shared" si="84"/>
        <v>0</v>
      </c>
      <c r="BH52" s="194">
        <f t="shared" si="84"/>
        <v>0</v>
      </c>
      <c r="BI52" s="194">
        <f t="shared" si="84"/>
        <v>0</v>
      </c>
      <c r="BJ52" s="194">
        <f t="shared" si="84"/>
        <v>1310</v>
      </c>
      <c r="BK52" s="194">
        <f t="shared" si="84"/>
        <v>15692500</v>
      </c>
      <c r="BL52" s="194">
        <f t="shared" ref="BL52:BV52" si="85">SUM(BL41:BL45)</f>
        <v>0</v>
      </c>
      <c r="BM52" s="194">
        <f t="shared" si="85"/>
        <v>0</v>
      </c>
      <c r="BN52" s="194">
        <f t="shared" si="85"/>
        <v>3454000</v>
      </c>
      <c r="BO52" s="194">
        <f t="shared" si="85"/>
        <v>0</v>
      </c>
      <c r="BP52" s="194">
        <f t="shared" si="85"/>
        <v>0</v>
      </c>
      <c r="BQ52" s="194">
        <f t="shared" si="85"/>
        <v>0</v>
      </c>
      <c r="BR52" s="194">
        <f t="shared" si="85"/>
        <v>3454000</v>
      </c>
      <c r="BS52" s="194">
        <f t="shared" si="85"/>
        <v>0</v>
      </c>
      <c r="BT52" s="194">
        <f t="shared" si="85"/>
        <v>0</v>
      </c>
      <c r="BU52" s="194">
        <f t="shared" si="85"/>
        <v>0</v>
      </c>
      <c r="BV52" s="194">
        <f t="shared" si="85"/>
        <v>3454000</v>
      </c>
    </row>
    <row r="53" spans="1:74" s="23" customFormat="1">
      <c r="A53" s="904"/>
      <c r="B53" s="191"/>
      <c r="C53" s="228" t="s">
        <v>77</v>
      </c>
      <c r="D53" s="196"/>
      <c r="E53" s="229"/>
      <c r="F53" s="206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180"/>
      <c r="S53" s="180"/>
      <c r="T53" s="180"/>
      <c r="U53" s="180"/>
      <c r="V53" s="202"/>
      <c r="W53" s="202"/>
      <c r="X53" s="202"/>
      <c r="Y53" s="202"/>
      <c r="Z53" s="180"/>
      <c r="AA53" s="202">
        <f>Z53*E53</f>
        <v>0</v>
      </c>
      <c r="AB53" s="180"/>
      <c r="AC53" s="202">
        <f t="shared" ref="AC53:AC76" si="86">AB53*E53</f>
        <v>0</v>
      </c>
      <c r="AD53" s="180"/>
      <c r="AE53" s="202">
        <f t="shared" ref="AE53:AE76" si="87">AD53*E53</f>
        <v>0</v>
      </c>
      <c r="AF53" s="180"/>
      <c r="AG53" s="202">
        <f t="shared" ref="AG53:AG76" si="88">AF53*E53</f>
        <v>0</v>
      </c>
      <c r="AH53" s="180"/>
      <c r="AI53" s="202">
        <f t="shared" ref="AI53:AI76" si="89">AH53*E53</f>
        <v>0</v>
      </c>
      <c r="AJ53" s="180"/>
      <c r="AK53" s="202">
        <f>AJ53*E53</f>
        <v>0</v>
      </c>
      <c r="AL53" s="180"/>
      <c r="AM53" s="202">
        <f>AL53*E53</f>
        <v>0</v>
      </c>
      <c r="AN53" s="180"/>
      <c r="AO53" s="202">
        <f t="shared" ref="AO53:AO65" si="90">AN53*E53</f>
        <v>0</v>
      </c>
      <c r="AP53" s="180"/>
      <c r="AQ53" s="202">
        <f t="shared" ref="AQ53:AQ76" si="91">AP53*E53</f>
        <v>0</v>
      </c>
      <c r="AR53" s="180"/>
      <c r="AS53" s="202">
        <f t="shared" ref="AS53:AS76" si="92">AR53*E53</f>
        <v>0</v>
      </c>
      <c r="AT53" s="180"/>
      <c r="AU53" s="202">
        <f t="shared" ref="AU53:AU76" si="93">AT53*E53</f>
        <v>0</v>
      </c>
      <c r="AV53" s="180"/>
      <c r="AW53" s="202">
        <f t="shared" ref="AW53:AW76" si="94">AV53*E53</f>
        <v>0</v>
      </c>
      <c r="AX53" s="202"/>
      <c r="AY53" s="202">
        <f t="shared" ref="AY53:AY76" si="95">AX53*E53</f>
        <v>0</v>
      </c>
      <c r="AZ53" s="180"/>
      <c r="BA53" s="202">
        <f t="shared" ref="BA53:BA76" si="96">AZ53*E53</f>
        <v>0</v>
      </c>
      <c r="BB53" s="180"/>
      <c r="BC53" s="202">
        <f>BB53*E53</f>
        <v>0</v>
      </c>
      <c r="BD53" s="180"/>
      <c r="BE53" s="202">
        <f>BD53*E53</f>
        <v>0</v>
      </c>
      <c r="BF53" s="180"/>
      <c r="BG53" s="202">
        <f t="shared" ref="BG53:BG76" si="97">BF53*E53</f>
        <v>0</v>
      </c>
      <c r="BH53" s="180"/>
      <c r="BI53" s="202">
        <f t="shared" ref="BI53:BI76" si="98">BH53*E53</f>
        <v>0</v>
      </c>
      <c r="BJ53" s="180">
        <f t="shared" ref="BJ53:BJ76" si="99">BH53+BF53+BD53+BB53+AZ53+AX53+AV53+AT53+AR53+AP53+AN53+AL53+AJ53+AH53+AF53+AD53+AB53+Z53</f>
        <v>0</v>
      </c>
      <c r="BK53" s="180">
        <f t="shared" ref="BK53:BK76" si="100">BI53+BG53+BE53+BC53+BA53+AY53+AW53+AU53+AS53+AQ53+AO53+AM53+AK53+AI53+AG53+AE53+AC53+AA53</f>
        <v>0</v>
      </c>
      <c r="BL53" s="184"/>
      <c r="BM53" s="219"/>
      <c r="BN53" s="207">
        <f t="shared" ref="BN53:BN64" si="101">G53</f>
        <v>0</v>
      </c>
      <c r="BO53" s="174"/>
      <c r="BP53" s="174"/>
      <c r="BQ53" s="174"/>
      <c r="BR53" s="163">
        <f t="shared" ref="BR53:BR69" si="102">BN53+BO53+BP53+BQ53</f>
        <v>0</v>
      </c>
      <c r="BS53" s="174"/>
      <c r="BT53" s="174"/>
      <c r="BU53" s="163">
        <f>BS53+BT53</f>
        <v>0</v>
      </c>
      <c r="BV53" s="203">
        <f t="shared" ref="BV53:BV68" si="103">BR53+BU53</f>
        <v>0</v>
      </c>
    </row>
    <row r="54" spans="1:74" s="757" customFormat="1">
      <c r="A54" s="904"/>
      <c r="B54" s="807"/>
      <c r="C54" s="728" t="s">
        <v>284</v>
      </c>
      <c r="D54" s="728" t="s">
        <v>248</v>
      </c>
      <c r="E54" s="715">
        <v>100000</v>
      </c>
      <c r="F54" s="756">
        <f t="shared" ref="F54:G66" si="104">BJ54</f>
        <v>0</v>
      </c>
      <c r="G54" s="808">
        <f t="shared" ref="G54:G68" si="105">F54*E54</f>
        <v>0</v>
      </c>
      <c r="H54" s="808"/>
      <c r="I54" s="808"/>
      <c r="J54" s="809"/>
      <c r="K54" s="809"/>
      <c r="L54" s="809"/>
      <c r="M54" s="809">
        <f>G54</f>
        <v>0</v>
      </c>
      <c r="N54" s="808"/>
      <c r="O54" s="808"/>
      <c r="P54" s="808"/>
      <c r="Q54" s="808"/>
      <c r="R54" s="810">
        <f>F54*0.35</f>
        <v>0</v>
      </c>
      <c r="S54" s="810">
        <f t="shared" ref="S54:S64" si="106">F54*0.1</f>
        <v>0</v>
      </c>
      <c r="T54" s="810">
        <f t="shared" ref="T54:T64" si="107">F54:F54*0.15</f>
        <v>0</v>
      </c>
      <c r="U54" s="810">
        <f t="shared" ref="U54:U64" si="108">F54*0.4</f>
        <v>0</v>
      </c>
      <c r="V54" s="811">
        <f t="shared" ref="V54:V61" si="109">R54*E54</f>
        <v>0</v>
      </c>
      <c r="W54" s="811">
        <f t="shared" ref="W54:W64" si="110">S54*E54</f>
        <v>0</v>
      </c>
      <c r="X54" s="811">
        <f t="shared" ref="X54:X64" si="111">T54*E54</f>
        <v>0</v>
      </c>
      <c r="Y54" s="811">
        <f t="shared" ref="Y54:Y64" si="112">U54*E54</f>
        <v>0</v>
      </c>
      <c r="Z54" s="770">
        <v>0</v>
      </c>
      <c r="AA54" s="668">
        <f>Z54*E54</f>
        <v>0</v>
      </c>
      <c r="AB54" s="770"/>
      <c r="AC54" s="668">
        <f t="shared" si="86"/>
        <v>0</v>
      </c>
      <c r="AD54" s="770">
        <v>0</v>
      </c>
      <c r="AE54" s="668">
        <f t="shared" si="87"/>
        <v>0</v>
      </c>
      <c r="AF54" s="770">
        <v>0</v>
      </c>
      <c r="AG54" s="668">
        <f t="shared" si="88"/>
        <v>0</v>
      </c>
      <c r="AH54" s="770">
        <v>0</v>
      </c>
      <c r="AI54" s="668">
        <f t="shared" si="89"/>
        <v>0</v>
      </c>
      <c r="AJ54" s="770">
        <v>0</v>
      </c>
      <c r="AK54" s="668">
        <f>AJ54*E54</f>
        <v>0</v>
      </c>
      <c r="AL54" s="770">
        <v>0</v>
      </c>
      <c r="AM54" s="668">
        <f>AL54*E54</f>
        <v>0</v>
      </c>
      <c r="AN54" s="770">
        <v>0</v>
      </c>
      <c r="AO54" s="668">
        <f t="shared" si="90"/>
        <v>0</v>
      </c>
      <c r="AP54" s="770">
        <v>0</v>
      </c>
      <c r="AQ54" s="668">
        <f t="shared" si="91"/>
        <v>0</v>
      </c>
      <c r="AR54" s="770">
        <v>0</v>
      </c>
      <c r="AS54" s="668">
        <f t="shared" si="92"/>
        <v>0</v>
      </c>
      <c r="AT54" s="770">
        <v>0</v>
      </c>
      <c r="AU54" s="668">
        <f t="shared" si="93"/>
        <v>0</v>
      </c>
      <c r="AV54" s="770">
        <v>0</v>
      </c>
      <c r="AW54" s="668">
        <f t="shared" si="94"/>
        <v>0</v>
      </c>
      <c r="AX54" s="668">
        <v>0</v>
      </c>
      <c r="AY54" s="668">
        <f t="shared" si="95"/>
        <v>0</v>
      </c>
      <c r="AZ54" s="770">
        <v>0</v>
      </c>
      <c r="BA54" s="668">
        <f t="shared" si="96"/>
        <v>0</v>
      </c>
      <c r="BB54" s="770">
        <v>0</v>
      </c>
      <c r="BC54" s="668">
        <f>BB54*E54</f>
        <v>0</v>
      </c>
      <c r="BD54" s="770">
        <v>0</v>
      </c>
      <c r="BE54" s="668">
        <f>BD54*E54</f>
        <v>0</v>
      </c>
      <c r="BF54" s="770">
        <v>0</v>
      </c>
      <c r="BG54" s="668">
        <f t="shared" si="97"/>
        <v>0</v>
      </c>
      <c r="BH54" s="770"/>
      <c r="BI54" s="668">
        <f t="shared" si="98"/>
        <v>0</v>
      </c>
      <c r="BJ54" s="770">
        <f t="shared" si="99"/>
        <v>0</v>
      </c>
      <c r="BK54" s="770">
        <f t="shared" si="100"/>
        <v>0</v>
      </c>
      <c r="BL54" s="812" t="s">
        <v>288</v>
      </c>
      <c r="BM54" s="813"/>
      <c r="BN54" s="808">
        <f t="shared" si="101"/>
        <v>0</v>
      </c>
      <c r="BO54" s="794"/>
      <c r="BP54" s="794"/>
      <c r="BQ54" s="794"/>
      <c r="BR54" s="789">
        <f t="shared" si="102"/>
        <v>0</v>
      </c>
      <c r="BS54" s="794"/>
      <c r="BT54" s="794"/>
      <c r="BU54" s="789"/>
      <c r="BV54" s="814">
        <f t="shared" si="103"/>
        <v>0</v>
      </c>
    </row>
    <row r="55" spans="1:74" s="699" customFormat="1">
      <c r="A55" s="904"/>
      <c r="B55" s="677"/>
      <c r="C55" s="678" t="s">
        <v>604</v>
      </c>
      <c r="D55" s="678" t="s">
        <v>248</v>
      </c>
      <c r="E55" s="679">
        <v>150000</v>
      </c>
      <c r="F55" s="680">
        <f t="shared" si="104"/>
        <v>9</v>
      </c>
      <c r="G55" s="681">
        <f>BK55</f>
        <v>1350000</v>
      </c>
      <c r="H55" s="681"/>
      <c r="I55" s="681"/>
      <c r="J55" s="682"/>
      <c r="K55" s="682"/>
      <c r="L55" s="682"/>
      <c r="M55" s="682">
        <f>G55</f>
        <v>1350000</v>
      </c>
      <c r="N55" s="681"/>
      <c r="O55" s="681"/>
      <c r="P55" s="681"/>
      <c r="Q55" s="681"/>
      <c r="R55" s="683"/>
      <c r="S55" s="683">
        <f t="shared" si="106"/>
        <v>0.9</v>
      </c>
      <c r="T55" s="683">
        <f t="shared" si="107"/>
        <v>1.3499999999999999</v>
      </c>
      <c r="U55" s="683">
        <f t="shared" si="108"/>
        <v>3.6</v>
      </c>
      <c r="V55" s="684">
        <f>G55*0</f>
        <v>0</v>
      </c>
      <c r="W55" s="684">
        <f>G55:G55*0.5</f>
        <v>675000</v>
      </c>
      <c r="X55" s="684">
        <f>G55*0.25</f>
        <v>337500</v>
      </c>
      <c r="Y55" s="684">
        <f>G55*0.25</f>
        <v>337500</v>
      </c>
      <c r="Z55" s="688">
        <v>0</v>
      </c>
      <c r="AA55" s="685">
        <f>Z55*E55</f>
        <v>0</v>
      </c>
      <c r="AB55" s="688">
        <v>1</v>
      </c>
      <c r="AC55" s="685">
        <f t="shared" si="86"/>
        <v>150000</v>
      </c>
      <c r="AD55" s="688">
        <v>1</v>
      </c>
      <c r="AE55" s="685">
        <f t="shared" si="87"/>
        <v>150000</v>
      </c>
      <c r="AF55" s="688">
        <v>2</v>
      </c>
      <c r="AG55" s="685">
        <f t="shared" si="88"/>
        <v>300000</v>
      </c>
      <c r="AH55" s="688">
        <v>2</v>
      </c>
      <c r="AI55" s="685">
        <f>AH55*E55</f>
        <v>300000</v>
      </c>
      <c r="AJ55" s="688">
        <v>0</v>
      </c>
      <c r="AK55" s="685"/>
      <c r="AL55" s="688">
        <v>0</v>
      </c>
      <c r="AM55" s="685"/>
      <c r="AN55" s="688">
        <v>0</v>
      </c>
      <c r="AO55" s="685">
        <f t="shared" si="90"/>
        <v>0</v>
      </c>
      <c r="AP55" s="688">
        <v>0</v>
      </c>
      <c r="AQ55" s="685">
        <f t="shared" si="91"/>
        <v>0</v>
      </c>
      <c r="AR55" s="695">
        <v>0</v>
      </c>
      <c r="AS55" s="685">
        <f t="shared" si="92"/>
        <v>0</v>
      </c>
      <c r="AT55" s="688">
        <v>0</v>
      </c>
      <c r="AU55" s="685">
        <f t="shared" si="93"/>
        <v>0</v>
      </c>
      <c r="AV55" s="688">
        <v>1</v>
      </c>
      <c r="AW55" s="685">
        <f t="shared" si="94"/>
        <v>150000</v>
      </c>
      <c r="AX55" s="687">
        <v>0</v>
      </c>
      <c r="AY55" s="685">
        <f t="shared" si="95"/>
        <v>0</v>
      </c>
      <c r="AZ55" s="688">
        <v>2</v>
      </c>
      <c r="BA55" s="685">
        <f t="shared" si="96"/>
        <v>300000</v>
      </c>
      <c r="BB55" s="688">
        <v>0</v>
      </c>
      <c r="BC55" s="685">
        <f>BB55*E55</f>
        <v>0</v>
      </c>
      <c r="BD55" s="688">
        <v>0</v>
      </c>
      <c r="BE55" s="685">
        <f>BD55*E55</f>
        <v>0</v>
      </c>
      <c r="BF55" s="688">
        <v>0</v>
      </c>
      <c r="BG55" s="685">
        <f t="shared" si="97"/>
        <v>0</v>
      </c>
      <c r="BH55" s="688"/>
      <c r="BI55" s="685">
        <f t="shared" si="98"/>
        <v>0</v>
      </c>
      <c r="BJ55" s="688">
        <f>BH55+BF55+BD55+BB55+AZ55+AX55+AV55+AT55+AR55+AP55+AN55+AL55+AJ55+AH55+AF55+AD55+AB55+Z55</f>
        <v>9</v>
      </c>
      <c r="BK55" s="688">
        <f>BI55+BG55+BE55+BC55+BA55+AY55+AW55+AU55+AS55+AQ55+AO55+AM55+AK55+AI55+AG55+AE55+AC55+AA55</f>
        <v>1350000</v>
      </c>
      <c r="BL55" s="689" t="s">
        <v>288</v>
      </c>
      <c r="BM55" s="690"/>
      <c r="BN55" s="681">
        <f t="shared" si="101"/>
        <v>1350000</v>
      </c>
      <c r="BO55" s="698"/>
      <c r="BP55" s="698"/>
      <c r="BQ55" s="698"/>
      <c r="BR55" s="691">
        <f t="shared" si="102"/>
        <v>1350000</v>
      </c>
      <c r="BS55" s="698"/>
      <c r="BT55" s="698"/>
      <c r="BU55" s="691"/>
      <c r="BV55" s="692">
        <f t="shared" si="103"/>
        <v>1350000</v>
      </c>
    </row>
    <row r="56" spans="1:74" s="757" customFormat="1" ht="36" customHeight="1">
      <c r="A56" s="904"/>
      <c r="B56" s="807"/>
      <c r="C56" s="728" t="s">
        <v>989</v>
      </c>
      <c r="D56" s="728" t="s">
        <v>248</v>
      </c>
      <c r="E56" s="715">
        <v>600000</v>
      </c>
      <c r="F56" s="756">
        <f t="shared" si="104"/>
        <v>15</v>
      </c>
      <c r="G56" s="808">
        <f>BK56</f>
        <v>8750000</v>
      </c>
      <c r="H56" s="808"/>
      <c r="I56" s="808"/>
      <c r="J56" s="809"/>
      <c r="K56" s="809"/>
      <c r="L56" s="809">
        <f>G56</f>
        <v>8750000</v>
      </c>
      <c r="M56" s="809"/>
      <c r="N56" s="808"/>
      <c r="O56" s="808"/>
      <c r="P56" s="808"/>
      <c r="Q56" s="808"/>
      <c r="R56" s="810">
        <f t="shared" ref="R56:R64" si="113">F56*0.35</f>
        <v>5.25</v>
      </c>
      <c r="S56" s="810">
        <f t="shared" si="106"/>
        <v>1.5</v>
      </c>
      <c r="T56" s="810">
        <f t="shared" si="107"/>
        <v>2.25</v>
      </c>
      <c r="U56" s="810">
        <f t="shared" si="108"/>
        <v>6</v>
      </c>
      <c r="V56" s="811">
        <f t="shared" si="109"/>
        <v>3150000</v>
      </c>
      <c r="W56" s="811">
        <f t="shared" si="110"/>
        <v>900000</v>
      </c>
      <c r="X56" s="811">
        <f t="shared" si="111"/>
        <v>1350000</v>
      </c>
      <c r="Y56" s="811">
        <f t="shared" si="112"/>
        <v>3600000</v>
      </c>
      <c r="Z56" s="770">
        <v>1</v>
      </c>
      <c r="AA56" s="668">
        <f t="shared" ref="AA56:AA76" si="114">Z56*E56</f>
        <v>600000</v>
      </c>
      <c r="AB56" s="770">
        <v>0</v>
      </c>
      <c r="AC56" s="668">
        <f t="shared" si="86"/>
        <v>0</v>
      </c>
      <c r="AD56" s="770">
        <v>1</v>
      </c>
      <c r="AE56" s="668">
        <f t="shared" si="87"/>
        <v>600000</v>
      </c>
      <c r="AF56" s="770">
        <v>1</v>
      </c>
      <c r="AG56" s="668">
        <f t="shared" si="88"/>
        <v>600000</v>
      </c>
      <c r="AH56" s="770">
        <v>1</v>
      </c>
      <c r="AI56" s="668">
        <f t="shared" si="89"/>
        <v>600000</v>
      </c>
      <c r="AJ56" s="770">
        <v>1</v>
      </c>
      <c r="AK56" s="668">
        <f t="shared" ref="AK56:AK76" si="115">AJ56*E56</f>
        <v>600000</v>
      </c>
      <c r="AL56" s="770">
        <v>0</v>
      </c>
      <c r="AM56" s="668">
        <f t="shared" ref="AM56:AM76" si="116">AL56*E56</f>
        <v>0</v>
      </c>
      <c r="AN56" s="770">
        <v>1</v>
      </c>
      <c r="AO56" s="668">
        <f t="shared" si="90"/>
        <v>600000</v>
      </c>
      <c r="AP56" s="770">
        <v>1</v>
      </c>
      <c r="AQ56" s="668">
        <f t="shared" si="91"/>
        <v>600000</v>
      </c>
      <c r="AR56" s="770">
        <v>1</v>
      </c>
      <c r="AS56" s="668">
        <f t="shared" si="92"/>
        <v>600000</v>
      </c>
      <c r="AT56" s="770">
        <v>1</v>
      </c>
      <c r="AU56" s="668">
        <f t="shared" si="93"/>
        <v>600000</v>
      </c>
      <c r="AV56" s="770">
        <v>1</v>
      </c>
      <c r="AW56" s="668">
        <v>350000</v>
      </c>
      <c r="AX56" s="668">
        <v>1</v>
      </c>
      <c r="AY56" s="668">
        <f t="shared" si="95"/>
        <v>600000</v>
      </c>
      <c r="AZ56" s="770">
        <v>1</v>
      </c>
      <c r="BA56" s="668">
        <f t="shared" si="96"/>
        <v>600000</v>
      </c>
      <c r="BB56" s="770">
        <v>1</v>
      </c>
      <c r="BC56" s="668">
        <f t="shared" ref="BC56:BC73" si="117">BB56*E56</f>
        <v>600000</v>
      </c>
      <c r="BD56" s="770">
        <v>1</v>
      </c>
      <c r="BE56" s="668">
        <f t="shared" ref="BE56:BE65" si="118">BD56*E56</f>
        <v>600000</v>
      </c>
      <c r="BF56" s="770">
        <v>1</v>
      </c>
      <c r="BG56" s="668">
        <f t="shared" si="97"/>
        <v>600000</v>
      </c>
      <c r="BH56" s="770">
        <v>0</v>
      </c>
      <c r="BI56" s="668">
        <f t="shared" si="98"/>
        <v>0</v>
      </c>
      <c r="BJ56" s="770">
        <f t="shared" si="99"/>
        <v>15</v>
      </c>
      <c r="BK56" s="770">
        <f t="shared" si="100"/>
        <v>8750000</v>
      </c>
      <c r="BL56" s="812" t="s">
        <v>551</v>
      </c>
      <c r="BM56" s="813"/>
      <c r="BN56" s="808">
        <f t="shared" si="101"/>
        <v>8750000</v>
      </c>
      <c r="BO56" s="794"/>
      <c r="BP56" s="794"/>
      <c r="BQ56" s="794"/>
      <c r="BR56" s="789">
        <f t="shared" si="102"/>
        <v>8750000</v>
      </c>
      <c r="BS56" s="794"/>
      <c r="BT56" s="794"/>
      <c r="BU56" s="789"/>
      <c r="BV56" s="814">
        <f t="shared" si="103"/>
        <v>8750000</v>
      </c>
    </row>
    <row r="57" spans="1:74" s="757" customFormat="1" ht="36.75" customHeight="1">
      <c r="A57" s="904"/>
      <c r="B57" s="807"/>
      <c r="C57" s="728" t="s">
        <v>990</v>
      </c>
      <c r="D57" s="728" t="s">
        <v>248</v>
      </c>
      <c r="E57" s="715">
        <v>600000</v>
      </c>
      <c r="F57" s="756">
        <f t="shared" si="104"/>
        <v>97</v>
      </c>
      <c r="G57" s="808">
        <f>BK57</f>
        <v>58150000</v>
      </c>
      <c r="H57" s="808"/>
      <c r="I57" s="808"/>
      <c r="J57" s="809"/>
      <c r="K57" s="809"/>
      <c r="L57" s="809">
        <f>G57</f>
        <v>58150000</v>
      </c>
      <c r="M57" s="809"/>
      <c r="N57" s="808"/>
      <c r="O57" s="808"/>
      <c r="P57" s="808"/>
      <c r="Q57" s="808"/>
      <c r="R57" s="810"/>
      <c r="S57" s="810"/>
      <c r="T57" s="810"/>
      <c r="U57" s="810"/>
      <c r="V57" s="811"/>
      <c r="W57" s="811"/>
      <c r="X57" s="811"/>
      <c r="Y57" s="811"/>
      <c r="Z57" s="770">
        <v>8</v>
      </c>
      <c r="AA57" s="668">
        <f t="shared" si="114"/>
        <v>4800000</v>
      </c>
      <c r="AB57" s="770">
        <v>4</v>
      </c>
      <c r="AC57" s="668">
        <f>AB57*E57</f>
        <v>2400000</v>
      </c>
      <c r="AD57" s="770">
        <v>7</v>
      </c>
      <c r="AE57" s="668">
        <f t="shared" si="87"/>
        <v>4200000</v>
      </c>
      <c r="AF57" s="770">
        <v>6</v>
      </c>
      <c r="AG57" s="668">
        <f t="shared" si="88"/>
        <v>3600000</v>
      </c>
      <c r="AH57" s="770">
        <v>4</v>
      </c>
      <c r="AI57" s="668">
        <f t="shared" si="89"/>
        <v>2400000</v>
      </c>
      <c r="AJ57" s="770">
        <v>6</v>
      </c>
      <c r="AK57" s="668">
        <f t="shared" si="115"/>
        <v>3600000</v>
      </c>
      <c r="AL57" s="770">
        <v>4</v>
      </c>
      <c r="AM57" s="668">
        <f t="shared" si="116"/>
        <v>2400000</v>
      </c>
      <c r="AN57" s="770">
        <v>4</v>
      </c>
      <c r="AO57" s="668">
        <f t="shared" si="90"/>
        <v>2400000</v>
      </c>
      <c r="AP57" s="770">
        <v>4</v>
      </c>
      <c r="AQ57" s="668">
        <f>AP57*E57-50000</f>
        <v>2350000</v>
      </c>
      <c r="AR57" s="770">
        <v>8</v>
      </c>
      <c r="AS57" s="668">
        <f t="shared" si="92"/>
        <v>4800000</v>
      </c>
      <c r="AT57" s="770">
        <v>7</v>
      </c>
      <c r="AU57" s="668">
        <f t="shared" si="93"/>
        <v>4200000</v>
      </c>
      <c r="AV57" s="770">
        <v>5</v>
      </c>
      <c r="AW57" s="668">
        <f t="shared" si="94"/>
        <v>3000000</v>
      </c>
      <c r="AX57" s="668">
        <v>4</v>
      </c>
      <c r="AY57" s="668">
        <f t="shared" si="95"/>
        <v>2400000</v>
      </c>
      <c r="AZ57" s="770">
        <v>5</v>
      </c>
      <c r="BA57" s="668">
        <f t="shared" si="96"/>
        <v>3000000</v>
      </c>
      <c r="BB57" s="770">
        <v>7</v>
      </c>
      <c r="BC57" s="668">
        <f t="shared" si="117"/>
        <v>4200000</v>
      </c>
      <c r="BD57" s="770">
        <v>4</v>
      </c>
      <c r="BE57" s="668">
        <f t="shared" si="118"/>
        <v>2400000</v>
      </c>
      <c r="BF57" s="770">
        <v>10</v>
      </c>
      <c r="BG57" s="668">
        <f t="shared" si="97"/>
        <v>6000000</v>
      </c>
      <c r="BH57" s="770">
        <v>0</v>
      </c>
      <c r="BI57" s="668">
        <f t="shared" si="98"/>
        <v>0</v>
      </c>
      <c r="BJ57" s="770">
        <f t="shared" si="99"/>
        <v>97</v>
      </c>
      <c r="BK57" s="770">
        <f t="shared" si="100"/>
        <v>58150000</v>
      </c>
      <c r="BL57" s="812" t="s">
        <v>551</v>
      </c>
      <c r="BM57" s="813"/>
      <c r="BN57" s="808"/>
      <c r="BO57" s="794"/>
      <c r="BP57" s="794"/>
      <c r="BQ57" s="794"/>
      <c r="BR57" s="789"/>
      <c r="BS57" s="794"/>
      <c r="BT57" s="794"/>
      <c r="BU57" s="789"/>
      <c r="BV57" s="814"/>
    </row>
    <row r="58" spans="1:74" s="699" customFormat="1">
      <c r="A58" s="904"/>
      <c r="B58" s="677"/>
      <c r="C58" s="678" t="s">
        <v>601</v>
      </c>
      <c r="D58" s="678" t="s">
        <v>283</v>
      </c>
      <c r="E58" s="679">
        <v>1000</v>
      </c>
      <c r="F58" s="680">
        <f t="shared" si="104"/>
        <v>9250</v>
      </c>
      <c r="G58" s="680">
        <f t="shared" si="104"/>
        <v>6250000</v>
      </c>
      <c r="H58" s="681"/>
      <c r="I58" s="681"/>
      <c r="J58" s="682"/>
      <c r="K58" s="682"/>
      <c r="L58" s="682"/>
      <c r="M58" s="682">
        <f>G58</f>
        <v>6250000</v>
      </c>
      <c r="N58" s="681"/>
      <c r="O58" s="681"/>
      <c r="P58" s="681"/>
      <c r="Q58" s="681"/>
      <c r="R58" s="683">
        <f t="shared" si="113"/>
        <v>3237.5</v>
      </c>
      <c r="S58" s="683">
        <f t="shared" si="106"/>
        <v>925</v>
      </c>
      <c r="T58" s="683">
        <f t="shared" si="107"/>
        <v>1387.5</v>
      </c>
      <c r="U58" s="683">
        <f t="shared" si="108"/>
        <v>3700</v>
      </c>
      <c r="V58" s="684">
        <f t="shared" si="109"/>
        <v>3237500</v>
      </c>
      <c r="W58" s="684">
        <f t="shared" si="110"/>
        <v>925000</v>
      </c>
      <c r="X58" s="684">
        <f t="shared" si="111"/>
        <v>1387500</v>
      </c>
      <c r="Y58" s="684">
        <f t="shared" si="112"/>
        <v>3700000</v>
      </c>
      <c r="Z58" s="688"/>
      <c r="AA58" s="685">
        <f t="shared" si="114"/>
        <v>0</v>
      </c>
      <c r="AB58" s="688">
        <v>3000</v>
      </c>
      <c r="AC58" s="685">
        <f>AB58*E58-2000000</f>
        <v>1000000</v>
      </c>
      <c r="AD58" s="688">
        <v>1000</v>
      </c>
      <c r="AE58" s="685">
        <f>AD58*E58-500000</f>
        <v>500000</v>
      </c>
      <c r="AF58" s="688">
        <v>100</v>
      </c>
      <c r="AG58" s="685">
        <f t="shared" si="88"/>
        <v>100000</v>
      </c>
      <c r="AH58" s="688">
        <v>2100</v>
      </c>
      <c r="AI58" s="685">
        <f>AH58*E58-500000</f>
        <v>1600000</v>
      </c>
      <c r="AJ58" s="688">
        <v>700</v>
      </c>
      <c r="AK58" s="685">
        <f t="shared" si="115"/>
        <v>700000</v>
      </c>
      <c r="AL58" s="695">
        <v>350</v>
      </c>
      <c r="AM58" s="685">
        <f t="shared" si="116"/>
        <v>350000</v>
      </c>
      <c r="AN58" s="688">
        <v>200</v>
      </c>
      <c r="AO58" s="685">
        <f t="shared" si="90"/>
        <v>200000</v>
      </c>
      <c r="AP58" s="688"/>
      <c r="AQ58" s="685">
        <f t="shared" si="91"/>
        <v>0</v>
      </c>
      <c r="AR58" s="695">
        <v>0</v>
      </c>
      <c r="AS58" s="685">
        <f t="shared" si="92"/>
        <v>0</v>
      </c>
      <c r="AT58" s="688">
        <v>0</v>
      </c>
      <c r="AU58" s="685">
        <f t="shared" si="93"/>
        <v>0</v>
      </c>
      <c r="AV58" s="688">
        <v>1200</v>
      </c>
      <c r="AW58" s="685">
        <f t="shared" si="94"/>
        <v>1200000</v>
      </c>
      <c r="AX58" s="685">
        <v>0</v>
      </c>
      <c r="AY58" s="685">
        <f t="shared" si="95"/>
        <v>0</v>
      </c>
      <c r="AZ58" s="688">
        <v>0</v>
      </c>
      <c r="BA58" s="685">
        <f t="shared" si="96"/>
        <v>0</v>
      </c>
      <c r="BB58" s="688">
        <v>200</v>
      </c>
      <c r="BC58" s="685">
        <f t="shared" si="117"/>
        <v>200000</v>
      </c>
      <c r="BD58" s="688">
        <v>400</v>
      </c>
      <c r="BE58" s="685">
        <f t="shared" si="118"/>
        <v>400000</v>
      </c>
      <c r="BF58" s="688">
        <v>0</v>
      </c>
      <c r="BG58" s="685">
        <f t="shared" si="97"/>
        <v>0</v>
      </c>
      <c r="BH58" s="688"/>
      <c r="BI58" s="685">
        <f t="shared" si="98"/>
        <v>0</v>
      </c>
      <c r="BJ58" s="688">
        <f t="shared" si="99"/>
        <v>9250</v>
      </c>
      <c r="BK58" s="688">
        <f t="shared" si="100"/>
        <v>6250000</v>
      </c>
      <c r="BL58" s="689" t="s">
        <v>288</v>
      </c>
      <c r="BM58" s="690"/>
      <c r="BN58" s="681">
        <f t="shared" si="101"/>
        <v>6250000</v>
      </c>
      <c r="BO58" s="698"/>
      <c r="BP58" s="698"/>
      <c r="BQ58" s="698"/>
      <c r="BR58" s="691">
        <f t="shared" si="102"/>
        <v>6250000</v>
      </c>
      <c r="BS58" s="698"/>
      <c r="BT58" s="698"/>
      <c r="BU58" s="691"/>
      <c r="BV58" s="692">
        <f t="shared" si="103"/>
        <v>6250000</v>
      </c>
    </row>
    <row r="59" spans="1:74" s="23" customFormat="1" ht="47.25">
      <c r="A59" s="904"/>
      <c r="B59" s="191"/>
      <c r="C59" s="196" t="s">
        <v>817</v>
      </c>
      <c r="D59" s="196" t="s">
        <v>248</v>
      </c>
      <c r="E59" s="229">
        <v>250000</v>
      </c>
      <c r="F59" s="206">
        <f t="shared" si="104"/>
        <v>0</v>
      </c>
      <c r="G59" s="207">
        <f t="shared" si="105"/>
        <v>0</v>
      </c>
      <c r="H59" s="207"/>
      <c r="I59" s="207"/>
      <c r="J59" s="208">
        <f>G59</f>
        <v>0</v>
      </c>
      <c r="K59" s="208"/>
      <c r="L59" s="208">
        <f>I59</f>
        <v>0</v>
      </c>
      <c r="M59" s="208"/>
      <c r="N59" s="207"/>
      <c r="O59" s="207"/>
      <c r="P59" s="207"/>
      <c r="Q59" s="207"/>
      <c r="R59" s="212">
        <f t="shared" si="113"/>
        <v>0</v>
      </c>
      <c r="S59" s="212">
        <f t="shared" si="106"/>
        <v>0</v>
      </c>
      <c r="T59" s="212">
        <f t="shared" si="107"/>
        <v>0</v>
      </c>
      <c r="U59" s="212">
        <f t="shared" si="108"/>
        <v>0</v>
      </c>
      <c r="V59" s="211">
        <f t="shared" si="109"/>
        <v>0</v>
      </c>
      <c r="W59" s="211">
        <f t="shared" si="110"/>
        <v>0</v>
      </c>
      <c r="X59" s="211">
        <f t="shared" si="111"/>
        <v>0</v>
      </c>
      <c r="Y59" s="211">
        <f t="shared" si="112"/>
        <v>0</v>
      </c>
      <c r="Z59" s="180">
        <v>0</v>
      </c>
      <c r="AA59" s="202">
        <f t="shared" si="114"/>
        <v>0</v>
      </c>
      <c r="AB59" s="180">
        <v>0</v>
      </c>
      <c r="AC59" s="202">
        <f t="shared" si="86"/>
        <v>0</v>
      </c>
      <c r="AD59" s="180">
        <v>0</v>
      </c>
      <c r="AE59" s="202">
        <f t="shared" si="87"/>
        <v>0</v>
      </c>
      <c r="AF59" s="180">
        <v>0</v>
      </c>
      <c r="AG59" s="202">
        <f t="shared" si="88"/>
        <v>0</v>
      </c>
      <c r="AH59" s="180">
        <v>0</v>
      </c>
      <c r="AI59" s="202">
        <f t="shared" si="89"/>
        <v>0</v>
      </c>
      <c r="AJ59" s="180">
        <v>0</v>
      </c>
      <c r="AK59" s="202">
        <f t="shared" si="115"/>
        <v>0</v>
      </c>
      <c r="AL59" s="180">
        <v>0</v>
      </c>
      <c r="AM59" s="202">
        <f t="shared" si="116"/>
        <v>0</v>
      </c>
      <c r="AN59" s="180">
        <v>0</v>
      </c>
      <c r="AO59" s="202">
        <f t="shared" si="90"/>
        <v>0</v>
      </c>
      <c r="AP59" s="180">
        <v>0</v>
      </c>
      <c r="AQ59" s="202">
        <f t="shared" si="91"/>
        <v>0</v>
      </c>
      <c r="AR59" s="180">
        <v>0</v>
      </c>
      <c r="AS59" s="202">
        <f t="shared" si="92"/>
        <v>0</v>
      </c>
      <c r="AT59" s="180">
        <v>0</v>
      </c>
      <c r="AU59" s="202">
        <f t="shared" si="93"/>
        <v>0</v>
      </c>
      <c r="AV59" s="180">
        <v>0</v>
      </c>
      <c r="AW59" s="202">
        <f t="shared" si="94"/>
        <v>0</v>
      </c>
      <c r="AX59" s="202">
        <v>0</v>
      </c>
      <c r="AY59" s="202">
        <f t="shared" si="95"/>
        <v>0</v>
      </c>
      <c r="AZ59" s="180">
        <v>0</v>
      </c>
      <c r="BA59" s="202">
        <f t="shared" si="96"/>
        <v>0</v>
      </c>
      <c r="BB59" s="180">
        <v>0</v>
      </c>
      <c r="BC59" s="202">
        <f t="shared" si="117"/>
        <v>0</v>
      </c>
      <c r="BD59" s="180">
        <v>0</v>
      </c>
      <c r="BE59" s="202">
        <f t="shared" si="118"/>
        <v>0</v>
      </c>
      <c r="BF59" s="180">
        <v>0</v>
      </c>
      <c r="BG59" s="202">
        <f t="shared" si="97"/>
        <v>0</v>
      </c>
      <c r="BH59" s="180"/>
      <c r="BI59" s="202">
        <f t="shared" si="98"/>
        <v>0</v>
      </c>
      <c r="BJ59" s="180">
        <f t="shared" si="99"/>
        <v>0</v>
      </c>
      <c r="BK59" s="180">
        <f t="shared" si="100"/>
        <v>0</v>
      </c>
      <c r="BL59" s="642" t="s">
        <v>816</v>
      </c>
      <c r="BM59" s="219"/>
      <c r="BN59" s="207">
        <f t="shared" si="101"/>
        <v>0</v>
      </c>
      <c r="BO59" s="174"/>
      <c r="BP59" s="174"/>
      <c r="BQ59" s="174"/>
      <c r="BR59" s="163">
        <f t="shared" si="102"/>
        <v>0</v>
      </c>
      <c r="BS59" s="174"/>
      <c r="BT59" s="174"/>
      <c r="BU59" s="163"/>
      <c r="BV59" s="203">
        <f t="shared" si="103"/>
        <v>0</v>
      </c>
    </row>
    <row r="60" spans="1:74" s="23" customFormat="1" ht="47.85" customHeight="1">
      <c r="A60" s="904"/>
      <c r="B60" s="191"/>
      <c r="C60" s="196" t="s">
        <v>735</v>
      </c>
      <c r="D60" s="196" t="s">
        <v>248</v>
      </c>
      <c r="E60" s="229">
        <v>350000</v>
      </c>
      <c r="F60" s="206">
        <f t="shared" si="104"/>
        <v>0</v>
      </c>
      <c r="G60" s="207">
        <f t="shared" si="105"/>
        <v>0</v>
      </c>
      <c r="H60" s="207"/>
      <c r="I60" s="207"/>
      <c r="J60" s="208">
        <f>G60</f>
        <v>0</v>
      </c>
      <c r="K60" s="208"/>
      <c r="L60" s="208"/>
      <c r="M60" s="208"/>
      <c r="N60" s="207"/>
      <c r="O60" s="207"/>
      <c r="P60" s="207"/>
      <c r="Q60" s="207"/>
      <c r="R60" s="212">
        <f t="shared" si="113"/>
        <v>0</v>
      </c>
      <c r="S60" s="212">
        <f t="shared" si="106"/>
        <v>0</v>
      </c>
      <c r="T60" s="212">
        <f t="shared" si="107"/>
        <v>0</v>
      </c>
      <c r="U60" s="212">
        <f t="shared" si="108"/>
        <v>0</v>
      </c>
      <c r="V60" s="211">
        <f t="shared" si="109"/>
        <v>0</v>
      </c>
      <c r="W60" s="211">
        <f t="shared" si="110"/>
        <v>0</v>
      </c>
      <c r="X60" s="211">
        <f t="shared" si="111"/>
        <v>0</v>
      </c>
      <c r="Y60" s="211">
        <f t="shared" si="112"/>
        <v>0</v>
      </c>
      <c r="Z60" s="180">
        <v>0</v>
      </c>
      <c r="AA60" s="202">
        <f t="shared" si="114"/>
        <v>0</v>
      </c>
      <c r="AB60" s="180">
        <v>0</v>
      </c>
      <c r="AC60" s="202">
        <f t="shared" si="86"/>
        <v>0</v>
      </c>
      <c r="AD60" s="180">
        <v>0</v>
      </c>
      <c r="AE60" s="202">
        <f t="shared" si="87"/>
        <v>0</v>
      </c>
      <c r="AF60" s="180">
        <v>0</v>
      </c>
      <c r="AG60" s="202">
        <f t="shared" si="88"/>
        <v>0</v>
      </c>
      <c r="AH60" s="180">
        <v>0</v>
      </c>
      <c r="AI60" s="202">
        <f t="shared" si="89"/>
        <v>0</v>
      </c>
      <c r="AJ60" s="180">
        <v>0</v>
      </c>
      <c r="AK60" s="202">
        <f t="shared" si="115"/>
        <v>0</v>
      </c>
      <c r="AL60" s="180">
        <v>0</v>
      </c>
      <c r="AM60" s="202">
        <f t="shared" si="116"/>
        <v>0</v>
      </c>
      <c r="AN60" s="180">
        <v>0</v>
      </c>
      <c r="AO60" s="202">
        <f t="shared" si="90"/>
        <v>0</v>
      </c>
      <c r="AP60" s="180">
        <v>0</v>
      </c>
      <c r="AQ60" s="202">
        <f t="shared" si="91"/>
        <v>0</v>
      </c>
      <c r="AR60" s="180">
        <v>0</v>
      </c>
      <c r="AS60" s="202">
        <f t="shared" si="92"/>
        <v>0</v>
      </c>
      <c r="AT60" s="180">
        <v>0</v>
      </c>
      <c r="AU60" s="202">
        <f t="shared" si="93"/>
        <v>0</v>
      </c>
      <c r="AV60" s="180">
        <v>0</v>
      </c>
      <c r="AW60" s="202">
        <f t="shared" si="94"/>
        <v>0</v>
      </c>
      <c r="AX60" s="202">
        <v>0</v>
      </c>
      <c r="AY60" s="202">
        <f t="shared" si="95"/>
        <v>0</v>
      </c>
      <c r="AZ60" s="180">
        <v>0</v>
      </c>
      <c r="BA60" s="202">
        <f t="shared" si="96"/>
        <v>0</v>
      </c>
      <c r="BB60" s="180">
        <v>0</v>
      </c>
      <c r="BC60" s="202">
        <f t="shared" si="117"/>
        <v>0</v>
      </c>
      <c r="BD60" s="180">
        <v>0</v>
      </c>
      <c r="BE60" s="202">
        <f t="shared" si="118"/>
        <v>0</v>
      </c>
      <c r="BF60" s="180">
        <v>0</v>
      </c>
      <c r="BG60" s="202">
        <f t="shared" si="97"/>
        <v>0</v>
      </c>
      <c r="BH60" s="180"/>
      <c r="BI60" s="202">
        <f t="shared" si="98"/>
        <v>0</v>
      </c>
      <c r="BJ60" s="180">
        <f t="shared" si="99"/>
        <v>0</v>
      </c>
      <c r="BK60" s="180">
        <f t="shared" si="100"/>
        <v>0</v>
      </c>
      <c r="BL60" s="642" t="s">
        <v>562</v>
      </c>
      <c r="BM60" s="219"/>
      <c r="BN60" s="207">
        <f t="shared" si="101"/>
        <v>0</v>
      </c>
      <c r="BO60" s="174"/>
      <c r="BP60" s="174"/>
      <c r="BQ60" s="174"/>
      <c r="BR60" s="163">
        <f t="shared" si="102"/>
        <v>0</v>
      </c>
      <c r="BS60" s="174"/>
      <c r="BT60" s="174"/>
      <c r="BU60" s="163"/>
      <c r="BV60" s="203">
        <f t="shared" si="103"/>
        <v>0</v>
      </c>
    </row>
    <row r="61" spans="1:74" s="23" customFormat="1" ht="47.85" customHeight="1">
      <c r="A61" s="904"/>
      <c r="B61" s="191"/>
      <c r="C61" s="196" t="s">
        <v>923</v>
      </c>
      <c r="D61" s="196" t="s">
        <v>248</v>
      </c>
      <c r="E61" s="229">
        <v>500000</v>
      </c>
      <c r="F61" s="206">
        <f t="shared" si="104"/>
        <v>0</v>
      </c>
      <c r="G61" s="207">
        <f t="shared" si="105"/>
        <v>0</v>
      </c>
      <c r="H61" s="207"/>
      <c r="I61" s="207"/>
      <c r="J61" s="208">
        <f>G61</f>
        <v>0</v>
      </c>
      <c r="K61" s="208"/>
      <c r="L61" s="208"/>
      <c r="M61" s="208"/>
      <c r="N61" s="207"/>
      <c r="O61" s="207"/>
      <c r="P61" s="207"/>
      <c r="Q61" s="207"/>
      <c r="R61" s="212">
        <f t="shared" si="113"/>
        <v>0</v>
      </c>
      <c r="S61" s="212">
        <f t="shared" si="106"/>
        <v>0</v>
      </c>
      <c r="T61" s="212">
        <f t="shared" si="107"/>
        <v>0</v>
      </c>
      <c r="U61" s="212">
        <f t="shared" si="108"/>
        <v>0</v>
      </c>
      <c r="V61" s="211">
        <f t="shared" si="109"/>
        <v>0</v>
      </c>
      <c r="W61" s="211">
        <f t="shared" si="110"/>
        <v>0</v>
      </c>
      <c r="X61" s="211">
        <f t="shared" si="111"/>
        <v>0</v>
      </c>
      <c r="Y61" s="211">
        <f t="shared" si="112"/>
        <v>0</v>
      </c>
      <c r="Z61" s="180">
        <v>0</v>
      </c>
      <c r="AA61" s="202">
        <f t="shared" si="114"/>
        <v>0</v>
      </c>
      <c r="AB61" s="180">
        <v>0</v>
      </c>
      <c r="AC61" s="202">
        <f t="shared" si="86"/>
        <v>0</v>
      </c>
      <c r="AD61" s="180">
        <v>0</v>
      </c>
      <c r="AE61" s="202">
        <f t="shared" si="87"/>
        <v>0</v>
      </c>
      <c r="AF61" s="180">
        <v>0</v>
      </c>
      <c r="AG61" s="202">
        <f t="shared" si="88"/>
        <v>0</v>
      </c>
      <c r="AH61" s="180">
        <v>0</v>
      </c>
      <c r="AI61" s="202">
        <f t="shared" si="89"/>
        <v>0</v>
      </c>
      <c r="AJ61" s="180">
        <v>0</v>
      </c>
      <c r="AK61" s="202">
        <f t="shared" si="115"/>
        <v>0</v>
      </c>
      <c r="AL61" s="180">
        <v>0</v>
      </c>
      <c r="AM61" s="202">
        <f t="shared" si="116"/>
        <v>0</v>
      </c>
      <c r="AN61" s="180">
        <v>0</v>
      </c>
      <c r="AO61" s="202">
        <f t="shared" si="90"/>
        <v>0</v>
      </c>
      <c r="AP61" s="180">
        <v>0</v>
      </c>
      <c r="AQ61" s="202">
        <f t="shared" si="91"/>
        <v>0</v>
      </c>
      <c r="AR61" s="180">
        <v>0</v>
      </c>
      <c r="AS61" s="202">
        <f t="shared" si="92"/>
        <v>0</v>
      </c>
      <c r="AT61" s="180">
        <v>0</v>
      </c>
      <c r="AU61" s="202">
        <f t="shared" si="93"/>
        <v>0</v>
      </c>
      <c r="AV61" s="180">
        <v>0</v>
      </c>
      <c r="AW61" s="202">
        <f t="shared" si="94"/>
        <v>0</v>
      </c>
      <c r="AX61" s="202">
        <v>0</v>
      </c>
      <c r="AY61" s="202">
        <f t="shared" si="95"/>
        <v>0</v>
      </c>
      <c r="AZ61" s="180">
        <v>0</v>
      </c>
      <c r="BA61" s="202">
        <f t="shared" si="96"/>
        <v>0</v>
      </c>
      <c r="BB61" s="180">
        <v>0</v>
      </c>
      <c r="BC61" s="202">
        <f t="shared" si="117"/>
        <v>0</v>
      </c>
      <c r="BD61" s="180">
        <v>0</v>
      </c>
      <c r="BE61" s="202">
        <f t="shared" si="118"/>
        <v>0</v>
      </c>
      <c r="BF61" s="180">
        <v>0</v>
      </c>
      <c r="BG61" s="202">
        <f t="shared" si="97"/>
        <v>0</v>
      </c>
      <c r="BH61" s="180"/>
      <c r="BI61" s="202">
        <f t="shared" si="98"/>
        <v>0</v>
      </c>
      <c r="BJ61" s="180">
        <f t="shared" si="99"/>
        <v>0</v>
      </c>
      <c r="BK61" s="180">
        <f t="shared" si="100"/>
        <v>0</v>
      </c>
      <c r="BL61" s="642"/>
      <c r="BM61" s="219"/>
      <c r="BN61" s="207">
        <f t="shared" si="101"/>
        <v>0</v>
      </c>
      <c r="BO61" s="174"/>
      <c r="BP61" s="174"/>
      <c r="BQ61" s="174"/>
      <c r="BR61" s="163">
        <f t="shared" si="102"/>
        <v>0</v>
      </c>
      <c r="BS61" s="174"/>
      <c r="BT61" s="174"/>
      <c r="BU61" s="163"/>
      <c r="BV61" s="203">
        <f t="shared" si="103"/>
        <v>0</v>
      </c>
    </row>
    <row r="62" spans="1:74" s="23" customFormat="1">
      <c r="A62" s="904"/>
      <c r="B62" s="191"/>
      <c r="C62" s="196" t="s">
        <v>267</v>
      </c>
      <c r="D62" s="196" t="s">
        <v>248</v>
      </c>
      <c r="E62" s="229">
        <v>1750000</v>
      </c>
      <c r="F62" s="206">
        <f t="shared" si="104"/>
        <v>0</v>
      </c>
      <c r="G62" s="207">
        <f>BK62</f>
        <v>0</v>
      </c>
      <c r="H62" s="207"/>
      <c r="I62" s="207"/>
      <c r="J62" s="207"/>
      <c r="K62" s="207"/>
      <c r="L62" s="207">
        <v>0</v>
      </c>
      <c r="M62" s="207">
        <v>0</v>
      </c>
      <c r="N62" s="207"/>
      <c r="O62" s="207"/>
      <c r="P62" s="207"/>
      <c r="Q62" s="207">
        <f>G62*1</f>
        <v>0</v>
      </c>
      <c r="R62" s="212">
        <f t="shared" si="113"/>
        <v>0</v>
      </c>
      <c r="S62" s="212">
        <f t="shared" si="106"/>
        <v>0</v>
      </c>
      <c r="T62" s="212">
        <f t="shared" si="107"/>
        <v>0</v>
      </c>
      <c r="U62" s="212">
        <f t="shared" si="108"/>
        <v>0</v>
      </c>
      <c r="V62" s="211">
        <f>R62*E62</f>
        <v>0</v>
      </c>
      <c r="W62" s="211">
        <f t="shared" si="110"/>
        <v>0</v>
      </c>
      <c r="X62" s="211">
        <f t="shared" si="111"/>
        <v>0</v>
      </c>
      <c r="Y62" s="211">
        <f t="shared" si="112"/>
        <v>0</v>
      </c>
      <c r="Z62" s="180">
        <v>0</v>
      </c>
      <c r="AA62" s="211">
        <f t="shared" si="114"/>
        <v>0</v>
      </c>
      <c r="AB62" s="180">
        <v>0</v>
      </c>
      <c r="AC62" s="212">
        <f t="shared" si="86"/>
        <v>0</v>
      </c>
      <c r="AD62" s="180">
        <v>0</v>
      </c>
      <c r="AE62" s="202">
        <f t="shared" si="87"/>
        <v>0</v>
      </c>
      <c r="AF62" s="180">
        <v>0</v>
      </c>
      <c r="AG62" s="202">
        <f t="shared" si="88"/>
        <v>0</v>
      </c>
      <c r="AH62" s="180">
        <v>0</v>
      </c>
      <c r="AI62" s="202">
        <f t="shared" si="89"/>
        <v>0</v>
      </c>
      <c r="AJ62" s="180">
        <v>0</v>
      </c>
      <c r="AK62" s="202">
        <f t="shared" si="115"/>
        <v>0</v>
      </c>
      <c r="AL62" s="180">
        <v>0</v>
      </c>
      <c r="AM62" s="202">
        <f t="shared" si="116"/>
        <v>0</v>
      </c>
      <c r="AN62" s="180">
        <v>0</v>
      </c>
      <c r="AO62" s="202">
        <f t="shared" si="90"/>
        <v>0</v>
      </c>
      <c r="AP62" s="180">
        <v>0</v>
      </c>
      <c r="AQ62" s="202">
        <f t="shared" si="91"/>
        <v>0</v>
      </c>
      <c r="AR62" s="180">
        <v>0</v>
      </c>
      <c r="AS62" s="202">
        <f t="shared" si="92"/>
        <v>0</v>
      </c>
      <c r="AT62" s="180">
        <v>0</v>
      </c>
      <c r="AU62" s="202">
        <f t="shared" si="93"/>
        <v>0</v>
      </c>
      <c r="AV62" s="180">
        <v>0</v>
      </c>
      <c r="AW62" s="202">
        <f t="shared" si="94"/>
        <v>0</v>
      </c>
      <c r="AX62" s="202">
        <v>0</v>
      </c>
      <c r="AY62" s="202">
        <f t="shared" si="95"/>
        <v>0</v>
      </c>
      <c r="AZ62" s="180">
        <v>0</v>
      </c>
      <c r="BA62" s="202">
        <f t="shared" si="96"/>
        <v>0</v>
      </c>
      <c r="BB62" s="180">
        <v>0</v>
      </c>
      <c r="BC62" s="202">
        <f t="shared" si="117"/>
        <v>0</v>
      </c>
      <c r="BD62" s="180">
        <v>0</v>
      </c>
      <c r="BE62" s="202">
        <f t="shared" si="118"/>
        <v>0</v>
      </c>
      <c r="BF62" s="180">
        <v>0</v>
      </c>
      <c r="BG62" s="202">
        <f t="shared" si="97"/>
        <v>0</v>
      </c>
      <c r="BH62" s="180"/>
      <c r="BI62" s="202">
        <f t="shared" si="98"/>
        <v>0</v>
      </c>
      <c r="BJ62" s="180">
        <f t="shared" ref="BJ62:BK64" si="119">Z62+AB62+AD62+AF62+AH62+AJ62+AL62+AN62+AP62+AR62+AT62+AV62+AX62+AZ62+BB62+BD62+BF62+BH62</f>
        <v>0</v>
      </c>
      <c r="BK62" s="202">
        <f t="shared" si="119"/>
        <v>0</v>
      </c>
      <c r="BL62" s="642" t="s">
        <v>611</v>
      </c>
      <c r="BM62" s="139"/>
      <c r="BN62" s="207">
        <f t="shared" si="101"/>
        <v>0</v>
      </c>
      <c r="BO62" s="174"/>
      <c r="BP62" s="174"/>
      <c r="BQ62" s="174"/>
      <c r="BR62" s="163">
        <f t="shared" si="102"/>
        <v>0</v>
      </c>
      <c r="BS62" s="174"/>
      <c r="BT62" s="174"/>
      <c r="BU62" s="163"/>
      <c r="BV62" s="203">
        <f t="shared" si="103"/>
        <v>0</v>
      </c>
    </row>
    <row r="63" spans="1:74" s="23" customFormat="1">
      <c r="A63" s="904"/>
      <c r="B63" s="191"/>
      <c r="C63" s="196" t="s">
        <v>609</v>
      </c>
      <c r="D63" s="196" t="s">
        <v>610</v>
      </c>
      <c r="E63" s="229">
        <v>12000</v>
      </c>
      <c r="F63" s="206">
        <f t="shared" si="104"/>
        <v>0</v>
      </c>
      <c r="G63" s="207">
        <f>BK63</f>
        <v>0</v>
      </c>
      <c r="H63" s="207"/>
      <c r="I63" s="207"/>
      <c r="J63" s="207"/>
      <c r="K63" s="207"/>
      <c r="L63" s="207"/>
      <c r="M63" s="207"/>
      <c r="N63" s="207"/>
      <c r="O63" s="207"/>
      <c r="P63" s="207"/>
      <c r="Q63" s="207">
        <f>G63*1</f>
        <v>0</v>
      </c>
      <c r="R63" s="212">
        <f t="shared" si="113"/>
        <v>0</v>
      </c>
      <c r="S63" s="212">
        <f t="shared" si="106"/>
        <v>0</v>
      </c>
      <c r="T63" s="212">
        <f t="shared" si="107"/>
        <v>0</v>
      </c>
      <c r="U63" s="212">
        <f t="shared" si="108"/>
        <v>0</v>
      </c>
      <c r="V63" s="211">
        <f>R63*E63</f>
        <v>0</v>
      </c>
      <c r="W63" s="211">
        <f t="shared" si="110"/>
        <v>0</v>
      </c>
      <c r="X63" s="211">
        <f t="shared" si="111"/>
        <v>0</v>
      </c>
      <c r="Y63" s="211">
        <f t="shared" si="112"/>
        <v>0</v>
      </c>
      <c r="Z63" s="180">
        <v>0</v>
      </c>
      <c r="AA63" s="211">
        <f t="shared" si="114"/>
        <v>0</v>
      </c>
      <c r="AB63" s="180">
        <v>0</v>
      </c>
      <c r="AC63" s="212">
        <f t="shared" si="86"/>
        <v>0</v>
      </c>
      <c r="AD63" s="180">
        <v>0</v>
      </c>
      <c r="AE63" s="202">
        <f t="shared" si="87"/>
        <v>0</v>
      </c>
      <c r="AF63" s="180">
        <v>0</v>
      </c>
      <c r="AG63" s="202">
        <f t="shared" si="88"/>
        <v>0</v>
      </c>
      <c r="AH63" s="180">
        <v>0</v>
      </c>
      <c r="AI63" s="202">
        <f t="shared" si="89"/>
        <v>0</v>
      </c>
      <c r="AJ63" s="180">
        <v>0</v>
      </c>
      <c r="AK63" s="202">
        <f t="shared" si="115"/>
        <v>0</v>
      </c>
      <c r="AL63" s="180">
        <v>0</v>
      </c>
      <c r="AM63" s="202">
        <f t="shared" si="116"/>
        <v>0</v>
      </c>
      <c r="AN63" s="180">
        <v>0</v>
      </c>
      <c r="AO63" s="202">
        <f t="shared" si="90"/>
        <v>0</v>
      </c>
      <c r="AP63" s="180">
        <v>0</v>
      </c>
      <c r="AQ63" s="202">
        <f t="shared" si="91"/>
        <v>0</v>
      </c>
      <c r="AR63" s="180">
        <v>0</v>
      </c>
      <c r="AS63" s="202">
        <f t="shared" si="92"/>
        <v>0</v>
      </c>
      <c r="AT63" s="180">
        <v>0</v>
      </c>
      <c r="AU63" s="202">
        <f t="shared" si="93"/>
        <v>0</v>
      </c>
      <c r="AV63" s="180">
        <v>0</v>
      </c>
      <c r="AW63" s="202">
        <f t="shared" si="94"/>
        <v>0</v>
      </c>
      <c r="AX63" s="202">
        <v>0</v>
      </c>
      <c r="AY63" s="202">
        <f t="shared" si="95"/>
        <v>0</v>
      </c>
      <c r="AZ63" s="180">
        <v>0</v>
      </c>
      <c r="BA63" s="202">
        <f t="shared" si="96"/>
        <v>0</v>
      </c>
      <c r="BB63" s="180">
        <v>0</v>
      </c>
      <c r="BC63" s="202">
        <f t="shared" si="117"/>
        <v>0</v>
      </c>
      <c r="BD63" s="180">
        <v>0</v>
      </c>
      <c r="BE63" s="202">
        <f t="shared" si="118"/>
        <v>0</v>
      </c>
      <c r="BF63" s="180">
        <v>0</v>
      </c>
      <c r="BG63" s="202">
        <f t="shared" si="97"/>
        <v>0</v>
      </c>
      <c r="BH63" s="180">
        <v>0</v>
      </c>
      <c r="BI63" s="202">
        <f t="shared" si="98"/>
        <v>0</v>
      </c>
      <c r="BJ63" s="180">
        <f t="shared" si="119"/>
        <v>0</v>
      </c>
      <c r="BK63" s="202">
        <f t="shared" si="119"/>
        <v>0</v>
      </c>
      <c r="BL63" s="642" t="s">
        <v>611</v>
      </c>
      <c r="BM63" s="139"/>
      <c r="BN63" s="207">
        <f t="shared" si="101"/>
        <v>0</v>
      </c>
      <c r="BO63" s="174"/>
      <c r="BP63" s="174"/>
      <c r="BQ63" s="174"/>
      <c r="BR63" s="163">
        <f t="shared" si="102"/>
        <v>0</v>
      </c>
      <c r="BS63" s="174"/>
      <c r="BT63" s="174"/>
      <c r="BU63" s="163"/>
      <c r="BV63" s="203">
        <f t="shared" si="103"/>
        <v>0</v>
      </c>
    </row>
    <row r="64" spans="1:74" s="23" customFormat="1">
      <c r="A64" s="904"/>
      <c r="B64" s="191"/>
      <c r="C64" s="196" t="s">
        <v>932</v>
      </c>
      <c r="D64" s="196" t="s">
        <v>664</v>
      </c>
      <c r="E64" s="229">
        <v>250000</v>
      </c>
      <c r="F64" s="206">
        <f t="shared" si="104"/>
        <v>0</v>
      </c>
      <c r="G64" s="207">
        <f>BK64</f>
        <v>0</v>
      </c>
      <c r="H64" s="207"/>
      <c r="I64" s="207"/>
      <c r="J64" s="207">
        <v>0</v>
      </c>
      <c r="K64" s="207"/>
      <c r="L64" s="207"/>
      <c r="M64" s="207">
        <v>0</v>
      </c>
      <c r="N64" s="207"/>
      <c r="O64" s="207"/>
      <c r="P64" s="207"/>
      <c r="Q64" s="207">
        <f>G64*1</f>
        <v>0</v>
      </c>
      <c r="R64" s="212">
        <f t="shared" si="113"/>
        <v>0</v>
      </c>
      <c r="S64" s="212">
        <f t="shared" si="106"/>
        <v>0</v>
      </c>
      <c r="T64" s="212">
        <f t="shared" si="107"/>
        <v>0</v>
      </c>
      <c r="U64" s="212">
        <f t="shared" si="108"/>
        <v>0</v>
      </c>
      <c r="V64" s="211">
        <f>R64*E64</f>
        <v>0</v>
      </c>
      <c r="W64" s="211">
        <f t="shared" si="110"/>
        <v>0</v>
      </c>
      <c r="X64" s="211">
        <f t="shared" si="111"/>
        <v>0</v>
      </c>
      <c r="Y64" s="211">
        <f t="shared" si="112"/>
        <v>0</v>
      </c>
      <c r="Z64" s="234">
        <v>0</v>
      </c>
      <c r="AA64" s="211">
        <f t="shared" si="114"/>
        <v>0</v>
      </c>
      <c r="AB64" s="180">
        <v>0</v>
      </c>
      <c r="AC64" s="212">
        <f t="shared" si="86"/>
        <v>0</v>
      </c>
      <c r="AD64" s="180">
        <v>0</v>
      </c>
      <c r="AE64" s="202">
        <f t="shared" si="87"/>
        <v>0</v>
      </c>
      <c r="AF64" s="233">
        <v>0</v>
      </c>
      <c r="AG64" s="202">
        <f t="shared" si="88"/>
        <v>0</v>
      </c>
      <c r="AH64" s="180">
        <v>0</v>
      </c>
      <c r="AI64" s="202">
        <f t="shared" si="89"/>
        <v>0</v>
      </c>
      <c r="AJ64" s="180">
        <v>0</v>
      </c>
      <c r="AK64" s="202">
        <f t="shared" si="115"/>
        <v>0</v>
      </c>
      <c r="AL64" s="180">
        <v>0</v>
      </c>
      <c r="AM64" s="202">
        <f t="shared" si="116"/>
        <v>0</v>
      </c>
      <c r="AN64" s="180">
        <v>0</v>
      </c>
      <c r="AO64" s="202">
        <f t="shared" si="90"/>
        <v>0</v>
      </c>
      <c r="AP64" s="233">
        <v>0</v>
      </c>
      <c r="AQ64" s="202">
        <f t="shared" si="91"/>
        <v>0</v>
      </c>
      <c r="AR64" s="180">
        <v>0</v>
      </c>
      <c r="AS64" s="202">
        <f t="shared" si="92"/>
        <v>0</v>
      </c>
      <c r="AT64" s="180">
        <v>0</v>
      </c>
      <c r="AU64" s="202">
        <f t="shared" si="93"/>
        <v>0</v>
      </c>
      <c r="AV64" s="180">
        <v>0</v>
      </c>
      <c r="AW64" s="202">
        <f t="shared" si="94"/>
        <v>0</v>
      </c>
      <c r="AX64" s="202">
        <v>0</v>
      </c>
      <c r="AY64" s="202">
        <f t="shared" si="95"/>
        <v>0</v>
      </c>
      <c r="AZ64" s="180">
        <v>0</v>
      </c>
      <c r="BA64" s="202">
        <f t="shared" si="96"/>
        <v>0</v>
      </c>
      <c r="BB64" s="180">
        <v>0</v>
      </c>
      <c r="BC64" s="202">
        <f t="shared" si="117"/>
        <v>0</v>
      </c>
      <c r="BD64" s="180">
        <v>0</v>
      </c>
      <c r="BE64" s="202">
        <f t="shared" si="118"/>
        <v>0</v>
      </c>
      <c r="BF64" s="180">
        <v>0</v>
      </c>
      <c r="BG64" s="202">
        <f t="shared" si="97"/>
        <v>0</v>
      </c>
      <c r="BH64" s="180"/>
      <c r="BI64" s="202">
        <f t="shared" si="98"/>
        <v>0</v>
      </c>
      <c r="BJ64" s="180">
        <f t="shared" si="119"/>
        <v>0</v>
      </c>
      <c r="BK64" s="202">
        <f t="shared" si="119"/>
        <v>0</v>
      </c>
      <c r="BL64" s="642" t="s">
        <v>613</v>
      </c>
      <c r="BM64" s="139"/>
      <c r="BN64" s="207">
        <f t="shared" si="101"/>
        <v>0</v>
      </c>
      <c r="BO64" s="174"/>
      <c r="BP64" s="174"/>
      <c r="BQ64" s="174"/>
      <c r="BR64" s="163">
        <f t="shared" si="102"/>
        <v>0</v>
      </c>
      <c r="BS64" s="174"/>
      <c r="BT64" s="174"/>
      <c r="BU64" s="163"/>
      <c r="BV64" s="203">
        <f t="shared" si="103"/>
        <v>0</v>
      </c>
    </row>
    <row r="65" spans="1:74" s="23" customFormat="1" ht="31.5">
      <c r="A65" s="904"/>
      <c r="B65" s="191"/>
      <c r="C65" s="196" t="s">
        <v>931</v>
      </c>
      <c r="D65" s="196"/>
      <c r="E65" s="229">
        <v>350000</v>
      </c>
      <c r="F65" s="206">
        <f>BJ65</f>
        <v>0</v>
      </c>
      <c r="G65" s="207">
        <f>BK65</f>
        <v>0</v>
      </c>
      <c r="H65" s="207"/>
      <c r="I65" s="207"/>
      <c r="J65" s="207"/>
      <c r="K65" s="207"/>
      <c r="L65" s="207"/>
      <c r="M65" s="207"/>
      <c r="N65" s="207"/>
      <c r="O65" s="207"/>
      <c r="P65" s="207"/>
      <c r="Q65" s="207">
        <f>G65*1</f>
        <v>0</v>
      </c>
      <c r="R65" s="212"/>
      <c r="S65" s="212"/>
      <c r="T65" s="212"/>
      <c r="U65" s="212"/>
      <c r="V65" s="211"/>
      <c r="W65" s="211"/>
      <c r="X65" s="211"/>
      <c r="Y65" s="211"/>
      <c r="Z65" s="234">
        <v>0</v>
      </c>
      <c r="AA65" s="211"/>
      <c r="AB65" s="180">
        <v>0</v>
      </c>
      <c r="AC65" s="212">
        <f t="shared" si="86"/>
        <v>0</v>
      </c>
      <c r="AD65" s="180">
        <v>0</v>
      </c>
      <c r="AE65" s="202">
        <f t="shared" si="87"/>
        <v>0</v>
      </c>
      <c r="AF65" s="233">
        <v>0</v>
      </c>
      <c r="AG65" s="202"/>
      <c r="AH65" s="180">
        <v>0</v>
      </c>
      <c r="AI65" s="202">
        <f t="shared" si="89"/>
        <v>0</v>
      </c>
      <c r="AJ65" s="180">
        <v>0</v>
      </c>
      <c r="AK65" s="202">
        <f t="shared" si="115"/>
        <v>0</v>
      </c>
      <c r="AL65" s="180">
        <v>0</v>
      </c>
      <c r="AM65" s="202">
        <f t="shared" si="116"/>
        <v>0</v>
      </c>
      <c r="AN65" s="180">
        <v>0</v>
      </c>
      <c r="AO65" s="202">
        <f t="shared" si="90"/>
        <v>0</v>
      </c>
      <c r="AP65" s="233">
        <v>0</v>
      </c>
      <c r="AQ65" s="202"/>
      <c r="AR65" s="180">
        <v>0</v>
      </c>
      <c r="AS65" s="202">
        <f t="shared" si="92"/>
        <v>0</v>
      </c>
      <c r="AT65" s="180">
        <v>0</v>
      </c>
      <c r="AU65" s="202">
        <f t="shared" si="93"/>
        <v>0</v>
      </c>
      <c r="AV65" s="180">
        <v>0</v>
      </c>
      <c r="AW65" s="202">
        <f t="shared" si="94"/>
        <v>0</v>
      </c>
      <c r="AX65" s="202">
        <v>0</v>
      </c>
      <c r="AY65" s="202">
        <f t="shared" si="95"/>
        <v>0</v>
      </c>
      <c r="AZ65" s="180">
        <v>0</v>
      </c>
      <c r="BA65" s="202">
        <f t="shared" si="96"/>
        <v>0</v>
      </c>
      <c r="BB65" s="180">
        <v>0</v>
      </c>
      <c r="BC65" s="202">
        <f t="shared" si="117"/>
        <v>0</v>
      </c>
      <c r="BD65" s="180">
        <v>0</v>
      </c>
      <c r="BE65" s="202">
        <f t="shared" si="118"/>
        <v>0</v>
      </c>
      <c r="BF65" s="180">
        <v>0</v>
      </c>
      <c r="BG65" s="202">
        <f t="shared" si="97"/>
        <v>0</v>
      </c>
      <c r="BH65" s="180"/>
      <c r="BI65" s="202">
        <f t="shared" si="98"/>
        <v>0</v>
      </c>
      <c r="BJ65" s="180">
        <f>Z65+AB65+AD65+AF65+AH65+AJ65+AL65+AN65+AP65+AR65+AT65+AV65+AX65+AZ65+BB65+BD65+BF65+BH65</f>
        <v>0</v>
      </c>
      <c r="BK65" s="202">
        <f>AA65+AC65+AE65+AG65+AI65+AK65+AM65+AO65+AQ65+AS65+AU65+AW65+AY65+BA65+BC65+BE65+BG65+BI65</f>
        <v>0</v>
      </c>
      <c r="BL65" s="187"/>
      <c r="BM65" s="139"/>
      <c r="BN65" s="207"/>
      <c r="BO65" s="174"/>
      <c r="BP65" s="174"/>
      <c r="BQ65" s="174"/>
      <c r="BR65" s="163"/>
      <c r="BS65" s="174"/>
      <c r="BT65" s="174"/>
      <c r="BU65" s="163"/>
      <c r="BV65" s="203"/>
    </row>
    <row r="66" spans="1:74" s="23" customFormat="1">
      <c r="A66" s="904"/>
      <c r="B66" s="191"/>
      <c r="C66" s="196" t="s">
        <v>621</v>
      </c>
      <c r="D66" s="196" t="s">
        <v>555</v>
      </c>
      <c r="E66" s="229">
        <v>9000</v>
      </c>
      <c r="F66" s="206">
        <f t="shared" si="104"/>
        <v>0</v>
      </c>
      <c r="G66" s="207">
        <f>BK66</f>
        <v>0</v>
      </c>
      <c r="H66" s="207"/>
      <c r="I66" s="207"/>
      <c r="J66" s="207"/>
      <c r="K66" s="207"/>
      <c r="L66" s="207"/>
      <c r="M66" s="207"/>
      <c r="N66" s="207"/>
      <c r="O66" s="207"/>
      <c r="P66" s="207"/>
      <c r="Q66" s="207">
        <f>G66*1</f>
        <v>0</v>
      </c>
      <c r="R66" s="212">
        <f>F66*0.35</f>
        <v>0</v>
      </c>
      <c r="S66" s="212">
        <f>F66*0.1</f>
        <v>0</v>
      </c>
      <c r="T66" s="212">
        <f>F66:F66*0.15</f>
        <v>0</v>
      </c>
      <c r="U66" s="212">
        <f>F66*0.4</f>
        <v>0</v>
      </c>
      <c r="V66" s="211">
        <f>R66*E66-2250</f>
        <v>-2250</v>
      </c>
      <c r="W66" s="211">
        <f>S66*E66</f>
        <v>0</v>
      </c>
      <c r="X66" s="211">
        <f>T66*E66</f>
        <v>0</v>
      </c>
      <c r="Y66" s="211">
        <f>U66*E66</f>
        <v>0</v>
      </c>
      <c r="Z66" s="234">
        <v>0</v>
      </c>
      <c r="AA66" s="211">
        <f t="shared" si="114"/>
        <v>0</v>
      </c>
      <c r="AB66" s="180">
        <v>0</v>
      </c>
      <c r="AC66" s="212">
        <f t="shared" si="86"/>
        <v>0</v>
      </c>
      <c r="AD66" s="180">
        <v>0</v>
      </c>
      <c r="AE66" s="202">
        <f t="shared" si="87"/>
        <v>0</v>
      </c>
      <c r="AF66" s="233">
        <v>0</v>
      </c>
      <c r="AG66" s="202">
        <f t="shared" si="88"/>
        <v>0</v>
      </c>
      <c r="AH66" s="180">
        <v>0</v>
      </c>
      <c r="AI66" s="202">
        <f t="shared" si="89"/>
        <v>0</v>
      </c>
      <c r="AJ66" s="180">
        <v>0</v>
      </c>
      <c r="AK66" s="202">
        <f t="shared" si="115"/>
        <v>0</v>
      </c>
      <c r="AL66" s="180">
        <v>0</v>
      </c>
      <c r="AM66" s="202">
        <f t="shared" si="116"/>
        <v>0</v>
      </c>
      <c r="AN66" s="180">
        <v>0</v>
      </c>
      <c r="AO66" s="202">
        <f>AN66*E66</f>
        <v>0</v>
      </c>
      <c r="AP66" s="233">
        <v>0</v>
      </c>
      <c r="AQ66" s="202">
        <f t="shared" si="91"/>
        <v>0</v>
      </c>
      <c r="AR66" s="180">
        <v>0</v>
      </c>
      <c r="AS66" s="202">
        <f t="shared" si="92"/>
        <v>0</v>
      </c>
      <c r="AT66" s="180">
        <v>0</v>
      </c>
      <c r="AU66" s="202">
        <f t="shared" si="93"/>
        <v>0</v>
      </c>
      <c r="AV66" s="180">
        <v>0</v>
      </c>
      <c r="AW66" s="202">
        <f t="shared" si="94"/>
        <v>0</v>
      </c>
      <c r="AX66" s="202">
        <v>0</v>
      </c>
      <c r="AY66" s="202">
        <f t="shared" si="95"/>
        <v>0</v>
      </c>
      <c r="AZ66" s="180">
        <v>0</v>
      </c>
      <c r="BA66" s="202">
        <f t="shared" si="96"/>
        <v>0</v>
      </c>
      <c r="BB66" s="180">
        <v>0</v>
      </c>
      <c r="BC66" s="202">
        <f t="shared" si="117"/>
        <v>0</v>
      </c>
      <c r="BD66" s="180">
        <v>0</v>
      </c>
      <c r="BE66" s="202">
        <f>BD66*E66</f>
        <v>0</v>
      </c>
      <c r="BF66" s="180">
        <v>0</v>
      </c>
      <c r="BG66" s="202">
        <f t="shared" si="97"/>
        <v>0</v>
      </c>
      <c r="BH66" s="180"/>
      <c r="BI66" s="202">
        <f t="shared" si="98"/>
        <v>0</v>
      </c>
      <c r="BJ66" s="180">
        <f>Z66+AB66+AD66+AF66+AH66+AJ66+AL66+AN66+AP66+AR66+AT66+AV66+AX66+AZ66+BB66+BD66+BF66+BH66</f>
        <v>0</v>
      </c>
      <c r="BK66" s="202">
        <f>AA66+AC66+AE66+AG66+AI66+AK66+AM66+AO66+AQ66+AS66+AU66+AW66+AY66+BA66+BC66+BE66+BG66+BI66</f>
        <v>0</v>
      </c>
      <c r="BL66" s="187"/>
      <c r="BM66" s="139"/>
      <c r="BN66" s="207"/>
      <c r="BO66" s="174">
        <f>G66</f>
        <v>0</v>
      </c>
      <c r="BP66" s="174"/>
      <c r="BQ66" s="174"/>
      <c r="BR66" s="163">
        <f t="shared" si="102"/>
        <v>0</v>
      </c>
      <c r="BS66" s="174"/>
      <c r="BT66" s="174"/>
      <c r="BU66" s="163"/>
      <c r="BV66" s="203">
        <f t="shared" si="103"/>
        <v>0</v>
      </c>
    </row>
    <row r="67" spans="1:74" s="757" customFormat="1" ht="37.5" customHeight="1">
      <c r="A67" s="904"/>
      <c r="B67" s="807"/>
      <c r="C67" s="728" t="s">
        <v>992</v>
      </c>
      <c r="D67" s="728" t="s">
        <v>248</v>
      </c>
      <c r="E67" s="715">
        <v>500000</v>
      </c>
      <c r="F67" s="756">
        <f t="shared" ref="F67:F76" si="120">BJ67</f>
        <v>11</v>
      </c>
      <c r="G67" s="808">
        <f t="shared" si="105"/>
        <v>5500000</v>
      </c>
      <c r="H67" s="808"/>
      <c r="I67" s="808"/>
      <c r="J67" s="809"/>
      <c r="K67" s="809"/>
      <c r="L67" s="809">
        <f>G67</f>
        <v>5500000</v>
      </c>
      <c r="M67" s="809"/>
      <c r="N67" s="808"/>
      <c r="O67" s="808"/>
      <c r="P67" s="808"/>
      <c r="Q67" s="808"/>
      <c r="R67" s="810">
        <f t="shared" ref="R67:R76" si="121">F67*0.35</f>
        <v>3.8499999999999996</v>
      </c>
      <c r="S67" s="810">
        <f t="shared" ref="S67:S76" si="122">F67*0.1</f>
        <v>1.1000000000000001</v>
      </c>
      <c r="T67" s="810">
        <f t="shared" ref="T67:T76" si="123">F67:F67*0.15</f>
        <v>1.65</v>
      </c>
      <c r="U67" s="810">
        <f t="shared" ref="U67:U76" si="124">F67*0.4</f>
        <v>4.4000000000000004</v>
      </c>
      <c r="V67" s="811">
        <f>R67*E67</f>
        <v>1924999.9999999998</v>
      </c>
      <c r="W67" s="811">
        <f t="shared" ref="W67:W76" si="125">S67*E67</f>
        <v>550000</v>
      </c>
      <c r="X67" s="811">
        <f t="shared" ref="X67:X76" si="126">T67*E67</f>
        <v>825000</v>
      </c>
      <c r="Y67" s="811">
        <f t="shared" ref="Y67:Y76" si="127">U67*E67</f>
        <v>2200000</v>
      </c>
      <c r="Z67" s="770">
        <v>1</v>
      </c>
      <c r="AA67" s="668">
        <f t="shared" si="114"/>
        <v>500000</v>
      </c>
      <c r="AB67" s="770">
        <v>1</v>
      </c>
      <c r="AC67" s="668">
        <f t="shared" si="86"/>
        <v>500000</v>
      </c>
      <c r="AD67" s="770">
        <v>1</v>
      </c>
      <c r="AE67" s="668">
        <f t="shared" si="87"/>
        <v>500000</v>
      </c>
      <c r="AF67" s="770">
        <v>1</v>
      </c>
      <c r="AG67" s="668">
        <f t="shared" si="88"/>
        <v>500000</v>
      </c>
      <c r="AH67" s="770">
        <v>1</v>
      </c>
      <c r="AI67" s="668">
        <f t="shared" si="89"/>
        <v>500000</v>
      </c>
      <c r="AJ67" s="770">
        <v>1</v>
      </c>
      <c r="AK67" s="668">
        <f t="shared" si="115"/>
        <v>500000</v>
      </c>
      <c r="AL67" s="770">
        <v>1</v>
      </c>
      <c r="AM67" s="668">
        <f t="shared" si="116"/>
        <v>500000</v>
      </c>
      <c r="AN67" s="770">
        <v>0</v>
      </c>
      <c r="AO67" s="668">
        <f t="shared" ref="AO67:AO76" si="128">AN67*E67</f>
        <v>0</v>
      </c>
      <c r="AP67" s="770">
        <v>0</v>
      </c>
      <c r="AQ67" s="668">
        <f t="shared" si="91"/>
        <v>0</v>
      </c>
      <c r="AR67" s="770">
        <v>1</v>
      </c>
      <c r="AS67" s="668">
        <f t="shared" si="92"/>
        <v>500000</v>
      </c>
      <c r="AT67" s="770">
        <v>0</v>
      </c>
      <c r="AU67" s="668">
        <f t="shared" si="93"/>
        <v>0</v>
      </c>
      <c r="AV67" s="770">
        <v>1</v>
      </c>
      <c r="AW67" s="668">
        <f t="shared" si="94"/>
        <v>500000</v>
      </c>
      <c r="AX67" s="668">
        <v>1</v>
      </c>
      <c r="AY67" s="668">
        <f t="shared" si="95"/>
        <v>500000</v>
      </c>
      <c r="AZ67" s="770">
        <v>0</v>
      </c>
      <c r="BA67" s="668">
        <f t="shared" si="96"/>
        <v>0</v>
      </c>
      <c r="BB67" s="770">
        <v>1</v>
      </c>
      <c r="BC67" s="668">
        <f t="shared" si="117"/>
        <v>500000</v>
      </c>
      <c r="BD67" s="770">
        <v>0</v>
      </c>
      <c r="BE67" s="668">
        <f t="shared" ref="BE67:BE76" si="129">BD67*E67</f>
        <v>0</v>
      </c>
      <c r="BF67" s="770">
        <v>0</v>
      </c>
      <c r="BG67" s="668">
        <f t="shared" si="97"/>
        <v>0</v>
      </c>
      <c r="BH67" s="770"/>
      <c r="BI67" s="668">
        <f t="shared" si="98"/>
        <v>0</v>
      </c>
      <c r="BJ67" s="770">
        <f t="shared" si="99"/>
        <v>11</v>
      </c>
      <c r="BK67" s="770">
        <f t="shared" si="100"/>
        <v>5500000</v>
      </c>
      <c r="BL67" s="812" t="s">
        <v>551</v>
      </c>
      <c r="BM67" s="813"/>
      <c r="BN67" s="808">
        <f t="shared" ref="BN67:BN74" si="130">G67</f>
        <v>5500000</v>
      </c>
      <c r="BO67" s="794"/>
      <c r="BP67" s="794"/>
      <c r="BQ67" s="794"/>
      <c r="BR67" s="789">
        <f t="shared" si="102"/>
        <v>5500000</v>
      </c>
      <c r="BS67" s="794"/>
      <c r="BT67" s="794"/>
      <c r="BU67" s="789"/>
      <c r="BV67" s="814">
        <f t="shared" si="103"/>
        <v>5500000</v>
      </c>
    </row>
    <row r="68" spans="1:74" s="757" customFormat="1" ht="36" customHeight="1">
      <c r="A68" s="904"/>
      <c r="B68" s="807"/>
      <c r="C68" s="728" t="s">
        <v>993</v>
      </c>
      <c r="D68" s="728" t="s">
        <v>248</v>
      </c>
      <c r="E68" s="715">
        <v>100000</v>
      </c>
      <c r="F68" s="756">
        <f t="shared" si="120"/>
        <v>15</v>
      </c>
      <c r="G68" s="808">
        <f t="shared" si="105"/>
        <v>1500000</v>
      </c>
      <c r="H68" s="808"/>
      <c r="I68" s="808"/>
      <c r="J68" s="809"/>
      <c r="K68" s="809"/>
      <c r="L68" s="809">
        <f>G68</f>
        <v>1500000</v>
      </c>
      <c r="M68" s="809"/>
      <c r="N68" s="808"/>
      <c r="O68" s="808"/>
      <c r="P68" s="808"/>
      <c r="Q68" s="808"/>
      <c r="R68" s="810">
        <f t="shared" si="121"/>
        <v>5.25</v>
      </c>
      <c r="S68" s="810">
        <f t="shared" si="122"/>
        <v>1.5</v>
      </c>
      <c r="T68" s="810">
        <f t="shared" si="123"/>
        <v>2.25</v>
      </c>
      <c r="U68" s="810">
        <f t="shared" si="124"/>
        <v>6</v>
      </c>
      <c r="V68" s="811">
        <f>R68*E68</f>
        <v>525000</v>
      </c>
      <c r="W68" s="811">
        <f t="shared" si="125"/>
        <v>150000</v>
      </c>
      <c r="X68" s="811">
        <f t="shared" si="126"/>
        <v>225000</v>
      </c>
      <c r="Y68" s="811">
        <f t="shared" si="127"/>
        <v>600000</v>
      </c>
      <c r="Z68" s="770">
        <v>1</v>
      </c>
      <c r="AA68" s="668">
        <f t="shared" si="114"/>
        <v>100000</v>
      </c>
      <c r="AB68" s="770">
        <v>1</v>
      </c>
      <c r="AC68" s="668">
        <f t="shared" si="86"/>
        <v>100000</v>
      </c>
      <c r="AD68" s="770">
        <v>1</v>
      </c>
      <c r="AE68" s="668">
        <f t="shared" si="87"/>
        <v>100000</v>
      </c>
      <c r="AF68" s="770">
        <v>1</v>
      </c>
      <c r="AG68" s="668">
        <f t="shared" si="88"/>
        <v>100000</v>
      </c>
      <c r="AH68" s="770">
        <v>1</v>
      </c>
      <c r="AI68" s="668">
        <f t="shared" si="89"/>
        <v>100000</v>
      </c>
      <c r="AJ68" s="770">
        <v>1</v>
      </c>
      <c r="AK68" s="668">
        <f t="shared" si="115"/>
        <v>100000</v>
      </c>
      <c r="AL68" s="770">
        <v>1</v>
      </c>
      <c r="AM68" s="668">
        <f t="shared" si="116"/>
        <v>100000</v>
      </c>
      <c r="AN68" s="770">
        <v>1</v>
      </c>
      <c r="AO68" s="668">
        <f t="shared" si="128"/>
        <v>100000</v>
      </c>
      <c r="AP68" s="770">
        <v>1</v>
      </c>
      <c r="AQ68" s="668">
        <f t="shared" si="91"/>
        <v>100000</v>
      </c>
      <c r="AR68" s="770">
        <v>1</v>
      </c>
      <c r="AS68" s="668">
        <f t="shared" si="92"/>
        <v>100000</v>
      </c>
      <c r="AT68" s="770">
        <v>0</v>
      </c>
      <c r="AU68" s="668">
        <f t="shared" si="93"/>
        <v>0</v>
      </c>
      <c r="AV68" s="770">
        <v>1</v>
      </c>
      <c r="AW68" s="668">
        <f t="shared" si="94"/>
        <v>100000</v>
      </c>
      <c r="AX68" s="668">
        <v>1</v>
      </c>
      <c r="AY68" s="668">
        <f t="shared" si="95"/>
        <v>100000</v>
      </c>
      <c r="AZ68" s="770">
        <v>0</v>
      </c>
      <c r="BA68" s="668">
        <f t="shared" si="96"/>
        <v>0</v>
      </c>
      <c r="BB68" s="770">
        <v>1</v>
      </c>
      <c r="BC68" s="668">
        <f t="shared" si="117"/>
        <v>100000</v>
      </c>
      <c r="BD68" s="770">
        <v>1</v>
      </c>
      <c r="BE68" s="668">
        <f t="shared" si="129"/>
        <v>100000</v>
      </c>
      <c r="BF68" s="770">
        <v>1</v>
      </c>
      <c r="BG68" s="668">
        <f t="shared" si="97"/>
        <v>100000</v>
      </c>
      <c r="BH68" s="770">
        <v>0</v>
      </c>
      <c r="BI68" s="668">
        <f t="shared" si="98"/>
        <v>0</v>
      </c>
      <c r="BJ68" s="770">
        <f t="shared" si="99"/>
        <v>15</v>
      </c>
      <c r="BK68" s="770">
        <f t="shared" si="100"/>
        <v>1500000</v>
      </c>
      <c r="BL68" s="812" t="s">
        <v>551</v>
      </c>
      <c r="BM68" s="813"/>
      <c r="BN68" s="808">
        <f t="shared" si="130"/>
        <v>1500000</v>
      </c>
      <c r="BO68" s="794"/>
      <c r="BP68" s="794"/>
      <c r="BQ68" s="794"/>
      <c r="BR68" s="789">
        <f t="shared" si="102"/>
        <v>1500000</v>
      </c>
      <c r="BS68" s="794"/>
      <c r="BT68" s="794"/>
      <c r="BU68" s="789"/>
      <c r="BV68" s="814">
        <f t="shared" si="103"/>
        <v>1500000</v>
      </c>
    </row>
    <row r="69" spans="1:74" s="699" customFormat="1">
      <c r="A69" s="904"/>
      <c r="B69" s="677"/>
      <c r="C69" s="678" t="s">
        <v>267</v>
      </c>
      <c r="D69" s="678" t="s">
        <v>248</v>
      </c>
      <c r="E69" s="679">
        <v>400000</v>
      </c>
      <c r="F69" s="680">
        <f t="shared" si="120"/>
        <v>6</v>
      </c>
      <c r="G69" s="681">
        <f>BK69</f>
        <v>2400000</v>
      </c>
      <c r="H69" s="681"/>
      <c r="I69" s="681"/>
      <c r="J69" s="682"/>
      <c r="K69" s="682"/>
      <c r="L69" s="682"/>
      <c r="M69" s="682">
        <f t="shared" ref="M69:M74" si="131">G69</f>
        <v>2400000</v>
      </c>
      <c r="N69" s="681"/>
      <c r="O69" s="681"/>
      <c r="P69" s="681"/>
      <c r="Q69" s="681"/>
      <c r="R69" s="683">
        <f t="shared" si="121"/>
        <v>2.0999999999999996</v>
      </c>
      <c r="S69" s="683">
        <f t="shared" si="122"/>
        <v>0.60000000000000009</v>
      </c>
      <c r="T69" s="683">
        <f t="shared" si="123"/>
        <v>0.89999999999999991</v>
      </c>
      <c r="U69" s="683">
        <f t="shared" si="124"/>
        <v>2.4000000000000004</v>
      </c>
      <c r="V69" s="684">
        <f>G69*0</f>
        <v>0</v>
      </c>
      <c r="W69" s="684">
        <f>G69:G69*0.5</f>
        <v>1200000</v>
      </c>
      <c r="X69" s="684">
        <f>G69*0.25</f>
        <v>600000</v>
      </c>
      <c r="Y69" s="684">
        <f>G69*0.25</f>
        <v>600000</v>
      </c>
      <c r="Z69" s="688">
        <v>0</v>
      </c>
      <c r="AA69" s="685">
        <f t="shared" si="114"/>
        <v>0</v>
      </c>
      <c r="AB69" s="688">
        <v>0</v>
      </c>
      <c r="AC69" s="685">
        <f t="shared" si="86"/>
        <v>0</v>
      </c>
      <c r="AD69" s="688">
        <v>0</v>
      </c>
      <c r="AE69" s="685">
        <f t="shared" si="87"/>
        <v>0</v>
      </c>
      <c r="AF69" s="688">
        <v>2</v>
      </c>
      <c r="AG69" s="685">
        <f t="shared" si="88"/>
        <v>800000</v>
      </c>
      <c r="AH69" s="688">
        <v>2</v>
      </c>
      <c r="AI69" s="685">
        <f>AH69*E69</f>
        <v>800000</v>
      </c>
      <c r="AJ69" s="688">
        <v>0</v>
      </c>
      <c r="AK69" s="685">
        <f t="shared" si="115"/>
        <v>0</v>
      </c>
      <c r="AL69" s="688">
        <v>0</v>
      </c>
      <c r="AM69" s="685">
        <f t="shared" si="116"/>
        <v>0</v>
      </c>
      <c r="AN69" s="688">
        <v>0</v>
      </c>
      <c r="AO69" s="685">
        <f t="shared" si="128"/>
        <v>0</v>
      </c>
      <c r="AP69" s="688">
        <v>0</v>
      </c>
      <c r="AQ69" s="685">
        <f t="shared" si="91"/>
        <v>0</v>
      </c>
      <c r="AR69" s="688">
        <v>0</v>
      </c>
      <c r="AS69" s="685">
        <f t="shared" si="92"/>
        <v>0</v>
      </c>
      <c r="AT69" s="688">
        <v>0</v>
      </c>
      <c r="AU69" s="685">
        <f t="shared" si="93"/>
        <v>0</v>
      </c>
      <c r="AV69" s="688">
        <v>2</v>
      </c>
      <c r="AW69" s="685">
        <f t="shared" si="94"/>
        <v>800000</v>
      </c>
      <c r="AX69" s="687">
        <v>0</v>
      </c>
      <c r="AY69" s="685">
        <f t="shared" si="95"/>
        <v>0</v>
      </c>
      <c r="AZ69" s="688">
        <v>0</v>
      </c>
      <c r="BA69" s="685">
        <f t="shared" si="96"/>
        <v>0</v>
      </c>
      <c r="BB69" s="688">
        <v>0</v>
      </c>
      <c r="BC69" s="685">
        <f t="shared" si="117"/>
        <v>0</v>
      </c>
      <c r="BD69" s="688">
        <v>0</v>
      </c>
      <c r="BE69" s="685">
        <f t="shared" si="129"/>
        <v>0</v>
      </c>
      <c r="BF69" s="688">
        <v>0</v>
      </c>
      <c r="BG69" s="685">
        <f t="shared" si="97"/>
        <v>0</v>
      </c>
      <c r="BH69" s="688"/>
      <c r="BI69" s="685">
        <f t="shared" si="98"/>
        <v>0</v>
      </c>
      <c r="BJ69" s="688">
        <f t="shared" si="99"/>
        <v>6</v>
      </c>
      <c r="BK69" s="688">
        <f t="shared" si="100"/>
        <v>2400000</v>
      </c>
      <c r="BL69" s="689" t="s">
        <v>558</v>
      </c>
      <c r="BM69" s="690"/>
      <c r="BN69" s="681">
        <f t="shared" si="130"/>
        <v>2400000</v>
      </c>
      <c r="BO69" s="698"/>
      <c r="BP69" s="698"/>
      <c r="BQ69" s="698"/>
      <c r="BR69" s="691">
        <f t="shared" si="102"/>
        <v>2400000</v>
      </c>
      <c r="BS69" s="698"/>
      <c r="BT69" s="698"/>
      <c r="BU69" s="691"/>
      <c r="BV69" s="692">
        <f t="shared" ref="BV69:BV76" si="132">BR69+BU69</f>
        <v>2400000</v>
      </c>
    </row>
    <row r="70" spans="1:74" s="699" customFormat="1">
      <c r="A70" s="904"/>
      <c r="B70" s="677"/>
      <c r="C70" s="678" t="s">
        <v>273</v>
      </c>
      <c r="D70" s="678" t="s">
        <v>248</v>
      </c>
      <c r="E70" s="679">
        <v>200000</v>
      </c>
      <c r="F70" s="680">
        <f t="shared" si="120"/>
        <v>0</v>
      </c>
      <c r="G70" s="681">
        <f>F70*E70</f>
        <v>0</v>
      </c>
      <c r="H70" s="681"/>
      <c r="I70" s="681"/>
      <c r="J70" s="682"/>
      <c r="K70" s="682"/>
      <c r="L70" s="682"/>
      <c r="M70" s="682">
        <f t="shared" si="131"/>
        <v>0</v>
      </c>
      <c r="N70" s="681"/>
      <c r="O70" s="681"/>
      <c r="P70" s="681"/>
      <c r="Q70" s="681"/>
      <c r="R70" s="683">
        <f t="shared" si="121"/>
        <v>0</v>
      </c>
      <c r="S70" s="683">
        <f t="shared" si="122"/>
        <v>0</v>
      </c>
      <c r="T70" s="683">
        <f t="shared" si="123"/>
        <v>0</v>
      </c>
      <c r="U70" s="683">
        <f t="shared" si="124"/>
        <v>0</v>
      </c>
      <c r="V70" s="684">
        <f t="shared" ref="V70:V76" si="133">R70*E70</f>
        <v>0</v>
      </c>
      <c r="W70" s="684">
        <f t="shared" si="125"/>
        <v>0</v>
      </c>
      <c r="X70" s="684">
        <f t="shared" si="126"/>
        <v>0</v>
      </c>
      <c r="Y70" s="684">
        <f t="shared" si="127"/>
        <v>0</v>
      </c>
      <c r="Z70" s="688">
        <v>0</v>
      </c>
      <c r="AA70" s="685">
        <f t="shared" si="114"/>
        <v>0</v>
      </c>
      <c r="AB70" s="688">
        <v>0</v>
      </c>
      <c r="AC70" s="685">
        <f t="shared" si="86"/>
        <v>0</v>
      </c>
      <c r="AD70" s="688">
        <v>0</v>
      </c>
      <c r="AE70" s="685">
        <f t="shared" si="87"/>
        <v>0</v>
      </c>
      <c r="AF70" s="688">
        <v>0</v>
      </c>
      <c r="AG70" s="685">
        <f t="shared" si="88"/>
        <v>0</v>
      </c>
      <c r="AH70" s="688">
        <v>0</v>
      </c>
      <c r="AI70" s="685">
        <f t="shared" si="89"/>
        <v>0</v>
      </c>
      <c r="AJ70" s="688">
        <v>0</v>
      </c>
      <c r="AK70" s="685">
        <f t="shared" si="115"/>
        <v>0</v>
      </c>
      <c r="AL70" s="688">
        <v>0</v>
      </c>
      <c r="AM70" s="685">
        <f t="shared" si="116"/>
        <v>0</v>
      </c>
      <c r="AN70" s="688">
        <v>0</v>
      </c>
      <c r="AO70" s="685">
        <f t="shared" si="128"/>
        <v>0</v>
      </c>
      <c r="AP70" s="688">
        <v>0</v>
      </c>
      <c r="AQ70" s="685">
        <f t="shared" si="91"/>
        <v>0</v>
      </c>
      <c r="AR70" s="695">
        <v>0</v>
      </c>
      <c r="AS70" s="685">
        <f t="shared" si="92"/>
        <v>0</v>
      </c>
      <c r="AT70" s="688">
        <v>0</v>
      </c>
      <c r="AU70" s="685">
        <f t="shared" si="93"/>
        <v>0</v>
      </c>
      <c r="AV70" s="688">
        <v>0</v>
      </c>
      <c r="AW70" s="685">
        <f t="shared" si="94"/>
        <v>0</v>
      </c>
      <c r="AX70" s="685">
        <v>0</v>
      </c>
      <c r="AY70" s="685">
        <f t="shared" si="95"/>
        <v>0</v>
      </c>
      <c r="AZ70" s="688">
        <v>0</v>
      </c>
      <c r="BA70" s="685">
        <f t="shared" si="96"/>
        <v>0</v>
      </c>
      <c r="BB70" s="688">
        <v>0</v>
      </c>
      <c r="BC70" s="685">
        <f t="shared" si="117"/>
        <v>0</v>
      </c>
      <c r="BD70" s="688">
        <v>0</v>
      </c>
      <c r="BE70" s="685">
        <f t="shared" si="129"/>
        <v>0</v>
      </c>
      <c r="BF70" s="688"/>
      <c r="BG70" s="685">
        <f t="shared" si="97"/>
        <v>0</v>
      </c>
      <c r="BH70" s="688"/>
      <c r="BI70" s="685">
        <f t="shared" si="98"/>
        <v>0</v>
      </c>
      <c r="BJ70" s="688">
        <f t="shared" si="99"/>
        <v>0</v>
      </c>
      <c r="BK70" s="688">
        <f t="shared" si="100"/>
        <v>0</v>
      </c>
      <c r="BL70" s="689" t="s">
        <v>288</v>
      </c>
      <c r="BM70" s="690"/>
      <c r="BN70" s="681">
        <f t="shared" si="130"/>
        <v>0</v>
      </c>
      <c r="BO70" s="698"/>
      <c r="BP70" s="698"/>
      <c r="BQ70" s="698"/>
      <c r="BR70" s="691">
        <f t="shared" ref="BR70:BR76" si="134">BN70+BO70+BP70+BQ70</f>
        <v>0</v>
      </c>
      <c r="BS70" s="698"/>
      <c r="BT70" s="698"/>
      <c r="BU70" s="691"/>
      <c r="BV70" s="692">
        <f t="shared" si="132"/>
        <v>0</v>
      </c>
    </row>
    <row r="71" spans="1:74" s="699" customFormat="1" ht="15.75" customHeight="1">
      <c r="A71" s="904"/>
      <c r="B71" s="677"/>
      <c r="C71" s="678" t="s">
        <v>602</v>
      </c>
      <c r="D71" s="678" t="s">
        <v>248</v>
      </c>
      <c r="E71" s="679">
        <v>200000</v>
      </c>
      <c r="F71" s="680">
        <f t="shared" si="120"/>
        <v>3</v>
      </c>
      <c r="G71" s="681">
        <f>F71*E71</f>
        <v>600000</v>
      </c>
      <c r="H71" s="681"/>
      <c r="I71" s="681"/>
      <c r="J71" s="682"/>
      <c r="K71" s="682"/>
      <c r="L71" s="682"/>
      <c r="M71" s="682">
        <f t="shared" si="131"/>
        <v>600000</v>
      </c>
      <c r="N71" s="681"/>
      <c r="O71" s="681"/>
      <c r="P71" s="681"/>
      <c r="Q71" s="681"/>
      <c r="R71" s="683">
        <f t="shared" si="121"/>
        <v>1.0499999999999998</v>
      </c>
      <c r="S71" s="683">
        <f t="shared" si="122"/>
        <v>0.30000000000000004</v>
      </c>
      <c r="T71" s="683">
        <f t="shared" si="123"/>
        <v>0.44999999999999996</v>
      </c>
      <c r="U71" s="683">
        <f t="shared" si="124"/>
        <v>1.2000000000000002</v>
      </c>
      <c r="V71" s="684">
        <f t="shared" si="133"/>
        <v>209999.99999999997</v>
      </c>
      <c r="W71" s="684">
        <f t="shared" si="125"/>
        <v>60000.000000000007</v>
      </c>
      <c r="X71" s="684">
        <f t="shared" si="126"/>
        <v>89999.999999999985</v>
      </c>
      <c r="Y71" s="684">
        <f t="shared" si="127"/>
        <v>240000.00000000003</v>
      </c>
      <c r="Z71" s="688">
        <v>0</v>
      </c>
      <c r="AA71" s="685">
        <f t="shared" si="114"/>
        <v>0</v>
      </c>
      <c r="AB71" s="688">
        <v>0</v>
      </c>
      <c r="AC71" s="685">
        <f t="shared" si="86"/>
        <v>0</v>
      </c>
      <c r="AD71" s="688">
        <v>0</v>
      </c>
      <c r="AE71" s="685">
        <f t="shared" si="87"/>
        <v>0</v>
      </c>
      <c r="AF71" s="688">
        <v>0</v>
      </c>
      <c r="AG71" s="685">
        <f t="shared" si="88"/>
        <v>0</v>
      </c>
      <c r="AH71" s="688">
        <v>0</v>
      </c>
      <c r="AI71" s="685">
        <f t="shared" si="89"/>
        <v>0</v>
      </c>
      <c r="AJ71" s="688">
        <v>0</v>
      </c>
      <c r="AK71" s="685">
        <f t="shared" si="115"/>
        <v>0</v>
      </c>
      <c r="AL71" s="688">
        <v>0</v>
      </c>
      <c r="AM71" s="685">
        <f t="shared" si="116"/>
        <v>0</v>
      </c>
      <c r="AN71" s="688">
        <v>0</v>
      </c>
      <c r="AO71" s="685">
        <f t="shared" si="128"/>
        <v>0</v>
      </c>
      <c r="AP71" s="688">
        <v>0</v>
      </c>
      <c r="AQ71" s="685">
        <f t="shared" si="91"/>
        <v>0</v>
      </c>
      <c r="AR71" s="688">
        <v>0</v>
      </c>
      <c r="AS71" s="685">
        <f t="shared" si="92"/>
        <v>0</v>
      </c>
      <c r="AT71" s="688">
        <v>0</v>
      </c>
      <c r="AU71" s="685">
        <f t="shared" si="93"/>
        <v>0</v>
      </c>
      <c r="AV71" s="688">
        <v>0</v>
      </c>
      <c r="AW71" s="685">
        <f t="shared" si="94"/>
        <v>0</v>
      </c>
      <c r="AX71" s="685">
        <v>3</v>
      </c>
      <c r="AY71" s="685">
        <f t="shared" si="95"/>
        <v>600000</v>
      </c>
      <c r="AZ71" s="688">
        <v>0</v>
      </c>
      <c r="BA71" s="685">
        <f t="shared" si="96"/>
        <v>0</v>
      </c>
      <c r="BB71" s="688">
        <v>0</v>
      </c>
      <c r="BC71" s="685">
        <f t="shared" si="117"/>
        <v>0</v>
      </c>
      <c r="BD71" s="688"/>
      <c r="BE71" s="685">
        <f t="shared" si="129"/>
        <v>0</v>
      </c>
      <c r="BF71" s="688"/>
      <c r="BG71" s="685">
        <f t="shared" si="97"/>
        <v>0</v>
      </c>
      <c r="BH71" s="688"/>
      <c r="BI71" s="685">
        <f t="shared" si="98"/>
        <v>0</v>
      </c>
      <c r="BJ71" s="688">
        <f t="shared" si="99"/>
        <v>3</v>
      </c>
      <c r="BK71" s="688">
        <f t="shared" si="100"/>
        <v>600000</v>
      </c>
      <c r="BL71" s="689" t="s">
        <v>288</v>
      </c>
      <c r="BM71" s="690"/>
      <c r="BN71" s="681">
        <f t="shared" si="130"/>
        <v>600000</v>
      </c>
      <c r="BO71" s="698"/>
      <c r="BP71" s="698"/>
      <c r="BQ71" s="698"/>
      <c r="BR71" s="691">
        <f t="shared" si="134"/>
        <v>600000</v>
      </c>
      <c r="BS71" s="698"/>
      <c r="BT71" s="698"/>
      <c r="BU71" s="691"/>
      <c r="BV71" s="692">
        <f t="shared" si="132"/>
        <v>600000</v>
      </c>
    </row>
    <row r="72" spans="1:74" s="699" customFormat="1">
      <c r="A72" s="904"/>
      <c r="B72" s="677"/>
      <c r="C72" s="678" t="s">
        <v>295</v>
      </c>
      <c r="D72" s="678" t="s">
        <v>248</v>
      </c>
      <c r="E72" s="679">
        <v>60000</v>
      </c>
      <c r="F72" s="680">
        <f t="shared" si="120"/>
        <v>0</v>
      </c>
      <c r="G72" s="681">
        <f>F72*E72</f>
        <v>0</v>
      </c>
      <c r="H72" s="681"/>
      <c r="I72" s="681"/>
      <c r="J72" s="682"/>
      <c r="K72" s="682"/>
      <c r="L72" s="682"/>
      <c r="M72" s="682">
        <f t="shared" si="131"/>
        <v>0</v>
      </c>
      <c r="N72" s="681"/>
      <c r="O72" s="681"/>
      <c r="P72" s="681"/>
      <c r="Q72" s="681"/>
      <c r="R72" s="683">
        <f t="shared" si="121"/>
        <v>0</v>
      </c>
      <c r="S72" s="683">
        <f t="shared" si="122"/>
        <v>0</v>
      </c>
      <c r="T72" s="683">
        <f t="shared" si="123"/>
        <v>0</v>
      </c>
      <c r="U72" s="683">
        <f t="shared" si="124"/>
        <v>0</v>
      </c>
      <c r="V72" s="684">
        <f t="shared" si="133"/>
        <v>0</v>
      </c>
      <c r="W72" s="684">
        <f t="shared" si="125"/>
        <v>0</v>
      </c>
      <c r="X72" s="684">
        <f t="shared" si="126"/>
        <v>0</v>
      </c>
      <c r="Y72" s="684">
        <f t="shared" si="127"/>
        <v>0</v>
      </c>
      <c r="Z72" s="688">
        <v>0</v>
      </c>
      <c r="AA72" s="685">
        <f t="shared" si="114"/>
        <v>0</v>
      </c>
      <c r="AB72" s="688">
        <v>0</v>
      </c>
      <c r="AC72" s="685">
        <f t="shared" si="86"/>
        <v>0</v>
      </c>
      <c r="AD72" s="688">
        <v>0</v>
      </c>
      <c r="AE72" s="685">
        <f t="shared" si="87"/>
        <v>0</v>
      </c>
      <c r="AF72" s="688">
        <v>0</v>
      </c>
      <c r="AG72" s="685">
        <f t="shared" si="88"/>
        <v>0</v>
      </c>
      <c r="AH72" s="688">
        <v>0</v>
      </c>
      <c r="AI72" s="685">
        <f t="shared" si="89"/>
        <v>0</v>
      </c>
      <c r="AJ72" s="688">
        <v>0</v>
      </c>
      <c r="AK72" s="685">
        <f t="shared" si="115"/>
        <v>0</v>
      </c>
      <c r="AL72" s="688"/>
      <c r="AM72" s="685">
        <f t="shared" si="116"/>
        <v>0</v>
      </c>
      <c r="AN72" s="688">
        <v>0</v>
      </c>
      <c r="AO72" s="685">
        <f t="shared" si="128"/>
        <v>0</v>
      </c>
      <c r="AP72" s="688">
        <v>0</v>
      </c>
      <c r="AQ72" s="685">
        <f t="shared" si="91"/>
        <v>0</v>
      </c>
      <c r="AR72" s="688">
        <v>0</v>
      </c>
      <c r="AS72" s="685">
        <f t="shared" si="92"/>
        <v>0</v>
      </c>
      <c r="AT72" s="688">
        <v>0</v>
      </c>
      <c r="AU72" s="685">
        <f t="shared" si="93"/>
        <v>0</v>
      </c>
      <c r="AV72" s="688">
        <v>0</v>
      </c>
      <c r="AW72" s="685">
        <f t="shared" si="94"/>
        <v>0</v>
      </c>
      <c r="AX72" s="685">
        <v>0</v>
      </c>
      <c r="AY72" s="685">
        <f t="shared" si="95"/>
        <v>0</v>
      </c>
      <c r="AZ72" s="688">
        <v>0</v>
      </c>
      <c r="BA72" s="685">
        <f t="shared" si="96"/>
        <v>0</v>
      </c>
      <c r="BB72" s="688">
        <v>0</v>
      </c>
      <c r="BC72" s="685">
        <f t="shared" si="117"/>
        <v>0</v>
      </c>
      <c r="BD72" s="688"/>
      <c r="BE72" s="685">
        <f t="shared" si="129"/>
        <v>0</v>
      </c>
      <c r="BF72" s="688"/>
      <c r="BG72" s="685">
        <f t="shared" si="97"/>
        <v>0</v>
      </c>
      <c r="BH72" s="688"/>
      <c r="BI72" s="685">
        <f t="shared" si="98"/>
        <v>0</v>
      </c>
      <c r="BJ72" s="688">
        <f t="shared" si="99"/>
        <v>0</v>
      </c>
      <c r="BK72" s="688">
        <f t="shared" si="100"/>
        <v>0</v>
      </c>
      <c r="BL72" s="689" t="s">
        <v>288</v>
      </c>
      <c r="BM72" s="690"/>
      <c r="BN72" s="681">
        <f t="shared" si="130"/>
        <v>0</v>
      </c>
      <c r="BO72" s="698"/>
      <c r="BP72" s="698"/>
      <c r="BQ72" s="698"/>
      <c r="BR72" s="691">
        <f t="shared" si="134"/>
        <v>0</v>
      </c>
      <c r="BS72" s="698"/>
      <c r="BT72" s="698"/>
      <c r="BU72" s="691"/>
      <c r="BV72" s="692">
        <f t="shared" si="132"/>
        <v>0</v>
      </c>
    </row>
    <row r="73" spans="1:74" s="699" customFormat="1" ht="31.5">
      <c r="A73" s="904"/>
      <c r="B73" s="677"/>
      <c r="C73" s="678" t="s">
        <v>605</v>
      </c>
      <c r="D73" s="678" t="s">
        <v>248</v>
      </c>
      <c r="E73" s="679">
        <v>200000</v>
      </c>
      <c r="F73" s="680">
        <f t="shared" si="120"/>
        <v>0</v>
      </c>
      <c r="G73" s="681">
        <f>F73*E73</f>
        <v>0</v>
      </c>
      <c r="H73" s="681"/>
      <c r="I73" s="681"/>
      <c r="J73" s="682"/>
      <c r="K73" s="682"/>
      <c r="L73" s="682"/>
      <c r="M73" s="682">
        <f t="shared" si="131"/>
        <v>0</v>
      </c>
      <c r="N73" s="681"/>
      <c r="O73" s="681"/>
      <c r="P73" s="681"/>
      <c r="Q73" s="681"/>
      <c r="R73" s="683">
        <f t="shared" si="121"/>
        <v>0</v>
      </c>
      <c r="S73" s="683">
        <f t="shared" si="122"/>
        <v>0</v>
      </c>
      <c r="T73" s="683">
        <f t="shared" si="123"/>
        <v>0</v>
      </c>
      <c r="U73" s="683">
        <f t="shared" si="124"/>
        <v>0</v>
      </c>
      <c r="V73" s="684">
        <f t="shared" si="133"/>
        <v>0</v>
      </c>
      <c r="W73" s="684">
        <f t="shared" si="125"/>
        <v>0</v>
      </c>
      <c r="X73" s="684">
        <f t="shared" si="126"/>
        <v>0</v>
      </c>
      <c r="Y73" s="684">
        <f t="shared" si="127"/>
        <v>0</v>
      </c>
      <c r="Z73" s="688">
        <v>0</v>
      </c>
      <c r="AA73" s="685">
        <f t="shared" si="114"/>
        <v>0</v>
      </c>
      <c r="AB73" s="688">
        <v>0</v>
      </c>
      <c r="AC73" s="685">
        <f t="shared" si="86"/>
        <v>0</v>
      </c>
      <c r="AD73" s="688">
        <v>0</v>
      </c>
      <c r="AE73" s="685">
        <f t="shared" si="87"/>
        <v>0</v>
      </c>
      <c r="AF73" s="688">
        <v>0</v>
      </c>
      <c r="AG73" s="685">
        <f t="shared" si="88"/>
        <v>0</v>
      </c>
      <c r="AH73" s="688">
        <v>0</v>
      </c>
      <c r="AI73" s="685">
        <f t="shared" si="89"/>
        <v>0</v>
      </c>
      <c r="AJ73" s="688">
        <v>0</v>
      </c>
      <c r="AK73" s="685">
        <f t="shared" si="115"/>
        <v>0</v>
      </c>
      <c r="AL73" s="688">
        <v>0</v>
      </c>
      <c r="AM73" s="685">
        <f t="shared" si="116"/>
        <v>0</v>
      </c>
      <c r="AN73" s="688">
        <v>0</v>
      </c>
      <c r="AO73" s="685">
        <f t="shared" si="128"/>
        <v>0</v>
      </c>
      <c r="AP73" s="688">
        <v>0</v>
      </c>
      <c r="AQ73" s="685">
        <f t="shared" si="91"/>
        <v>0</v>
      </c>
      <c r="AR73" s="688">
        <v>0</v>
      </c>
      <c r="AS73" s="685">
        <f t="shared" si="92"/>
        <v>0</v>
      </c>
      <c r="AT73" s="688">
        <v>0</v>
      </c>
      <c r="AU73" s="685">
        <f t="shared" si="93"/>
        <v>0</v>
      </c>
      <c r="AV73" s="688">
        <v>0</v>
      </c>
      <c r="AW73" s="685">
        <f t="shared" si="94"/>
        <v>0</v>
      </c>
      <c r="AX73" s="685">
        <v>0</v>
      </c>
      <c r="AY73" s="685">
        <f t="shared" si="95"/>
        <v>0</v>
      </c>
      <c r="AZ73" s="688">
        <v>0</v>
      </c>
      <c r="BA73" s="685">
        <f t="shared" si="96"/>
        <v>0</v>
      </c>
      <c r="BB73" s="688">
        <v>0</v>
      </c>
      <c r="BC73" s="685">
        <f t="shared" si="117"/>
        <v>0</v>
      </c>
      <c r="BD73" s="688">
        <v>0</v>
      </c>
      <c r="BE73" s="685">
        <f t="shared" si="129"/>
        <v>0</v>
      </c>
      <c r="BF73" s="688"/>
      <c r="BG73" s="685">
        <f t="shared" si="97"/>
        <v>0</v>
      </c>
      <c r="BH73" s="688"/>
      <c r="BI73" s="685">
        <f t="shared" si="98"/>
        <v>0</v>
      </c>
      <c r="BJ73" s="688">
        <f t="shared" si="99"/>
        <v>0</v>
      </c>
      <c r="BK73" s="688">
        <f t="shared" si="100"/>
        <v>0</v>
      </c>
      <c r="BL73" s="689" t="s">
        <v>288</v>
      </c>
      <c r="BM73" s="690"/>
      <c r="BN73" s="681">
        <f t="shared" si="130"/>
        <v>0</v>
      </c>
      <c r="BO73" s="698"/>
      <c r="BP73" s="698"/>
      <c r="BQ73" s="698"/>
      <c r="BR73" s="691">
        <f t="shared" si="134"/>
        <v>0</v>
      </c>
      <c r="BS73" s="698"/>
      <c r="BT73" s="698"/>
      <c r="BU73" s="691"/>
      <c r="BV73" s="692">
        <f t="shared" si="132"/>
        <v>0</v>
      </c>
    </row>
    <row r="74" spans="1:74" s="699" customFormat="1">
      <c r="A74" s="904"/>
      <c r="B74" s="677"/>
      <c r="C74" s="678" t="s">
        <v>603</v>
      </c>
      <c r="D74" s="678" t="s">
        <v>248</v>
      </c>
      <c r="E74" s="679">
        <v>180000</v>
      </c>
      <c r="F74" s="680">
        <f t="shared" si="120"/>
        <v>0</v>
      </c>
      <c r="G74" s="681">
        <f>BK74</f>
        <v>0</v>
      </c>
      <c r="H74" s="681"/>
      <c r="I74" s="681"/>
      <c r="J74" s="682"/>
      <c r="K74" s="682"/>
      <c r="L74" s="682"/>
      <c r="M74" s="682">
        <f t="shared" si="131"/>
        <v>0</v>
      </c>
      <c r="N74" s="681"/>
      <c r="O74" s="681"/>
      <c r="P74" s="681"/>
      <c r="Q74" s="681"/>
      <c r="R74" s="683">
        <f t="shared" si="121"/>
        <v>0</v>
      </c>
      <c r="S74" s="683">
        <f t="shared" si="122"/>
        <v>0</v>
      </c>
      <c r="T74" s="683">
        <f t="shared" si="123"/>
        <v>0</v>
      </c>
      <c r="U74" s="683">
        <f t="shared" si="124"/>
        <v>0</v>
      </c>
      <c r="V74" s="684">
        <f>G74*0.25</f>
        <v>0</v>
      </c>
      <c r="W74" s="684">
        <f>G74:G74*0.5</f>
        <v>0</v>
      </c>
      <c r="X74" s="684">
        <f>G74*0.25</f>
        <v>0</v>
      </c>
      <c r="Y74" s="684">
        <f>G74*0</f>
        <v>0</v>
      </c>
      <c r="Z74" s="688">
        <v>0</v>
      </c>
      <c r="AA74" s="685">
        <f t="shared" si="114"/>
        <v>0</v>
      </c>
      <c r="AB74" s="688">
        <v>0</v>
      </c>
      <c r="AC74" s="685">
        <f t="shared" si="86"/>
        <v>0</v>
      </c>
      <c r="AD74" s="688">
        <v>0</v>
      </c>
      <c r="AE74" s="685">
        <f t="shared" si="87"/>
        <v>0</v>
      </c>
      <c r="AF74" s="688">
        <v>0</v>
      </c>
      <c r="AG74" s="685">
        <f t="shared" si="88"/>
        <v>0</v>
      </c>
      <c r="AH74" s="688">
        <v>0</v>
      </c>
      <c r="AI74" s="685">
        <f t="shared" si="89"/>
        <v>0</v>
      </c>
      <c r="AJ74" s="688">
        <v>0</v>
      </c>
      <c r="AK74" s="685">
        <f t="shared" si="115"/>
        <v>0</v>
      </c>
      <c r="AL74" s="688">
        <v>0</v>
      </c>
      <c r="AM74" s="685">
        <f t="shared" si="116"/>
        <v>0</v>
      </c>
      <c r="AN74" s="688">
        <v>0</v>
      </c>
      <c r="AO74" s="685">
        <f t="shared" si="128"/>
        <v>0</v>
      </c>
      <c r="AP74" s="688">
        <v>0</v>
      </c>
      <c r="AQ74" s="685">
        <f t="shared" si="91"/>
        <v>0</v>
      </c>
      <c r="AR74" s="695">
        <v>0</v>
      </c>
      <c r="AS74" s="685">
        <f t="shared" si="92"/>
        <v>0</v>
      </c>
      <c r="AT74" s="688">
        <v>0</v>
      </c>
      <c r="AU74" s="685">
        <f t="shared" si="93"/>
        <v>0</v>
      </c>
      <c r="AV74" s="688">
        <v>0</v>
      </c>
      <c r="AW74" s="685">
        <f t="shared" si="94"/>
        <v>0</v>
      </c>
      <c r="AX74" s="685">
        <v>0</v>
      </c>
      <c r="AY74" s="685">
        <f t="shared" si="95"/>
        <v>0</v>
      </c>
      <c r="AZ74" s="688">
        <v>0</v>
      </c>
      <c r="BA74" s="685">
        <f t="shared" si="96"/>
        <v>0</v>
      </c>
      <c r="BB74" s="688">
        <v>0</v>
      </c>
      <c r="BC74" s="685">
        <f>BB74*E74</f>
        <v>0</v>
      </c>
      <c r="BD74" s="688">
        <v>0</v>
      </c>
      <c r="BE74" s="685">
        <f t="shared" si="129"/>
        <v>0</v>
      </c>
      <c r="BF74" s="688">
        <v>0</v>
      </c>
      <c r="BG74" s="685">
        <f t="shared" si="97"/>
        <v>0</v>
      </c>
      <c r="BH74" s="688"/>
      <c r="BI74" s="685">
        <f t="shared" si="98"/>
        <v>0</v>
      </c>
      <c r="BJ74" s="688">
        <f>BH74+BF74+BD74+BB74+AZ74+AX74+AV74+AT74+AR74+AP74+AN74+AL74+AJ74+AH74+AF74+AD74+AB74+Z74</f>
        <v>0</v>
      </c>
      <c r="BK74" s="688">
        <f>BI74+BG74+BE74+BC74+BA74+AY74+AW74+AU74+AS74+AQ74+AO74+AM74+AK74+AI74+AG74+AE74+AC74+AA74</f>
        <v>0</v>
      </c>
      <c r="BL74" s="689" t="s">
        <v>288</v>
      </c>
      <c r="BM74" s="690"/>
      <c r="BN74" s="681">
        <f t="shared" si="130"/>
        <v>0</v>
      </c>
      <c r="BO74" s="698"/>
      <c r="BP74" s="698"/>
      <c r="BQ74" s="698"/>
      <c r="BR74" s="691">
        <f t="shared" si="134"/>
        <v>0</v>
      </c>
      <c r="BS74" s="698"/>
      <c r="BT74" s="698"/>
      <c r="BU74" s="691"/>
      <c r="BV74" s="692">
        <f t="shared" si="132"/>
        <v>0</v>
      </c>
    </row>
    <row r="75" spans="1:74" s="757" customFormat="1">
      <c r="A75" s="904"/>
      <c r="B75" s="807"/>
      <c r="C75" s="728" t="s">
        <v>556</v>
      </c>
      <c r="D75" s="728" t="s">
        <v>610</v>
      </c>
      <c r="E75" s="715">
        <v>15000</v>
      </c>
      <c r="F75" s="756">
        <f t="shared" si="120"/>
        <v>0</v>
      </c>
      <c r="G75" s="808">
        <f>F75*E75</f>
        <v>0</v>
      </c>
      <c r="H75" s="808"/>
      <c r="I75" s="808"/>
      <c r="J75" s="809"/>
      <c r="K75" s="809"/>
      <c r="L75" s="809">
        <f>G75*1</f>
        <v>0</v>
      </c>
      <c r="M75" s="809"/>
      <c r="N75" s="808"/>
      <c r="O75" s="808"/>
      <c r="P75" s="808"/>
      <c r="Q75" s="808"/>
      <c r="R75" s="810">
        <f t="shared" si="121"/>
        <v>0</v>
      </c>
      <c r="S75" s="810">
        <f t="shared" si="122"/>
        <v>0</v>
      </c>
      <c r="T75" s="810">
        <f t="shared" si="123"/>
        <v>0</v>
      </c>
      <c r="U75" s="810">
        <f t="shared" si="124"/>
        <v>0</v>
      </c>
      <c r="V75" s="811">
        <f t="shared" si="133"/>
        <v>0</v>
      </c>
      <c r="W75" s="811">
        <f t="shared" si="125"/>
        <v>0</v>
      </c>
      <c r="X75" s="811">
        <f t="shared" si="126"/>
        <v>0</v>
      </c>
      <c r="Y75" s="811">
        <f t="shared" si="127"/>
        <v>0</v>
      </c>
      <c r="Z75" s="770">
        <v>0</v>
      </c>
      <c r="AA75" s="668">
        <f t="shared" si="114"/>
        <v>0</v>
      </c>
      <c r="AB75" s="770">
        <v>0</v>
      </c>
      <c r="AC75" s="668">
        <f t="shared" si="86"/>
        <v>0</v>
      </c>
      <c r="AD75" s="770">
        <v>0</v>
      </c>
      <c r="AE75" s="668">
        <f t="shared" si="87"/>
        <v>0</v>
      </c>
      <c r="AF75" s="770">
        <v>0</v>
      </c>
      <c r="AG75" s="668">
        <f t="shared" si="88"/>
        <v>0</v>
      </c>
      <c r="AH75" s="770">
        <v>0</v>
      </c>
      <c r="AI75" s="668">
        <f t="shared" si="89"/>
        <v>0</v>
      </c>
      <c r="AJ75" s="770">
        <v>0</v>
      </c>
      <c r="AK75" s="668">
        <f t="shared" si="115"/>
        <v>0</v>
      </c>
      <c r="AL75" s="770">
        <v>0</v>
      </c>
      <c r="AM75" s="668">
        <f t="shared" si="116"/>
        <v>0</v>
      </c>
      <c r="AN75" s="770">
        <v>0</v>
      </c>
      <c r="AO75" s="668">
        <f t="shared" si="128"/>
        <v>0</v>
      </c>
      <c r="AP75" s="770">
        <v>0</v>
      </c>
      <c r="AQ75" s="668">
        <f t="shared" si="91"/>
        <v>0</v>
      </c>
      <c r="AR75" s="770">
        <v>0</v>
      </c>
      <c r="AS75" s="668">
        <f t="shared" si="92"/>
        <v>0</v>
      </c>
      <c r="AT75" s="770">
        <v>0</v>
      </c>
      <c r="AU75" s="668">
        <f t="shared" si="93"/>
        <v>0</v>
      </c>
      <c r="AV75" s="770">
        <v>0</v>
      </c>
      <c r="AW75" s="668">
        <f t="shared" si="94"/>
        <v>0</v>
      </c>
      <c r="AX75" s="668">
        <v>0</v>
      </c>
      <c r="AY75" s="668">
        <f t="shared" si="95"/>
        <v>0</v>
      </c>
      <c r="AZ75" s="770">
        <v>0</v>
      </c>
      <c r="BA75" s="668">
        <f t="shared" si="96"/>
        <v>0</v>
      </c>
      <c r="BB75" s="770">
        <v>0</v>
      </c>
      <c r="BC75" s="668">
        <f>BB75*E75</f>
        <v>0</v>
      </c>
      <c r="BD75" s="770">
        <v>0</v>
      </c>
      <c r="BE75" s="668">
        <f t="shared" si="129"/>
        <v>0</v>
      </c>
      <c r="BF75" s="770">
        <v>0</v>
      </c>
      <c r="BG75" s="668">
        <f t="shared" si="97"/>
        <v>0</v>
      </c>
      <c r="BH75" s="770"/>
      <c r="BI75" s="668">
        <f t="shared" si="98"/>
        <v>0</v>
      </c>
      <c r="BJ75" s="770">
        <f t="shared" si="99"/>
        <v>0</v>
      </c>
      <c r="BK75" s="770">
        <f t="shared" si="100"/>
        <v>0</v>
      </c>
      <c r="BL75" s="812" t="s">
        <v>525</v>
      </c>
      <c r="BM75" s="813"/>
      <c r="BN75" s="808"/>
      <c r="BO75" s="794"/>
      <c r="BP75" s="789">
        <f>BK75</f>
        <v>0</v>
      </c>
      <c r="BQ75" s="794"/>
      <c r="BR75" s="789">
        <f t="shared" si="134"/>
        <v>0</v>
      </c>
      <c r="BS75" s="794"/>
      <c r="BT75" s="794"/>
      <c r="BU75" s="789"/>
      <c r="BV75" s="814">
        <f t="shared" si="132"/>
        <v>0</v>
      </c>
    </row>
    <row r="76" spans="1:74" s="757" customFormat="1">
      <c r="A76" s="904"/>
      <c r="B76" s="807"/>
      <c r="C76" s="728" t="s">
        <v>557</v>
      </c>
      <c r="D76" s="728" t="s">
        <v>248</v>
      </c>
      <c r="E76" s="715">
        <v>15000</v>
      </c>
      <c r="F76" s="756">
        <f t="shared" si="120"/>
        <v>0</v>
      </c>
      <c r="G76" s="808">
        <f>F76*E76</f>
        <v>0</v>
      </c>
      <c r="H76" s="808"/>
      <c r="I76" s="808"/>
      <c r="J76" s="809"/>
      <c r="K76" s="809"/>
      <c r="L76" s="809">
        <f>G76*1</f>
        <v>0</v>
      </c>
      <c r="M76" s="809"/>
      <c r="N76" s="808"/>
      <c r="O76" s="808"/>
      <c r="P76" s="808"/>
      <c r="Q76" s="808"/>
      <c r="R76" s="810">
        <f t="shared" si="121"/>
        <v>0</v>
      </c>
      <c r="S76" s="810">
        <f t="shared" si="122"/>
        <v>0</v>
      </c>
      <c r="T76" s="810">
        <f t="shared" si="123"/>
        <v>0</v>
      </c>
      <c r="U76" s="810">
        <f t="shared" si="124"/>
        <v>0</v>
      </c>
      <c r="V76" s="811">
        <f t="shared" si="133"/>
        <v>0</v>
      </c>
      <c r="W76" s="811">
        <f t="shared" si="125"/>
        <v>0</v>
      </c>
      <c r="X76" s="811">
        <f t="shared" si="126"/>
        <v>0</v>
      </c>
      <c r="Y76" s="811">
        <f t="shared" si="127"/>
        <v>0</v>
      </c>
      <c r="Z76" s="770">
        <v>0</v>
      </c>
      <c r="AA76" s="668">
        <f t="shared" si="114"/>
        <v>0</v>
      </c>
      <c r="AB76" s="770">
        <v>0</v>
      </c>
      <c r="AC76" s="668">
        <f t="shared" si="86"/>
        <v>0</v>
      </c>
      <c r="AD76" s="770">
        <v>0</v>
      </c>
      <c r="AE76" s="668">
        <f t="shared" si="87"/>
        <v>0</v>
      </c>
      <c r="AF76" s="770">
        <v>0</v>
      </c>
      <c r="AG76" s="668">
        <f t="shared" si="88"/>
        <v>0</v>
      </c>
      <c r="AH76" s="770">
        <v>0</v>
      </c>
      <c r="AI76" s="668">
        <f t="shared" si="89"/>
        <v>0</v>
      </c>
      <c r="AJ76" s="770">
        <v>0</v>
      </c>
      <c r="AK76" s="668">
        <f t="shared" si="115"/>
        <v>0</v>
      </c>
      <c r="AL76" s="770">
        <v>0</v>
      </c>
      <c r="AM76" s="668">
        <f t="shared" si="116"/>
        <v>0</v>
      </c>
      <c r="AN76" s="770">
        <v>0</v>
      </c>
      <c r="AO76" s="668">
        <f t="shared" si="128"/>
        <v>0</v>
      </c>
      <c r="AP76" s="770">
        <v>0</v>
      </c>
      <c r="AQ76" s="668">
        <f t="shared" si="91"/>
        <v>0</v>
      </c>
      <c r="AR76" s="770">
        <v>0</v>
      </c>
      <c r="AS76" s="668">
        <f t="shared" si="92"/>
        <v>0</v>
      </c>
      <c r="AT76" s="770">
        <v>0</v>
      </c>
      <c r="AU76" s="668">
        <f t="shared" si="93"/>
        <v>0</v>
      </c>
      <c r="AV76" s="770">
        <v>0</v>
      </c>
      <c r="AW76" s="668">
        <f t="shared" si="94"/>
        <v>0</v>
      </c>
      <c r="AX76" s="668">
        <v>0</v>
      </c>
      <c r="AY76" s="668">
        <f t="shared" si="95"/>
        <v>0</v>
      </c>
      <c r="AZ76" s="770">
        <v>0</v>
      </c>
      <c r="BA76" s="668">
        <f t="shared" si="96"/>
        <v>0</v>
      </c>
      <c r="BB76" s="770">
        <v>0</v>
      </c>
      <c r="BC76" s="668">
        <f>BB76*E76</f>
        <v>0</v>
      </c>
      <c r="BD76" s="770">
        <v>0</v>
      </c>
      <c r="BE76" s="668">
        <f t="shared" si="129"/>
        <v>0</v>
      </c>
      <c r="BF76" s="770">
        <v>0</v>
      </c>
      <c r="BG76" s="668">
        <f t="shared" si="97"/>
        <v>0</v>
      </c>
      <c r="BH76" s="770"/>
      <c r="BI76" s="668">
        <f t="shared" si="98"/>
        <v>0</v>
      </c>
      <c r="BJ76" s="770">
        <f t="shared" si="99"/>
        <v>0</v>
      </c>
      <c r="BK76" s="770">
        <f t="shared" si="100"/>
        <v>0</v>
      </c>
      <c r="BL76" s="812" t="s">
        <v>525</v>
      </c>
      <c r="BM76" s="813"/>
      <c r="BN76" s="808"/>
      <c r="BO76" s="794"/>
      <c r="BP76" s="789">
        <f>BK76</f>
        <v>0</v>
      </c>
      <c r="BQ76" s="794"/>
      <c r="BR76" s="789">
        <f t="shared" si="134"/>
        <v>0</v>
      </c>
      <c r="BS76" s="794"/>
      <c r="BT76" s="794"/>
      <c r="BU76" s="789"/>
      <c r="BV76" s="814">
        <f t="shared" si="132"/>
        <v>0</v>
      </c>
    </row>
    <row r="77" spans="1:74" s="23" customFormat="1">
      <c r="A77" s="904"/>
      <c r="B77" s="191"/>
      <c r="C77" s="230" t="s">
        <v>3</v>
      </c>
      <c r="D77" s="196"/>
      <c r="E77" s="229"/>
      <c r="F77" s="194">
        <f t="shared" ref="F77:AK77" si="135">SUM(F54:F76)</f>
        <v>9406</v>
      </c>
      <c r="G77" s="194">
        <f t="shared" si="135"/>
        <v>84500000</v>
      </c>
      <c r="H77" s="194">
        <f t="shared" si="135"/>
        <v>0</v>
      </c>
      <c r="I77" s="194">
        <f t="shared" si="135"/>
        <v>0</v>
      </c>
      <c r="J77" s="235">
        <f t="shared" si="135"/>
        <v>0</v>
      </c>
      <c r="K77" s="235">
        <f t="shared" si="135"/>
        <v>0</v>
      </c>
      <c r="L77" s="235">
        <f t="shared" si="135"/>
        <v>73900000</v>
      </c>
      <c r="M77" s="235">
        <f t="shared" si="135"/>
        <v>10600000</v>
      </c>
      <c r="N77" s="194">
        <f t="shared" si="135"/>
        <v>0</v>
      </c>
      <c r="O77" s="194">
        <f t="shared" si="135"/>
        <v>0</v>
      </c>
      <c r="P77" s="194">
        <f t="shared" si="135"/>
        <v>0</v>
      </c>
      <c r="Q77" s="235">
        <f t="shared" si="135"/>
        <v>0</v>
      </c>
      <c r="R77" s="194">
        <f t="shared" si="135"/>
        <v>3255</v>
      </c>
      <c r="S77" s="194">
        <f t="shared" si="135"/>
        <v>930.9</v>
      </c>
      <c r="T77" s="194">
        <f t="shared" si="135"/>
        <v>1396.3500000000001</v>
      </c>
      <c r="U77" s="194">
        <f t="shared" si="135"/>
        <v>3723.6</v>
      </c>
      <c r="V77" s="194">
        <f t="shared" si="135"/>
        <v>9045250</v>
      </c>
      <c r="W77" s="194">
        <f t="shared" si="135"/>
        <v>4460000</v>
      </c>
      <c r="X77" s="194">
        <f t="shared" si="135"/>
        <v>4815000</v>
      </c>
      <c r="Y77" s="194">
        <f t="shared" si="135"/>
        <v>11277500</v>
      </c>
      <c r="Z77" s="194">
        <f t="shared" si="135"/>
        <v>11</v>
      </c>
      <c r="AA77" s="194">
        <f t="shared" si="135"/>
        <v>6000000</v>
      </c>
      <c r="AB77" s="194">
        <f t="shared" si="135"/>
        <v>3007</v>
      </c>
      <c r="AC77" s="194">
        <f t="shared" si="135"/>
        <v>4150000</v>
      </c>
      <c r="AD77" s="194">
        <f t="shared" si="135"/>
        <v>1011</v>
      </c>
      <c r="AE77" s="194">
        <f t="shared" si="135"/>
        <v>6050000</v>
      </c>
      <c r="AF77" s="194">
        <f t="shared" si="135"/>
        <v>113</v>
      </c>
      <c r="AG77" s="194">
        <f t="shared" si="135"/>
        <v>6000000</v>
      </c>
      <c r="AH77" s="194">
        <f t="shared" si="135"/>
        <v>2111</v>
      </c>
      <c r="AI77" s="194">
        <f t="shared" si="135"/>
        <v>6300000</v>
      </c>
      <c r="AJ77" s="194">
        <f t="shared" si="135"/>
        <v>709</v>
      </c>
      <c r="AK77" s="194">
        <f t="shared" si="135"/>
        <v>5500000</v>
      </c>
      <c r="AL77" s="194">
        <f t="shared" ref="AL77:BQ77" si="136">SUM(AL54:AL76)</f>
        <v>356</v>
      </c>
      <c r="AM77" s="194">
        <f t="shared" si="136"/>
        <v>3350000</v>
      </c>
      <c r="AN77" s="194">
        <f t="shared" si="136"/>
        <v>206</v>
      </c>
      <c r="AO77" s="194">
        <f t="shared" si="136"/>
        <v>3300000</v>
      </c>
      <c r="AP77" s="194">
        <f t="shared" si="136"/>
        <v>6</v>
      </c>
      <c r="AQ77" s="194">
        <f t="shared" si="136"/>
        <v>3050000</v>
      </c>
      <c r="AR77" s="194">
        <f t="shared" si="136"/>
        <v>11</v>
      </c>
      <c r="AS77" s="194">
        <f t="shared" si="136"/>
        <v>6000000</v>
      </c>
      <c r="AT77" s="194">
        <f t="shared" si="136"/>
        <v>8</v>
      </c>
      <c r="AU77" s="194">
        <f t="shared" si="136"/>
        <v>4800000</v>
      </c>
      <c r="AV77" s="194">
        <f t="shared" si="136"/>
        <v>1211</v>
      </c>
      <c r="AW77" s="194">
        <f t="shared" si="136"/>
        <v>6100000</v>
      </c>
      <c r="AX77" s="194">
        <f t="shared" si="136"/>
        <v>10</v>
      </c>
      <c r="AY77" s="194">
        <f t="shared" si="136"/>
        <v>4200000</v>
      </c>
      <c r="AZ77" s="194">
        <f t="shared" si="136"/>
        <v>8</v>
      </c>
      <c r="BA77" s="194">
        <f t="shared" si="136"/>
        <v>3900000</v>
      </c>
      <c r="BB77" s="194">
        <f t="shared" si="136"/>
        <v>210</v>
      </c>
      <c r="BC77" s="194">
        <f t="shared" si="136"/>
        <v>5600000</v>
      </c>
      <c r="BD77" s="194">
        <f t="shared" si="136"/>
        <v>406</v>
      </c>
      <c r="BE77" s="194">
        <f t="shared" si="136"/>
        <v>3500000</v>
      </c>
      <c r="BF77" s="194">
        <f t="shared" si="136"/>
        <v>12</v>
      </c>
      <c r="BG77" s="194">
        <f t="shared" si="136"/>
        <v>6700000</v>
      </c>
      <c r="BH77" s="194">
        <f t="shared" si="136"/>
        <v>0</v>
      </c>
      <c r="BI77" s="194">
        <f t="shared" si="136"/>
        <v>0</v>
      </c>
      <c r="BJ77" s="194">
        <f t="shared" si="136"/>
        <v>9406</v>
      </c>
      <c r="BK77" s="194">
        <f t="shared" si="136"/>
        <v>84500000</v>
      </c>
      <c r="BL77" s="194">
        <f t="shared" si="136"/>
        <v>0</v>
      </c>
      <c r="BM77" s="194">
        <f t="shared" si="136"/>
        <v>0</v>
      </c>
      <c r="BN77" s="194">
        <f t="shared" si="136"/>
        <v>26350000</v>
      </c>
      <c r="BO77" s="194">
        <f t="shared" si="136"/>
        <v>0</v>
      </c>
      <c r="BP77" s="194">
        <f t="shared" si="136"/>
        <v>0</v>
      </c>
      <c r="BQ77" s="194">
        <f t="shared" si="136"/>
        <v>0</v>
      </c>
      <c r="BR77" s="194">
        <f>SUM(BR54:BR76)</f>
        <v>26350000</v>
      </c>
      <c r="BS77" s="194">
        <f>SUM(BS54:BS76)</f>
        <v>0</v>
      </c>
      <c r="BT77" s="194">
        <f>SUM(BT54:BT76)</f>
        <v>0</v>
      </c>
      <c r="BU77" s="194">
        <f>SUM(BU54:BU76)</f>
        <v>0</v>
      </c>
      <c r="BV77" s="194">
        <f>SUM(BV54:BV76)</f>
        <v>26350000</v>
      </c>
    </row>
    <row r="78" spans="1:74">
      <c r="A78" s="904"/>
      <c r="B78" s="191"/>
      <c r="C78" s="228" t="s">
        <v>304</v>
      </c>
      <c r="D78" s="196"/>
      <c r="E78" s="229"/>
      <c r="F78" s="206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180"/>
      <c r="S78" s="180"/>
      <c r="T78" s="180"/>
      <c r="U78" s="180"/>
      <c r="V78" s="202"/>
      <c r="W78" s="202"/>
      <c r="X78" s="202"/>
      <c r="Y78" s="202"/>
      <c r="Z78" s="180"/>
      <c r="AA78" s="202">
        <f>Z78*E78</f>
        <v>0</v>
      </c>
      <c r="AB78" s="180"/>
      <c r="AC78" s="202">
        <f t="shared" ref="AC78:AC101" si="137">AB78*E78</f>
        <v>0</v>
      </c>
      <c r="AD78" s="180"/>
      <c r="AE78" s="202">
        <f>AD78*E78</f>
        <v>0</v>
      </c>
      <c r="AF78" s="180"/>
      <c r="AG78" s="202">
        <f>AF78*E78</f>
        <v>0</v>
      </c>
      <c r="AH78" s="180"/>
      <c r="AI78" s="202">
        <f>AH78*E78</f>
        <v>0</v>
      </c>
      <c r="AJ78" s="180"/>
      <c r="AK78" s="202"/>
      <c r="AL78" s="180"/>
      <c r="AM78" s="202"/>
      <c r="AN78" s="180"/>
      <c r="AO78" s="202"/>
      <c r="AP78" s="180"/>
      <c r="AQ78" s="202"/>
      <c r="AR78" s="180"/>
      <c r="AS78" s="202"/>
      <c r="AT78" s="180"/>
      <c r="AU78" s="202"/>
      <c r="AV78" s="180"/>
      <c r="AW78" s="202"/>
      <c r="AX78" s="202"/>
      <c r="AY78" s="202"/>
      <c r="AZ78" s="180"/>
      <c r="BA78" s="202"/>
      <c r="BB78" s="180"/>
      <c r="BC78" s="202"/>
      <c r="BD78" s="180"/>
      <c r="BE78" s="202"/>
      <c r="BF78" s="180"/>
      <c r="BG78" s="202"/>
      <c r="BH78" s="180"/>
      <c r="BI78" s="202"/>
      <c r="BJ78" s="180"/>
      <c r="BK78" s="180"/>
      <c r="BL78" s="187"/>
      <c r="BM78" s="219"/>
      <c r="BN78" s="207"/>
      <c r="BO78" s="163"/>
      <c r="BP78" s="163"/>
      <c r="BQ78" s="163"/>
      <c r="BR78" s="163"/>
      <c r="BS78" s="163"/>
      <c r="BT78" s="163"/>
      <c r="BU78" s="163"/>
      <c r="BV78" s="203"/>
    </row>
    <row r="79" spans="1:74" s="693" customFormat="1">
      <c r="A79" s="904"/>
      <c r="B79" s="677"/>
      <c r="C79" s="678" t="s">
        <v>250</v>
      </c>
      <c r="D79" s="678" t="s">
        <v>76</v>
      </c>
      <c r="E79" s="679">
        <v>278600</v>
      </c>
      <c r="F79" s="680">
        <f>BJ79</f>
        <v>294</v>
      </c>
      <c r="G79" s="681">
        <f>BK79</f>
        <v>52108400</v>
      </c>
      <c r="H79" s="681"/>
      <c r="I79" s="681"/>
      <c r="J79" s="681"/>
      <c r="K79" s="681"/>
      <c r="L79" s="681"/>
      <c r="M79" s="681">
        <f t="shared" ref="M79:M92" si="138">G79</f>
        <v>52108400</v>
      </c>
      <c r="N79" s="681"/>
      <c r="O79" s="681"/>
      <c r="P79" s="681"/>
      <c r="Q79" s="681"/>
      <c r="R79" s="683">
        <f t="shared" ref="R79:R88" si="139">F79*0.35</f>
        <v>102.89999999999999</v>
      </c>
      <c r="S79" s="683">
        <f t="shared" ref="S79:S88" si="140">F79*0.65</f>
        <v>191.1</v>
      </c>
      <c r="T79" s="683"/>
      <c r="U79" s="683"/>
      <c r="V79" s="684">
        <f>G79*0.25</f>
        <v>13027100</v>
      </c>
      <c r="W79" s="684">
        <f>G79:G79*0.5</f>
        <v>26054200</v>
      </c>
      <c r="X79" s="684">
        <f>G79*0.25</f>
        <v>13027100</v>
      </c>
      <c r="Y79" s="684">
        <f t="shared" ref="Y79:Y101" si="141">U79*E79</f>
        <v>0</v>
      </c>
      <c r="Z79" s="688">
        <v>19</v>
      </c>
      <c r="AA79" s="685">
        <f>Z79*E79-3000000</f>
        <v>2293400</v>
      </c>
      <c r="AB79" s="688">
        <v>4</v>
      </c>
      <c r="AC79" s="685">
        <f t="shared" si="137"/>
        <v>1114400</v>
      </c>
      <c r="AD79" s="688">
        <v>37</v>
      </c>
      <c r="AE79" s="685">
        <f>AD79*E79-800000</f>
        <v>9508200</v>
      </c>
      <c r="AF79" s="700">
        <v>56</v>
      </c>
      <c r="AG79" s="685">
        <f>AF79*E79-7000000</f>
        <v>8601600</v>
      </c>
      <c r="AH79" s="688">
        <v>50</v>
      </c>
      <c r="AI79" s="685">
        <f>AH79*E79-4000000</f>
        <v>9930000</v>
      </c>
      <c r="AJ79" s="688">
        <v>23</v>
      </c>
      <c r="AK79" s="685">
        <f>AJ79*E79-5000000</f>
        <v>1407800</v>
      </c>
      <c r="AL79" s="695">
        <v>0</v>
      </c>
      <c r="AM79" s="687">
        <f>AL79*E79</f>
        <v>0</v>
      </c>
      <c r="AN79" s="688">
        <v>0</v>
      </c>
      <c r="AO79" s="685">
        <f t="shared" ref="AO79:AO92" si="142">AN79*E79</f>
        <v>0</v>
      </c>
      <c r="AP79" s="688">
        <v>23</v>
      </c>
      <c r="AQ79" s="685">
        <f>AP79*E79-2000000</f>
        <v>4407800</v>
      </c>
      <c r="AR79" s="695">
        <v>40</v>
      </c>
      <c r="AS79" s="685">
        <f>AR79*E79-5000000</f>
        <v>6144000</v>
      </c>
      <c r="AT79" s="685">
        <v>9</v>
      </c>
      <c r="AU79" s="685">
        <f>AT79*E79-1000000</f>
        <v>1507400</v>
      </c>
      <c r="AV79" s="688">
        <v>13</v>
      </c>
      <c r="AW79" s="685">
        <f>AV79*E79-1000000</f>
        <v>2621800</v>
      </c>
      <c r="AX79" s="687">
        <v>0</v>
      </c>
      <c r="AY79" s="685">
        <f>AX79*E79</f>
        <v>0</v>
      </c>
      <c r="AZ79" s="688">
        <v>0</v>
      </c>
      <c r="BA79" s="685">
        <f>AZ79*E79</f>
        <v>0</v>
      </c>
      <c r="BB79" s="688">
        <v>0</v>
      </c>
      <c r="BC79" s="685">
        <f t="shared" ref="BC79:BC92" si="143">BB79*E79</f>
        <v>0</v>
      </c>
      <c r="BD79" s="688">
        <v>0</v>
      </c>
      <c r="BE79" s="685">
        <f t="shared" ref="BE79:BE92" si="144">BD79*E79</f>
        <v>0</v>
      </c>
      <c r="BF79" s="688">
        <v>20</v>
      </c>
      <c r="BG79" s="685">
        <f>BF79*E79-1000000</f>
        <v>4572000</v>
      </c>
      <c r="BH79" s="688"/>
      <c r="BI79" s="685">
        <f t="shared" ref="BI79:BI101" si="145">BH79*E79</f>
        <v>0</v>
      </c>
      <c r="BJ79" s="688">
        <f t="shared" ref="BJ79:BJ84" si="146">BH79+BF79+BD79+BB79+AZ79+AX79+AV79+AT79+AR79+AP79+AN79+AL79+AJ79+AH79+AF79+AD79+AB79+Z79</f>
        <v>294</v>
      </c>
      <c r="BK79" s="688">
        <f t="shared" ref="BK79:BK101" si="147">BI79+BG79+BE79+BC79+BA79+AY79+AW79+AU79+AS79+AQ79+AO79+AM79+AK79+AI79+AG79+AE79+AC79+AA79</f>
        <v>52108400</v>
      </c>
      <c r="BL79" s="701" t="s">
        <v>307</v>
      </c>
      <c r="BM79" s="690"/>
      <c r="BN79" s="681"/>
      <c r="BO79" s="691"/>
      <c r="BP79" s="681">
        <f t="shared" ref="BP79:BP101" si="148">G79</f>
        <v>52108400</v>
      </c>
      <c r="BQ79" s="691"/>
      <c r="BR79" s="691">
        <f>BN79+BO79+BP79+BQ79</f>
        <v>52108400</v>
      </c>
      <c r="BS79" s="691"/>
      <c r="BT79" s="691"/>
      <c r="BU79" s="691"/>
      <c r="BV79" s="692">
        <f>BR79+BU79</f>
        <v>52108400</v>
      </c>
    </row>
    <row r="80" spans="1:74" s="693" customFormat="1" ht="21.75" customHeight="1">
      <c r="A80" s="904"/>
      <c r="B80" s="677"/>
      <c r="C80" s="678" t="s">
        <v>517</v>
      </c>
      <c r="D80" s="678" t="s">
        <v>76</v>
      </c>
      <c r="E80" s="679">
        <v>109000</v>
      </c>
      <c r="F80" s="680">
        <f t="shared" ref="F80:G96" si="149">BJ80</f>
        <v>232</v>
      </c>
      <c r="G80" s="680">
        <f t="shared" si="149"/>
        <v>15588000</v>
      </c>
      <c r="H80" s="681"/>
      <c r="I80" s="681"/>
      <c r="J80" s="681"/>
      <c r="K80" s="681"/>
      <c r="L80" s="681"/>
      <c r="M80" s="681">
        <f t="shared" si="138"/>
        <v>15588000</v>
      </c>
      <c r="N80" s="681"/>
      <c r="O80" s="681"/>
      <c r="P80" s="681"/>
      <c r="Q80" s="681"/>
      <c r="R80" s="683">
        <f t="shared" si="139"/>
        <v>81.199999999999989</v>
      </c>
      <c r="S80" s="683">
        <f t="shared" si="140"/>
        <v>150.80000000000001</v>
      </c>
      <c r="T80" s="683"/>
      <c r="U80" s="683"/>
      <c r="V80" s="684">
        <f t="shared" ref="V80:V101" si="150">R80*E80</f>
        <v>8850799.9999999981</v>
      </c>
      <c r="W80" s="684">
        <f t="shared" ref="W80:W101" si="151">S80*E80</f>
        <v>16437200.000000002</v>
      </c>
      <c r="X80" s="684">
        <f t="shared" ref="X80:X101" si="152">T80*E80</f>
        <v>0</v>
      </c>
      <c r="Y80" s="684">
        <f t="shared" si="141"/>
        <v>0</v>
      </c>
      <c r="Z80" s="688">
        <v>0</v>
      </c>
      <c r="AA80" s="685">
        <f t="shared" ref="AA80:AA92" si="153">Z80*E80</f>
        <v>0</v>
      </c>
      <c r="AB80" s="688"/>
      <c r="AC80" s="685">
        <f t="shared" si="137"/>
        <v>0</v>
      </c>
      <c r="AD80" s="688">
        <v>10</v>
      </c>
      <c r="AE80" s="685">
        <f>AD80*E80-200000</f>
        <v>890000</v>
      </c>
      <c r="AF80" s="688">
        <v>28</v>
      </c>
      <c r="AG80" s="685">
        <f>AF80*E80-1000000</f>
        <v>2052000</v>
      </c>
      <c r="AH80" s="688">
        <v>0</v>
      </c>
      <c r="AI80" s="685">
        <f t="shared" ref="AI80:AI92" si="154">AH80*E80</f>
        <v>0</v>
      </c>
      <c r="AJ80" s="688">
        <v>41</v>
      </c>
      <c r="AK80" s="685">
        <f>AJ80*E80-3000000</f>
        <v>1469000</v>
      </c>
      <c r="AL80" s="688">
        <v>89</v>
      </c>
      <c r="AM80" s="685">
        <f>AL80*E80-5000000</f>
        <v>4701000</v>
      </c>
      <c r="AN80" s="688">
        <v>0</v>
      </c>
      <c r="AO80" s="685">
        <f t="shared" si="142"/>
        <v>0</v>
      </c>
      <c r="AP80" s="688">
        <v>15</v>
      </c>
      <c r="AQ80" s="685">
        <f>AP80*E80-500000</f>
        <v>1135000</v>
      </c>
      <c r="AR80" s="688">
        <v>30</v>
      </c>
      <c r="AS80" s="685">
        <f t="shared" ref="AS80:AS92" si="155">AR80*E80</f>
        <v>3270000</v>
      </c>
      <c r="AT80" s="688"/>
      <c r="AU80" s="685">
        <f t="shared" ref="AU80:AU92" si="156">AT80*E80</f>
        <v>0</v>
      </c>
      <c r="AV80" s="688">
        <v>0</v>
      </c>
      <c r="AW80" s="685">
        <f t="shared" ref="AW80:AW92" si="157">AV80*E80</f>
        <v>0</v>
      </c>
      <c r="AX80" s="685">
        <v>8</v>
      </c>
      <c r="AY80" s="685">
        <f t="shared" ref="AY80:AY92" si="158">AX80*E80</f>
        <v>872000</v>
      </c>
      <c r="AZ80" s="688">
        <v>0</v>
      </c>
      <c r="BA80" s="685">
        <f>AZ80*E80</f>
        <v>0</v>
      </c>
      <c r="BB80" s="688">
        <v>0</v>
      </c>
      <c r="BC80" s="685">
        <f t="shared" si="143"/>
        <v>0</v>
      </c>
      <c r="BD80" s="688"/>
      <c r="BE80" s="685">
        <f t="shared" si="144"/>
        <v>0</v>
      </c>
      <c r="BF80" s="688">
        <v>11</v>
      </c>
      <c r="BG80" s="685">
        <f t="shared" ref="BG80:BG92" si="159">BF80*E80</f>
        <v>1199000</v>
      </c>
      <c r="BH80" s="688"/>
      <c r="BI80" s="685">
        <f t="shared" si="145"/>
        <v>0</v>
      </c>
      <c r="BJ80" s="688">
        <f t="shared" si="146"/>
        <v>232</v>
      </c>
      <c r="BK80" s="688">
        <f t="shared" si="147"/>
        <v>15588000</v>
      </c>
      <c r="BL80" s="701" t="s">
        <v>307</v>
      </c>
      <c r="BM80" s="690"/>
      <c r="BN80" s="681"/>
      <c r="BO80" s="691"/>
      <c r="BP80" s="681">
        <f t="shared" si="148"/>
        <v>15588000</v>
      </c>
      <c r="BQ80" s="691"/>
      <c r="BR80" s="691">
        <f t="shared" ref="BR80:BR87" si="160">BN80+BO80+BP80+BQ80</f>
        <v>15588000</v>
      </c>
      <c r="BS80" s="691"/>
      <c r="BT80" s="691"/>
      <c r="BU80" s="691"/>
      <c r="BV80" s="692">
        <f t="shared" ref="BV80:BV86" si="161">BR80+BU80</f>
        <v>15588000</v>
      </c>
    </row>
    <row r="81" spans="1:74" s="693" customFormat="1">
      <c r="A81" s="904"/>
      <c r="B81" s="677"/>
      <c r="C81" s="678" t="s">
        <v>518</v>
      </c>
      <c r="D81" s="678" t="s">
        <v>76</v>
      </c>
      <c r="E81" s="679">
        <v>90000</v>
      </c>
      <c r="F81" s="680">
        <f t="shared" si="149"/>
        <v>73</v>
      </c>
      <c r="G81" s="680">
        <f t="shared" si="149"/>
        <v>4570000</v>
      </c>
      <c r="H81" s="681"/>
      <c r="I81" s="681"/>
      <c r="J81" s="681"/>
      <c r="K81" s="681"/>
      <c r="L81" s="681"/>
      <c r="M81" s="681">
        <f t="shared" si="138"/>
        <v>4570000</v>
      </c>
      <c r="N81" s="681"/>
      <c r="O81" s="681"/>
      <c r="P81" s="681"/>
      <c r="Q81" s="681"/>
      <c r="R81" s="683">
        <f t="shared" si="139"/>
        <v>25.549999999999997</v>
      </c>
      <c r="S81" s="683">
        <f t="shared" si="140"/>
        <v>47.45</v>
      </c>
      <c r="T81" s="683"/>
      <c r="U81" s="683"/>
      <c r="V81" s="684">
        <f t="shared" si="150"/>
        <v>2299499.9999999995</v>
      </c>
      <c r="W81" s="684">
        <f t="shared" si="151"/>
        <v>4270500</v>
      </c>
      <c r="X81" s="684">
        <f t="shared" si="152"/>
        <v>0</v>
      </c>
      <c r="Y81" s="684">
        <f t="shared" si="141"/>
        <v>0</v>
      </c>
      <c r="Z81" s="688">
        <v>0</v>
      </c>
      <c r="AA81" s="685">
        <f t="shared" si="153"/>
        <v>0</v>
      </c>
      <c r="AB81" s="688"/>
      <c r="AC81" s="685">
        <f t="shared" si="137"/>
        <v>0</v>
      </c>
      <c r="AD81" s="688"/>
      <c r="AE81" s="685">
        <f t="shared" ref="AE81:AE92" si="162">AD81*E81</f>
        <v>0</v>
      </c>
      <c r="AF81" s="688">
        <v>0</v>
      </c>
      <c r="AG81" s="685">
        <f t="shared" ref="AG81:AG92" si="163">AF81*E81</f>
        <v>0</v>
      </c>
      <c r="AH81" s="688">
        <v>0</v>
      </c>
      <c r="AI81" s="685">
        <f t="shared" si="154"/>
        <v>0</v>
      </c>
      <c r="AJ81" s="688">
        <v>0</v>
      </c>
      <c r="AK81" s="685">
        <f t="shared" ref="AK81:AK92" si="164">AJ81*E81</f>
        <v>0</v>
      </c>
      <c r="AL81" s="688">
        <v>4</v>
      </c>
      <c r="AM81" s="685">
        <f t="shared" ref="AM81:AM92" si="165">AL81*E81</f>
        <v>360000</v>
      </c>
      <c r="AN81" s="688">
        <v>0</v>
      </c>
      <c r="AO81" s="685">
        <f t="shared" si="142"/>
        <v>0</v>
      </c>
      <c r="AP81" s="688"/>
      <c r="AQ81" s="685">
        <f t="shared" ref="AQ81:AQ92" si="166">AP81*E81</f>
        <v>0</v>
      </c>
      <c r="AR81" s="702">
        <v>57</v>
      </c>
      <c r="AS81" s="685">
        <f>AR81*E81-2000000</f>
        <v>3130000</v>
      </c>
      <c r="AT81" s="688"/>
      <c r="AU81" s="685">
        <f t="shared" si="156"/>
        <v>0</v>
      </c>
      <c r="AV81" s="688">
        <v>0</v>
      </c>
      <c r="AW81" s="685">
        <f t="shared" si="157"/>
        <v>0</v>
      </c>
      <c r="AX81" s="685">
        <v>0</v>
      </c>
      <c r="AY81" s="685">
        <f t="shared" si="158"/>
        <v>0</v>
      </c>
      <c r="AZ81" s="688">
        <v>0</v>
      </c>
      <c r="BA81" s="685">
        <f>AZ81*E81</f>
        <v>0</v>
      </c>
      <c r="BB81" s="688">
        <v>0</v>
      </c>
      <c r="BC81" s="685">
        <f t="shared" si="143"/>
        <v>0</v>
      </c>
      <c r="BD81" s="688"/>
      <c r="BE81" s="685">
        <f t="shared" si="144"/>
        <v>0</v>
      </c>
      <c r="BF81" s="688">
        <v>12</v>
      </c>
      <c r="BG81" s="685">
        <f t="shared" si="159"/>
        <v>1080000</v>
      </c>
      <c r="BH81" s="688"/>
      <c r="BI81" s="685">
        <f t="shared" si="145"/>
        <v>0</v>
      </c>
      <c r="BJ81" s="688">
        <f t="shared" si="146"/>
        <v>73</v>
      </c>
      <c r="BK81" s="688">
        <f t="shared" si="147"/>
        <v>4570000</v>
      </c>
      <c r="BL81" s="701" t="s">
        <v>307</v>
      </c>
      <c r="BM81" s="690"/>
      <c r="BN81" s="681"/>
      <c r="BO81" s="691"/>
      <c r="BP81" s="681">
        <f t="shared" si="148"/>
        <v>4570000</v>
      </c>
      <c r="BQ81" s="691"/>
      <c r="BR81" s="691">
        <f t="shared" si="160"/>
        <v>4570000</v>
      </c>
      <c r="BS81" s="691"/>
      <c r="BT81" s="691"/>
      <c r="BU81" s="691"/>
      <c r="BV81" s="692">
        <f t="shared" si="161"/>
        <v>4570000</v>
      </c>
    </row>
    <row r="82" spans="1:74" s="693" customFormat="1" ht="18.2" customHeight="1">
      <c r="A82" s="904"/>
      <c r="B82" s="677"/>
      <c r="C82" s="678" t="s">
        <v>291</v>
      </c>
      <c r="D82" s="678" t="s">
        <v>76</v>
      </c>
      <c r="E82" s="679">
        <v>187300</v>
      </c>
      <c r="F82" s="680">
        <f t="shared" si="149"/>
        <v>416</v>
      </c>
      <c r="G82" s="681">
        <f>BK82</f>
        <v>49116800</v>
      </c>
      <c r="H82" s="681"/>
      <c r="I82" s="681"/>
      <c r="J82" s="681"/>
      <c r="K82" s="681"/>
      <c r="L82" s="681"/>
      <c r="M82" s="681">
        <f t="shared" si="138"/>
        <v>49116800</v>
      </c>
      <c r="N82" s="681"/>
      <c r="O82" s="681"/>
      <c r="P82" s="681"/>
      <c r="Q82" s="681"/>
      <c r="R82" s="683">
        <f t="shared" si="139"/>
        <v>145.6</v>
      </c>
      <c r="S82" s="683">
        <f t="shared" si="140"/>
        <v>270.40000000000003</v>
      </c>
      <c r="T82" s="683"/>
      <c r="U82" s="683"/>
      <c r="V82" s="684">
        <f>G82*0.25</f>
        <v>12279200</v>
      </c>
      <c r="W82" s="684">
        <f>G82:G82*0.5</f>
        <v>24558400</v>
      </c>
      <c r="X82" s="684">
        <f>G82*0.25</f>
        <v>12279200</v>
      </c>
      <c r="Y82" s="684">
        <f>U82*E82</f>
        <v>0</v>
      </c>
      <c r="Z82" s="688">
        <v>72</v>
      </c>
      <c r="AA82" s="685">
        <f>Z82*E82-7000000</f>
        <v>6485600</v>
      </c>
      <c r="AB82" s="688">
        <v>0</v>
      </c>
      <c r="AC82" s="685">
        <f t="shared" si="137"/>
        <v>0</v>
      </c>
      <c r="AD82" s="688">
        <v>0</v>
      </c>
      <c r="AE82" s="685">
        <f>AD82*E82</f>
        <v>0</v>
      </c>
      <c r="AF82" s="700">
        <v>67</v>
      </c>
      <c r="AG82" s="685">
        <f>AF82*E82-6000000</f>
        <v>6549100</v>
      </c>
      <c r="AH82" s="688">
        <v>0</v>
      </c>
      <c r="AI82" s="685">
        <f t="shared" si="154"/>
        <v>0</v>
      </c>
      <c r="AJ82" s="688">
        <v>12</v>
      </c>
      <c r="AK82" s="685">
        <f>AJ82*E82-500000</f>
        <v>1747600</v>
      </c>
      <c r="AL82" s="688"/>
      <c r="AM82" s="685">
        <f t="shared" si="165"/>
        <v>0</v>
      </c>
      <c r="AN82" s="688">
        <v>65</v>
      </c>
      <c r="AO82" s="685">
        <f>AN82*E82-5000000</f>
        <v>7174500</v>
      </c>
      <c r="AP82" s="688">
        <v>38</v>
      </c>
      <c r="AQ82" s="685">
        <f>AP82*E82-2000000</f>
        <v>5117400</v>
      </c>
      <c r="AR82" s="688">
        <v>10</v>
      </c>
      <c r="AS82" s="685">
        <f>AR82*E82-500000</f>
        <v>1373000</v>
      </c>
      <c r="AT82" s="685">
        <v>12</v>
      </c>
      <c r="AU82" s="685">
        <f>AT82*E82-800000</f>
        <v>1447600</v>
      </c>
      <c r="AV82" s="688">
        <v>10</v>
      </c>
      <c r="AW82" s="685">
        <f t="shared" si="157"/>
        <v>1873000</v>
      </c>
      <c r="AX82" s="687">
        <v>0</v>
      </c>
      <c r="AY82" s="685">
        <f t="shared" si="158"/>
        <v>0</v>
      </c>
      <c r="AZ82" s="688">
        <v>92</v>
      </c>
      <c r="BA82" s="685">
        <f>AZ82*E82-6000000</f>
        <v>11231600</v>
      </c>
      <c r="BB82" s="688">
        <v>0</v>
      </c>
      <c r="BC82" s="685">
        <f t="shared" si="143"/>
        <v>0</v>
      </c>
      <c r="BD82" s="688">
        <v>18</v>
      </c>
      <c r="BE82" s="685">
        <f t="shared" si="144"/>
        <v>3371400</v>
      </c>
      <c r="BF82" s="688">
        <v>20</v>
      </c>
      <c r="BG82" s="685">
        <f>BF82*E82-1000000</f>
        <v>2746000</v>
      </c>
      <c r="BH82" s="688"/>
      <c r="BI82" s="685">
        <f t="shared" si="145"/>
        <v>0</v>
      </c>
      <c r="BJ82" s="688">
        <f t="shared" si="146"/>
        <v>416</v>
      </c>
      <c r="BK82" s="688">
        <f>BI82+BG82+BE82+BC82+BA82+AY82+AW82+AU82+AS82+AQ82+AO82+AM82+AK82+AI82+AG82+AE82+AC82+AA82</f>
        <v>49116800</v>
      </c>
      <c r="BL82" s="701" t="s">
        <v>307</v>
      </c>
      <c r="BM82" s="690"/>
      <c r="BN82" s="681"/>
      <c r="BO82" s="691"/>
      <c r="BP82" s="681">
        <f t="shared" si="148"/>
        <v>49116800</v>
      </c>
      <c r="BQ82" s="691"/>
      <c r="BR82" s="691">
        <f t="shared" si="160"/>
        <v>49116800</v>
      </c>
      <c r="BS82" s="691"/>
      <c r="BT82" s="691"/>
      <c r="BU82" s="691"/>
      <c r="BV82" s="692">
        <f t="shared" si="161"/>
        <v>49116800</v>
      </c>
    </row>
    <row r="83" spans="1:74" s="693" customFormat="1" ht="31.5" customHeight="1">
      <c r="A83" s="904"/>
      <c r="B83" s="677"/>
      <c r="C83" s="678" t="s">
        <v>519</v>
      </c>
      <c r="D83" s="678" t="s">
        <v>76</v>
      </c>
      <c r="E83" s="679">
        <v>73200</v>
      </c>
      <c r="F83" s="680">
        <f t="shared" si="149"/>
        <v>452</v>
      </c>
      <c r="G83" s="680">
        <f t="shared" si="149"/>
        <v>18586400</v>
      </c>
      <c r="H83" s="681"/>
      <c r="I83" s="681"/>
      <c r="J83" s="681"/>
      <c r="K83" s="681"/>
      <c r="L83" s="681"/>
      <c r="M83" s="681">
        <f t="shared" si="138"/>
        <v>18586400</v>
      </c>
      <c r="N83" s="681"/>
      <c r="O83" s="681"/>
      <c r="P83" s="681"/>
      <c r="Q83" s="681"/>
      <c r="R83" s="683">
        <f t="shared" si="139"/>
        <v>158.19999999999999</v>
      </c>
      <c r="S83" s="683">
        <f t="shared" si="140"/>
        <v>293.8</v>
      </c>
      <c r="T83" s="683"/>
      <c r="U83" s="683"/>
      <c r="V83" s="684">
        <f t="shared" si="150"/>
        <v>11580240</v>
      </c>
      <c r="W83" s="684">
        <f t="shared" si="151"/>
        <v>21506160</v>
      </c>
      <c r="X83" s="684">
        <f t="shared" si="152"/>
        <v>0</v>
      </c>
      <c r="Y83" s="684">
        <f t="shared" si="141"/>
        <v>0</v>
      </c>
      <c r="Z83" s="688">
        <v>0</v>
      </c>
      <c r="AA83" s="685">
        <f t="shared" si="153"/>
        <v>0</v>
      </c>
      <c r="AB83" s="688"/>
      <c r="AC83" s="685">
        <f t="shared" si="137"/>
        <v>0</v>
      </c>
      <c r="AD83" s="688">
        <v>57</v>
      </c>
      <c r="AE83" s="685">
        <f>AD83*E83-3000000</f>
        <v>1172400</v>
      </c>
      <c r="AF83" s="688">
        <v>60</v>
      </c>
      <c r="AG83" s="685">
        <f>AF83*E83-2000000</f>
        <v>2392000</v>
      </c>
      <c r="AH83" s="688">
        <v>0</v>
      </c>
      <c r="AI83" s="685">
        <f t="shared" si="154"/>
        <v>0</v>
      </c>
      <c r="AJ83" s="688">
        <v>0</v>
      </c>
      <c r="AK83" s="685">
        <f t="shared" si="164"/>
        <v>0</v>
      </c>
      <c r="AL83" s="688">
        <v>145</v>
      </c>
      <c r="AM83" s="685">
        <f>AL83*E83-5000000</f>
        <v>5614000</v>
      </c>
      <c r="AN83" s="688">
        <v>105</v>
      </c>
      <c r="AO83" s="685">
        <f>AN83*E83-3000000</f>
        <v>4686000</v>
      </c>
      <c r="AP83" s="688">
        <v>20</v>
      </c>
      <c r="AQ83" s="685">
        <f>AP83*E83-500000</f>
        <v>964000</v>
      </c>
      <c r="AR83" s="695">
        <v>0</v>
      </c>
      <c r="AS83" s="685">
        <f t="shared" si="155"/>
        <v>0</v>
      </c>
      <c r="AT83" s="688">
        <v>0</v>
      </c>
      <c r="AU83" s="685">
        <f t="shared" si="156"/>
        <v>0</v>
      </c>
      <c r="AV83" s="688">
        <v>0</v>
      </c>
      <c r="AW83" s="685">
        <f t="shared" si="157"/>
        <v>0</v>
      </c>
      <c r="AX83" s="685">
        <v>7</v>
      </c>
      <c r="AY83" s="685">
        <f t="shared" si="158"/>
        <v>512400</v>
      </c>
      <c r="AZ83" s="688">
        <v>51</v>
      </c>
      <c r="BA83" s="685">
        <f>AZ83*E83-1000000</f>
        <v>2733200</v>
      </c>
      <c r="BB83" s="688">
        <v>0</v>
      </c>
      <c r="BC83" s="685">
        <f t="shared" si="143"/>
        <v>0</v>
      </c>
      <c r="BD83" s="688"/>
      <c r="BE83" s="685">
        <f t="shared" si="144"/>
        <v>0</v>
      </c>
      <c r="BF83" s="688">
        <v>7</v>
      </c>
      <c r="BG83" s="685">
        <f t="shared" si="159"/>
        <v>512400</v>
      </c>
      <c r="BH83" s="688"/>
      <c r="BI83" s="685">
        <f t="shared" si="145"/>
        <v>0</v>
      </c>
      <c r="BJ83" s="688">
        <f t="shared" si="146"/>
        <v>452</v>
      </c>
      <c r="BK83" s="688">
        <f t="shared" si="147"/>
        <v>18586400</v>
      </c>
      <c r="BL83" s="701" t="s">
        <v>307</v>
      </c>
      <c r="BM83" s="690"/>
      <c r="BN83" s="681"/>
      <c r="BO83" s="691"/>
      <c r="BP83" s="681">
        <f t="shared" si="148"/>
        <v>18586400</v>
      </c>
      <c r="BQ83" s="691"/>
      <c r="BR83" s="691">
        <f t="shared" si="160"/>
        <v>18586400</v>
      </c>
      <c r="BS83" s="691"/>
      <c r="BT83" s="691"/>
      <c r="BU83" s="691"/>
      <c r="BV83" s="692">
        <f t="shared" si="161"/>
        <v>18586400</v>
      </c>
    </row>
    <row r="84" spans="1:74" s="693" customFormat="1" ht="31.5" customHeight="1">
      <c r="A84" s="904"/>
      <c r="B84" s="677"/>
      <c r="C84" s="678" t="s">
        <v>520</v>
      </c>
      <c r="D84" s="678" t="s">
        <v>76</v>
      </c>
      <c r="E84" s="679">
        <v>50000</v>
      </c>
      <c r="F84" s="680">
        <f t="shared" si="149"/>
        <v>9</v>
      </c>
      <c r="G84" s="680">
        <f>BK84</f>
        <v>450000</v>
      </c>
      <c r="H84" s="681"/>
      <c r="I84" s="681"/>
      <c r="J84" s="681"/>
      <c r="K84" s="681"/>
      <c r="L84" s="681"/>
      <c r="M84" s="681">
        <f t="shared" si="138"/>
        <v>450000</v>
      </c>
      <c r="N84" s="681"/>
      <c r="O84" s="681"/>
      <c r="P84" s="681"/>
      <c r="Q84" s="681"/>
      <c r="R84" s="683">
        <f t="shared" si="139"/>
        <v>3.15</v>
      </c>
      <c r="S84" s="683">
        <f t="shared" si="140"/>
        <v>5.8500000000000005</v>
      </c>
      <c r="T84" s="683"/>
      <c r="U84" s="683"/>
      <c r="V84" s="684">
        <f t="shared" si="150"/>
        <v>157500</v>
      </c>
      <c r="W84" s="684">
        <f t="shared" si="151"/>
        <v>292500</v>
      </c>
      <c r="X84" s="684">
        <f t="shared" si="152"/>
        <v>0</v>
      </c>
      <c r="Y84" s="684">
        <f t="shared" si="141"/>
        <v>0</v>
      </c>
      <c r="Z84" s="688">
        <v>0</v>
      </c>
      <c r="AA84" s="685">
        <f t="shared" si="153"/>
        <v>0</v>
      </c>
      <c r="AB84" s="688"/>
      <c r="AC84" s="685">
        <f t="shared" si="137"/>
        <v>0</v>
      </c>
      <c r="AD84" s="688"/>
      <c r="AE84" s="685">
        <f t="shared" si="162"/>
        <v>0</v>
      </c>
      <c r="AF84" s="688">
        <v>0</v>
      </c>
      <c r="AG84" s="685">
        <f t="shared" si="163"/>
        <v>0</v>
      </c>
      <c r="AH84" s="688">
        <v>0</v>
      </c>
      <c r="AI84" s="685">
        <f t="shared" si="154"/>
        <v>0</v>
      </c>
      <c r="AJ84" s="688">
        <v>0</v>
      </c>
      <c r="AK84" s="685">
        <f t="shared" si="164"/>
        <v>0</v>
      </c>
      <c r="AL84" s="688"/>
      <c r="AM84" s="685">
        <f t="shared" si="165"/>
        <v>0</v>
      </c>
      <c r="AN84" s="688">
        <v>0</v>
      </c>
      <c r="AO84" s="685">
        <f t="shared" si="142"/>
        <v>0</v>
      </c>
      <c r="AP84" s="688"/>
      <c r="AQ84" s="685">
        <f t="shared" si="166"/>
        <v>0</v>
      </c>
      <c r="AR84" s="695">
        <v>0</v>
      </c>
      <c r="AS84" s="685">
        <f t="shared" si="155"/>
        <v>0</v>
      </c>
      <c r="AT84" s="688">
        <v>0</v>
      </c>
      <c r="AU84" s="685">
        <f t="shared" si="156"/>
        <v>0</v>
      </c>
      <c r="AV84" s="688">
        <v>0</v>
      </c>
      <c r="AW84" s="685">
        <f t="shared" si="157"/>
        <v>0</v>
      </c>
      <c r="AX84" s="685">
        <v>0</v>
      </c>
      <c r="AY84" s="685">
        <f t="shared" si="158"/>
        <v>0</v>
      </c>
      <c r="AZ84" s="688">
        <v>0</v>
      </c>
      <c r="BA84" s="685">
        <f t="shared" ref="BA84:BA92" si="167">AZ84*E84</f>
        <v>0</v>
      </c>
      <c r="BB84" s="688">
        <v>0</v>
      </c>
      <c r="BC84" s="685">
        <f t="shared" si="143"/>
        <v>0</v>
      </c>
      <c r="BD84" s="688"/>
      <c r="BE84" s="685">
        <f t="shared" si="144"/>
        <v>0</v>
      </c>
      <c r="BF84" s="688">
        <v>9</v>
      </c>
      <c r="BG84" s="685">
        <f t="shared" si="159"/>
        <v>450000</v>
      </c>
      <c r="BH84" s="688"/>
      <c r="BI84" s="685">
        <f t="shared" si="145"/>
        <v>0</v>
      </c>
      <c r="BJ84" s="688">
        <f t="shared" si="146"/>
        <v>9</v>
      </c>
      <c r="BK84" s="688">
        <f t="shared" si="147"/>
        <v>450000</v>
      </c>
      <c r="BL84" s="701" t="s">
        <v>307</v>
      </c>
      <c r="BM84" s="690"/>
      <c r="BN84" s="681"/>
      <c r="BO84" s="691"/>
      <c r="BP84" s="681">
        <f t="shared" si="148"/>
        <v>450000</v>
      </c>
      <c r="BQ84" s="691"/>
      <c r="BR84" s="691">
        <f t="shared" si="160"/>
        <v>450000</v>
      </c>
      <c r="BS84" s="691"/>
      <c r="BT84" s="691"/>
      <c r="BU84" s="691"/>
      <c r="BV84" s="692">
        <f t="shared" si="161"/>
        <v>450000</v>
      </c>
    </row>
    <row r="85" spans="1:74" s="693" customFormat="1" ht="31.5" customHeight="1">
      <c r="A85" s="904"/>
      <c r="B85" s="677"/>
      <c r="C85" s="678" t="s">
        <v>671</v>
      </c>
      <c r="D85" s="678" t="s">
        <v>76</v>
      </c>
      <c r="E85" s="679">
        <v>200000</v>
      </c>
      <c r="F85" s="680">
        <f t="shared" si="149"/>
        <v>0</v>
      </c>
      <c r="G85" s="680">
        <f>BK85</f>
        <v>0</v>
      </c>
      <c r="H85" s="681"/>
      <c r="I85" s="681"/>
      <c r="J85" s="681"/>
      <c r="K85" s="681"/>
      <c r="L85" s="681"/>
      <c r="M85" s="681">
        <f t="shared" si="138"/>
        <v>0</v>
      </c>
      <c r="N85" s="681"/>
      <c r="O85" s="681"/>
      <c r="P85" s="681"/>
      <c r="Q85" s="681"/>
      <c r="R85" s="683">
        <f>F85*0.35</f>
        <v>0</v>
      </c>
      <c r="S85" s="683">
        <f>F85*0.65</f>
        <v>0</v>
      </c>
      <c r="T85" s="683"/>
      <c r="U85" s="683"/>
      <c r="V85" s="684">
        <f>R85*E85</f>
        <v>0</v>
      </c>
      <c r="W85" s="684">
        <f>S85*E85</f>
        <v>0</v>
      </c>
      <c r="X85" s="684">
        <f>T85*E85</f>
        <v>0</v>
      </c>
      <c r="Y85" s="684">
        <f>U85*E85</f>
        <v>0</v>
      </c>
      <c r="Z85" s="688"/>
      <c r="AA85" s="685"/>
      <c r="AB85" s="688"/>
      <c r="AC85" s="685">
        <f t="shared" si="137"/>
        <v>0</v>
      </c>
      <c r="AD85" s="688">
        <v>0</v>
      </c>
      <c r="AE85" s="685">
        <f t="shared" si="162"/>
        <v>0</v>
      </c>
      <c r="AF85" s="688"/>
      <c r="AG85" s="685"/>
      <c r="AH85" s="688"/>
      <c r="AI85" s="685"/>
      <c r="AJ85" s="688"/>
      <c r="AK85" s="685"/>
      <c r="AL85" s="688"/>
      <c r="AM85" s="685">
        <f t="shared" si="165"/>
        <v>0</v>
      </c>
      <c r="AN85" s="688">
        <v>0</v>
      </c>
      <c r="AO85" s="685">
        <f t="shared" si="142"/>
        <v>0</v>
      </c>
      <c r="AP85" s="688"/>
      <c r="AQ85" s="685">
        <f t="shared" si="166"/>
        <v>0</v>
      </c>
      <c r="AR85" s="688"/>
      <c r="AS85" s="685"/>
      <c r="AT85" s="688"/>
      <c r="AU85" s="685"/>
      <c r="AV85" s="688"/>
      <c r="AW85" s="685"/>
      <c r="AX85" s="685"/>
      <c r="AY85" s="685"/>
      <c r="AZ85" s="688">
        <v>0</v>
      </c>
      <c r="BA85" s="685"/>
      <c r="BB85" s="688"/>
      <c r="BC85" s="685"/>
      <c r="BD85" s="688"/>
      <c r="BE85" s="685"/>
      <c r="BF85" s="688"/>
      <c r="BG85" s="685"/>
      <c r="BH85" s="688"/>
      <c r="BI85" s="685">
        <f t="shared" si="145"/>
        <v>0</v>
      </c>
      <c r="BJ85" s="688">
        <f>BH85+BF85+BD85+BB85+AZ85+AX85+AV85+AT85+AR85+AP85+AN85+AL85+AJ85+AH85+AF85+AD85+AB85+Z85</f>
        <v>0</v>
      </c>
      <c r="BK85" s="688">
        <f>BI85+BG85+BE85+BC85+BA85+AY85+AW85+AU85+AS85+AQ85+AO85+AM85+AK85+AI85+AG85+AE85+AC85+AA85</f>
        <v>0</v>
      </c>
      <c r="BL85" s="701" t="s">
        <v>307</v>
      </c>
      <c r="BM85" s="690"/>
      <c r="BN85" s="681"/>
      <c r="BO85" s="691"/>
      <c r="BP85" s="681"/>
      <c r="BQ85" s="691"/>
      <c r="BR85" s="691"/>
      <c r="BS85" s="691"/>
      <c r="BT85" s="691"/>
      <c r="BU85" s="691"/>
      <c r="BV85" s="692"/>
    </row>
    <row r="86" spans="1:74" s="693" customFormat="1">
      <c r="A86" s="904"/>
      <c r="B86" s="677"/>
      <c r="C86" s="678" t="s">
        <v>251</v>
      </c>
      <c r="D86" s="678" t="s">
        <v>76</v>
      </c>
      <c r="E86" s="679">
        <v>260000</v>
      </c>
      <c r="F86" s="680">
        <f t="shared" si="149"/>
        <v>79</v>
      </c>
      <c r="G86" s="680">
        <f t="shared" si="149"/>
        <v>15540000</v>
      </c>
      <c r="H86" s="681"/>
      <c r="I86" s="681"/>
      <c r="J86" s="681"/>
      <c r="K86" s="681"/>
      <c r="L86" s="681"/>
      <c r="M86" s="681">
        <f t="shared" si="138"/>
        <v>15540000</v>
      </c>
      <c r="N86" s="681"/>
      <c r="O86" s="681"/>
      <c r="P86" s="681"/>
      <c r="Q86" s="681"/>
      <c r="R86" s="683">
        <f t="shared" si="139"/>
        <v>27.65</v>
      </c>
      <c r="S86" s="683">
        <f t="shared" si="140"/>
        <v>51.35</v>
      </c>
      <c r="T86" s="683"/>
      <c r="U86" s="683"/>
      <c r="V86" s="684">
        <f t="shared" si="150"/>
        <v>7189000</v>
      </c>
      <c r="W86" s="684">
        <f t="shared" si="151"/>
        <v>13351000</v>
      </c>
      <c r="X86" s="684">
        <f t="shared" si="152"/>
        <v>0</v>
      </c>
      <c r="Y86" s="684">
        <f t="shared" si="141"/>
        <v>0</v>
      </c>
      <c r="Z86" s="688">
        <v>0</v>
      </c>
      <c r="AA86" s="685">
        <f t="shared" si="153"/>
        <v>0</v>
      </c>
      <c r="AB86" s="688"/>
      <c r="AC86" s="685">
        <f t="shared" si="137"/>
        <v>0</v>
      </c>
      <c r="AD86" s="688">
        <v>0</v>
      </c>
      <c r="AE86" s="685">
        <f t="shared" si="162"/>
        <v>0</v>
      </c>
      <c r="AF86" s="688">
        <v>0</v>
      </c>
      <c r="AG86" s="685">
        <f t="shared" si="163"/>
        <v>0</v>
      </c>
      <c r="AH86" s="688">
        <v>0</v>
      </c>
      <c r="AI86" s="685">
        <f t="shared" si="154"/>
        <v>0</v>
      </c>
      <c r="AJ86" s="688">
        <v>0</v>
      </c>
      <c r="AK86" s="685">
        <f t="shared" si="164"/>
        <v>0</v>
      </c>
      <c r="AL86" s="688">
        <v>20</v>
      </c>
      <c r="AM86" s="685">
        <f>AL86*E86-2000000</f>
        <v>3200000</v>
      </c>
      <c r="AN86" s="688">
        <v>55</v>
      </c>
      <c r="AO86" s="685">
        <f>AN86*E86-3000000</f>
        <v>11300000</v>
      </c>
      <c r="AP86" s="688"/>
      <c r="AQ86" s="685">
        <f t="shared" si="166"/>
        <v>0</v>
      </c>
      <c r="AR86" s="688">
        <v>0</v>
      </c>
      <c r="AS86" s="685">
        <f t="shared" si="155"/>
        <v>0</v>
      </c>
      <c r="AT86" s="688">
        <v>0</v>
      </c>
      <c r="AU86" s="685">
        <f t="shared" si="156"/>
        <v>0</v>
      </c>
      <c r="AV86" s="688">
        <v>0</v>
      </c>
      <c r="AW86" s="685">
        <f t="shared" si="157"/>
        <v>0</v>
      </c>
      <c r="AX86" s="685">
        <v>0</v>
      </c>
      <c r="AY86" s="685">
        <f t="shared" si="158"/>
        <v>0</v>
      </c>
      <c r="AZ86" s="688">
        <v>0</v>
      </c>
      <c r="BA86" s="685">
        <f t="shared" si="167"/>
        <v>0</v>
      </c>
      <c r="BB86" s="688">
        <v>0</v>
      </c>
      <c r="BC86" s="685">
        <f t="shared" si="143"/>
        <v>0</v>
      </c>
      <c r="BD86" s="688">
        <v>4</v>
      </c>
      <c r="BE86" s="685">
        <f t="shared" si="144"/>
        <v>1040000</v>
      </c>
      <c r="BF86" s="688">
        <v>0</v>
      </c>
      <c r="BG86" s="685">
        <f t="shared" si="159"/>
        <v>0</v>
      </c>
      <c r="BH86" s="688"/>
      <c r="BI86" s="685">
        <f t="shared" si="145"/>
        <v>0</v>
      </c>
      <c r="BJ86" s="688">
        <f>BH86+BF86+BD86+BB86+AZ86+AX86+AV86+AT86+AR86+AP86+AN86+AL86+AJ86+AH86+AF86+AD86+AB86+Z86</f>
        <v>79</v>
      </c>
      <c r="BK86" s="688">
        <f t="shared" si="147"/>
        <v>15540000</v>
      </c>
      <c r="BL86" s="701" t="s">
        <v>307</v>
      </c>
      <c r="BM86" s="690"/>
      <c r="BN86" s="681"/>
      <c r="BO86" s="691"/>
      <c r="BP86" s="681">
        <f t="shared" si="148"/>
        <v>15540000</v>
      </c>
      <c r="BQ86" s="691"/>
      <c r="BR86" s="691">
        <f t="shared" si="160"/>
        <v>15540000</v>
      </c>
      <c r="BS86" s="691"/>
      <c r="BT86" s="691"/>
      <c r="BU86" s="691"/>
      <c r="BV86" s="692">
        <f t="shared" si="161"/>
        <v>15540000</v>
      </c>
    </row>
    <row r="87" spans="1:74" s="693" customFormat="1">
      <c r="A87" s="904"/>
      <c r="B87" s="677"/>
      <c r="C87" s="678" t="s">
        <v>252</v>
      </c>
      <c r="D87" s="678" t="s">
        <v>76</v>
      </c>
      <c r="E87" s="679">
        <v>80000</v>
      </c>
      <c r="F87" s="680">
        <f t="shared" si="149"/>
        <v>31</v>
      </c>
      <c r="G87" s="680">
        <f t="shared" si="149"/>
        <v>1480000</v>
      </c>
      <c r="H87" s="681"/>
      <c r="I87" s="681"/>
      <c r="J87" s="681"/>
      <c r="K87" s="681"/>
      <c r="L87" s="681"/>
      <c r="M87" s="681">
        <f t="shared" si="138"/>
        <v>1480000</v>
      </c>
      <c r="N87" s="681"/>
      <c r="O87" s="681"/>
      <c r="P87" s="681"/>
      <c r="Q87" s="681"/>
      <c r="R87" s="683">
        <f t="shared" si="139"/>
        <v>10.85</v>
      </c>
      <c r="S87" s="683">
        <f t="shared" si="140"/>
        <v>20.150000000000002</v>
      </c>
      <c r="T87" s="683"/>
      <c r="U87" s="683"/>
      <c r="V87" s="684">
        <f t="shared" si="150"/>
        <v>868000</v>
      </c>
      <c r="W87" s="684">
        <f t="shared" si="151"/>
        <v>1612000.0000000002</v>
      </c>
      <c r="X87" s="684">
        <f t="shared" si="152"/>
        <v>0</v>
      </c>
      <c r="Y87" s="684">
        <f t="shared" si="141"/>
        <v>0</v>
      </c>
      <c r="Z87" s="688">
        <v>0</v>
      </c>
      <c r="AA87" s="685">
        <f t="shared" si="153"/>
        <v>0</v>
      </c>
      <c r="AB87" s="688"/>
      <c r="AC87" s="685">
        <f t="shared" si="137"/>
        <v>0</v>
      </c>
      <c r="AD87" s="688">
        <v>0</v>
      </c>
      <c r="AE87" s="685">
        <f t="shared" si="162"/>
        <v>0</v>
      </c>
      <c r="AF87" s="688">
        <v>0</v>
      </c>
      <c r="AG87" s="685">
        <f t="shared" si="163"/>
        <v>0</v>
      </c>
      <c r="AH87" s="688">
        <v>0</v>
      </c>
      <c r="AI87" s="685">
        <f t="shared" si="154"/>
        <v>0</v>
      </c>
      <c r="AJ87" s="688">
        <v>1</v>
      </c>
      <c r="AK87" s="685">
        <f t="shared" si="164"/>
        <v>80000</v>
      </c>
      <c r="AL87" s="688">
        <v>30</v>
      </c>
      <c r="AM87" s="685">
        <f>AL87*E87-1000000</f>
        <v>1400000</v>
      </c>
      <c r="AN87" s="688">
        <v>0</v>
      </c>
      <c r="AO87" s="685">
        <f t="shared" si="142"/>
        <v>0</v>
      </c>
      <c r="AP87" s="688">
        <v>0</v>
      </c>
      <c r="AQ87" s="685">
        <f t="shared" si="166"/>
        <v>0</v>
      </c>
      <c r="AR87" s="695">
        <v>0</v>
      </c>
      <c r="AS87" s="685">
        <f t="shared" si="155"/>
        <v>0</v>
      </c>
      <c r="AT87" s="688">
        <v>0</v>
      </c>
      <c r="AU87" s="685">
        <f t="shared" si="156"/>
        <v>0</v>
      </c>
      <c r="AV87" s="688">
        <v>0</v>
      </c>
      <c r="AW87" s="685">
        <f t="shared" si="157"/>
        <v>0</v>
      </c>
      <c r="AX87" s="685">
        <v>0</v>
      </c>
      <c r="AY87" s="685">
        <f t="shared" si="158"/>
        <v>0</v>
      </c>
      <c r="AZ87" s="688">
        <v>0</v>
      </c>
      <c r="BA87" s="685">
        <f t="shared" si="167"/>
        <v>0</v>
      </c>
      <c r="BB87" s="688">
        <v>0</v>
      </c>
      <c r="BC87" s="685">
        <f t="shared" si="143"/>
        <v>0</v>
      </c>
      <c r="BD87" s="688">
        <v>0</v>
      </c>
      <c r="BE87" s="685">
        <f t="shared" si="144"/>
        <v>0</v>
      </c>
      <c r="BF87" s="688">
        <v>0</v>
      </c>
      <c r="BG87" s="685">
        <f t="shared" si="159"/>
        <v>0</v>
      </c>
      <c r="BH87" s="688"/>
      <c r="BI87" s="685">
        <f t="shared" si="145"/>
        <v>0</v>
      </c>
      <c r="BJ87" s="688">
        <f>BH87+BF87+BD87+BB87+AZ87+AX87+AV87+AT87+AR87+AP87+AN87+AL87+AJ87+AH87+AF87+AD87+AB87+Z87</f>
        <v>31</v>
      </c>
      <c r="BK87" s="688">
        <f t="shared" si="147"/>
        <v>1480000</v>
      </c>
      <c r="BL87" s="701" t="s">
        <v>307</v>
      </c>
      <c r="BM87" s="690"/>
      <c r="BN87" s="681"/>
      <c r="BO87" s="691"/>
      <c r="BP87" s="681">
        <f t="shared" si="148"/>
        <v>1480000</v>
      </c>
      <c r="BQ87" s="691"/>
      <c r="BR87" s="691">
        <f t="shared" si="160"/>
        <v>1480000</v>
      </c>
      <c r="BS87" s="691"/>
      <c r="BT87" s="691"/>
      <c r="BU87" s="691"/>
      <c r="BV87" s="692">
        <f t="shared" ref="BV87:BV101" si="168">BR87+BU87</f>
        <v>1480000</v>
      </c>
    </row>
    <row r="88" spans="1:74" s="693" customFormat="1">
      <c r="A88" s="904"/>
      <c r="B88" s="677"/>
      <c r="C88" s="678" t="s">
        <v>253</v>
      </c>
      <c r="D88" s="678" t="s">
        <v>76</v>
      </c>
      <c r="E88" s="679">
        <v>203000</v>
      </c>
      <c r="F88" s="680">
        <f t="shared" si="149"/>
        <v>10</v>
      </c>
      <c r="G88" s="681">
        <f t="shared" ref="G88:G101" si="169">F88*E88</f>
        <v>2030000</v>
      </c>
      <c r="H88" s="681"/>
      <c r="I88" s="681"/>
      <c r="J88" s="681"/>
      <c r="K88" s="681"/>
      <c r="L88" s="681"/>
      <c r="M88" s="681">
        <f t="shared" si="138"/>
        <v>2030000</v>
      </c>
      <c r="N88" s="681"/>
      <c r="O88" s="681"/>
      <c r="P88" s="681"/>
      <c r="Q88" s="681"/>
      <c r="R88" s="683">
        <f t="shared" si="139"/>
        <v>3.5</v>
      </c>
      <c r="S88" s="683">
        <f t="shared" si="140"/>
        <v>6.5</v>
      </c>
      <c r="T88" s="683"/>
      <c r="U88" s="683"/>
      <c r="V88" s="684">
        <f t="shared" si="150"/>
        <v>710500</v>
      </c>
      <c r="W88" s="684">
        <f t="shared" si="151"/>
        <v>1319500</v>
      </c>
      <c r="X88" s="684">
        <f t="shared" si="152"/>
        <v>0</v>
      </c>
      <c r="Y88" s="684">
        <f t="shared" si="141"/>
        <v>0</v>
      </c>
      <c r="Z88" s="688">
        <v>0</v>
      </c>
      <c r="AA88" s="685">
        <f t="shared" si="153"/>
        <v>0</v>
      </c>
      <c r="AB88" s="688">
        <v>0</v>
      </c>
      <c r="AC88" s="685">
        <f t="shared" si="137"/>
        <v>0</v>
      </c>
      <c r="AD88" s="688">
        <v>0</v>
      </c>
      <c r="AE88" s="685">
        <f t="shared" si="162"/>
        <v>0</v>
      </c>
      <c r="AF88" s="688">
        <v>0</v>
      </c>
      <c r="AG88" s="685">
        <f t="shared" si="163"/>
        <v>0</v>
      </c>
      <c r="AH88" s="688">
        <v>0</v>
      </c>
      <c r="AI88" s="685">
        <f t="shared" si="154"/>
        <v>0</v>
      </c>
      <c r="AJ88" s="688">
        <v>2</v>
      </c>
      <c r="AK88" s="685">
        <f t="shared" si="164"/>
        <v>406000</v>
      </c>
      <c r="AL88" s="688">
        <v>0</v>
      </c>
      <c r="AM88" s="685">
        <f t="shared" si="165"/>
        <v>0</v>
      </c>
      <c r="AN88" s="688">
        <v>0</v>
      </c>
      <c r="AO88" s="685">
        <f t="shared" si="142"/>
        <v>0</v>
      </c>
      <c r="AP88" s="688">
        <v>0</v>
      </c>
      <c r="AQ88" s="685">
        <f t="shared" si="166"/>
        <v>0</v>
      </c>
      <c r="AR88" s="688">
        <v>0</v>
      </c>
      <c r="AS88" s="685">
        <f t="shared" si="155"/>
        <v>0</v>
      </c>
      <c r="AT88" s="688">
        <v>0</v>
      </c>
      <c r="AU88" s="685">
        <f t="shared" si="156"/>
        <v>0</v>
      </c>
      <c r="AV88" s="688">
        <v>5</v>
      </c>
      <c r="AW88" s="685">
        <f t="shared" si="157"/>
        <v>1015000</v>
      </c>
      <c r="AX88" s="685">
        <v>3</v>
      </c>
      <c r="AY88" s="685">
        <f t="shared" si="158"/>
        <v>609000</v>
      </c>
      <c r="AZ88" s="688">
        <v>0</v>
      </c>
      <c r="BA88" s="685">
        <f t="shared" si="167"/>
        <v>0</v>
      </c>
      <c r="BB88" s="688">
        <v>0</v>
      </c>
      <c r="BC88" s="685">
        <f t="shared" si="143"/>
        <v>0</v>
      </c>
      <c r="BD88" s="688">
        <v>0</v>
      </c>
      <c r="BE88" s="685">
        <f t="shared" si="144"/>
        <v>0</v>
      </c>
      <c r="BF88" s="688">
        <v>0</v>
      </c>
      <c r="BG88" s="685">
        <f t="shared" si="159"/>
        <v>0</v>
      </c>
      <c r="BH88" s="688"/>
      <c r="BI88" s="685">
        <f t="shared" si="145"/>
        <v>0</v>
      </c>
      <c r="BJ88" s="688">
        <f>BH88+BF88+BD88+BB88+AZ88+AX88+AV88+AT88+AR88+AP88+AN88+AL88+AJ88+AH88+AF88+AD88+AB88+Z88</f>
        <v>10</v>
      </c>
      <c r="BK88" s="688">
        <f t="shared" si="147"/>
        <v>2030000</v>
      </c>
      <c r="BL88" s="701" t="s">
        <v>307</v>
      </c>
      <c r="BM88" s="690"/>
      <c r="BN88" s="681"/>
      <c r="BO88" s="691"/>
      <c r="BP88" s="681">
        <f t="shared" si="148"/>
        <v>2030000</v>
      </c>
      <c r="BQ88" s="691"/>
      <c r="BR88" s="691">
        <f t="shared" ref="BR88:BR101" si="170">BN88+BO88+BP88+BQ88</f>
        <v>2030000</v>
      </c>
      <c r="BS88" s="691"/>
      <c r="BT88" s="691"/>
      <c r="BU88" s="691"/>
      <c r="BV88" s="692">
        <f t="shared" si="168"/>
        <v>2030000</v>
      </c>
    </row>
    <row r="89" spans="1:74" s="693" customFormat="1">
      <c r="A89" s="904"/>
      <c r="B89" s="677"/>
      <c r="C89" s="678" t="s">
        <v>659</v>
      </c>
      <c r="D89" s="678" t="s">
        <v>76</v>
      </c>
      <c r="E89" s="679">
        <v>100000</v>
      </c>
      <c r="F89" s="680">
        <f t="shared" si="149"/>
        <v>0</v>
      </c>
      <c r="G89" s="681">
        <f t="shared" si="169"/>
        <v>0</v>
      </c>
      <c r="H89" s="681"/>
      <c r="I89" s="681"/>
      <c r="J89" s="681"/>
      <c r="K89" s="681"/>
      <c r="L89" s="681"/>
      <c r="M89" s="681">
        <f t="shared" si="138"/>
        <v>0</v>
      </c>
      <c r="N89" s="681"/>
      <c r="O89" s="681"/>
      <c r="P89" s="681"/>
      <c r="Q89" s="681"/>
      <c r="R89" s="683">
        <f>F89*0.35</f>
        <v>0</v>
      </c>
      <c r="S89" s="683">
        <f>F89*0.65</f>
        <v>0</v>
      </c>
      <c r="T89" s="683"/>
      <c r="U89" s="683"/>
      <c r="V89" s="684">
        <f>R89*E89</f>
        <v>0</v>
      </c>
      <c r="W89" s="684">
        <f>S89*E89</f>
        <v>0</v>
      </c>
      <c r="X89" s="684">
        <f>T89*E89</f>
        <v>0</v>
      </c>
      <c r="Y89" s="684">
        <f>U89*E89</f>
        <v>0</v>
      </c>
      <c r="Z89" s="688"/>
      <c r="AA89" s="685"/>
      <c r="AB89" s="688"/>
      <c r="AC89" s="685"/>
      <c r="AD89" s="688"/>
      <c r="AE89" s="685"/>
      <c r="AF89" s="688"/>
      <c r="AG89" s="685"/>
      <c r="AH89" s="688"/>
      <c r="AI89" s="685"/>
      <c r="AJ89" s="688"/>
      <c r="AK89" s="685"/>
      <c r="AL89" s="688"/>
      <c r="AM89" s="685"/>
      <c r="AN89" s="688"/>
      <c r="AO89" s="685"/>
      <c r="AP89" s="688">
        <v>0</v>
      </c>
      <c r="AQ89" s="685"/>
      <c r="AR89" s="688"/>
      <c r="AS89" s="685"/>
      <c r="AT89" s="688">
        <v>0</v>
      </c>
      <c r="AU89" s="685"/>
      <c r="AV89" s="688">
        <v>0</v>
      </c>
      <c r="AW89" s="685">
        <f t="shared" si="157"/>
        <v>0</v>
      </c>
      <c r="AX89" s="685"/>
      <c r="AY89" s="685"/>
      <c r="AZ89" s="688">
        <v>0</v>
      </c>
      <c r="BA89" s="685"/>
      <c r="BB89" s="688">
        <v>0</v>
      </c>
      <c r="BC89" s="685"/>
      <c r="BD89" s="688"/>
      <c r="BE89" s="685"/>
      <c r="BF89" s="688"/>
      <c r="BG89" s="685"/>
      <c r="BH89" s="688"/>
      <c r="BI89" s="685">
        <f t="shared" si="145"/>
        <v>0</v>
      </c>
      <c r="BJ89" s="688">
        <f>BH89+BF89+BD89+BB89+AZ89+AX89+AV89+AT89+AR89+AP89+AN89+AL89+AJ89+AH89+AF89+AD89+AB89+Z89</f>
        <v>0</v>
      </c>
      <c r="BK89" s="688">
        <f>BI89+BG89+BE89+BC89+BA89+AY89+AW89+AU89+AS89+AQ89+AO89+AM89+AK89+AI89+AG89+AE89+AC89+AA89</f>
        <v>0</v>
      </c>
      <c r="BL89" s="701" t="s">
        <v>307</v>
      </c>
      <c r="BM89" s="690"/>
      <c r="BN89" s="681"/>
      <c r="BO89" s="691"/>
      <c r="BP89" s="681"/>
      <c r="BQ89" s="691"/>
      <c r="BR89" s="691"/>
      <c r="BS89" s="691"/>
      <c r="BT89" s="691"/>
      <c r="BU89" s="691"/>
      <c r="BV89" s="692"/>
    </row>
    <row r="90" spans="1:74" s="693" customFormat="1">
      <c r="A90" s="904"/>
      <c r="B90" s="677"/>
      <c r="C90" s="678" t="s">
        <v>677</v>
      </c>
      <c r="D90" s="678" t="s">
        <v>76</v>
      </c>
      <c r="E90" s="679">
        <v>217500</v>
      </c>
      <c r="F90" s="680">
        <f t="shared" si="149"/>
        <v>2</v>
      </c>
      <c r="G90" s="681">
        <f t="shared" si="169"/>
        <v>435000</v>
      </c>
      <c r="H90" s="681"/>
      <c r="I90" s="681"/>
      <c r="J90" s="681"/>
      <c r="K90" s="681"/>
      <c r="L90" s="681"/>
      <c r="M90" s="681">
        <f t="shared" si="138"/>
        <v>435000</v>
      </c>
      <c r="N90" s="681"/>
      <c r="O90" s="681"/>
      <c r="P90" s="681"/>
      <c r="Q90" s="681"/>
      <c r="R90" s="683">
        <f>F90*0.15</f>
        <v>0.3</v>
      </c>
      <c r="S90" s="683">
        <f>F90*0.7</f>
        <v>1.4</v>
      </c>
      <c r="T90" s="683">
        <f>F90:F90*0.15</f>
        <v>0.3</v>
      </c>
      <c r="U90" s="683"/>
      <c r="V90" s="684">
        <f t="shared" si="150"/>
        <v>65250</v>
      </c>
      <c r="W90" s="684">
        <f t="shared" si="151"/>
        <v>304500</v>
      </c>
      <c r="X90" s="684">
        <f t="shared" si="152"/>
        <v>65250</v>
      </c>
      <c r="Y90" s="684">
        <f t="shared" si="141"/>
        <v>0</v>
      </c>
      <c r="Z90" s="688">
        <v>0</v>
      </c>
      <c r="AA90" s="685">
        <f t="shared" si="153"/>
        <v>0</v>
      </c>
      <c r="AB90" s="688">
        <v>0</v>
      </c>
      <c r="AC90" s="685">
        <f t="shared" si="137"/>
        <v>0</v>
      </c>
      <c r="AD90" s="688">
        <v>0</v>
      </c>
      <c r="AE90" s="685">
        <f t="shared" si="162"/>
        <v>0</v>
      </c>
      <c r="AF90" s="688">
        <v>0</v>
      </c>
      <c r="AG90" s="685">
        <f t="shared" si="163"/>
        <v>0</v>
      </c>
      <c r="AH90" s="688">
        <v>0</v>
      </c>
      <c r="AI90" s="685">
        <f t="shared" si="154"/>
        <v>0</v>
      </c>
      <c r="AJ90" s="688">
        <v>0</v>
      </c>
      <c r="AK90" s="685">
        <f t="shared" si="164"/>
        <v>0</v>
      </c>
      <c r="AL90" s="688">
        <v>0</v>
      </c>
      <c r="AM90" s="685">
        <f t="shared" si="165"/>
        <v>0</v>
      </c>
      <c r="AN90" s="688">
        <v>0</v>
      </c>
      <c r="AO90" s="685">
        <f t="shared" si="142"/>
        <v>0</v>
      </c>
      <c r="AP90" s="688">
        <v>0</v>
      </c>
      <c r="AQ90" s="685">
        <f t="shared" si="166"/>
        <v>0</v>
      </c>
      <c r="AR90" s="695">
        <v>0</v>
      </c>
      <c r="AS90" s="685">
        <f t="shared" si="155"/>
        <v>0</v>
      </c>
      <c r="AT90" s="688">
        <v>0</v>
      </c>
      <c r="AU90" s="685">
        <f t="shared" si="156"/>
        <v>0</v>
      </c>
      <c r="AV90" s="688">
        <v>0</v>
      </c>
      <c r="AW90" s="685">
        <f t="shared" si="157"/>
        <v>0</v>
      </c>
      <c r="AX90" s="685">
        <v>0</v>
      </c>
      <c r="AY90" s="685">
        <f t="shared" si="158"/>
        <v>0</v>
      </c>
      <c r="AZ90" s="688">
        <v>0</v>
      </c>
      <c r="BA90" s="685">
        <f t="shared" si="167"/>
        <v>0</v>
      </c>
      <c r="BB90" s="688">
        <v>0</v>
      </c>
      <c r="BC90" s="685">
        <f t="shared" si="143"/>
        <v>0</v>
      </c>
      <c r="BD90" s="688">
        <v>2</v>
      </c>
      <c r="BE90" s="685">
        <f t="shared" si="144"/>
        <v>435000</v>
      </c>
      <c r="BF90" s="688">
        <v>0</v>
      </c>
      <c r="BG90" s="685">
        <f t="shared" si="159"/>
        <v>0</v>
      </c>
      <c r="BH90" s="688"/>
      <c r="BI90" s="685">
        <f t="shared" si="145"/>
        <v>0</v>
      </c>
      <c r="BJ90" s="688">
        <f t="shared" ref="BJ90:BJ101" si="171">BH90+BF90+BD90+BB90+AZ90+AX90+AV90+AT90+AR90+AP90+AN90+AL90+AJ90+AH90+AF90+AD90+AB90+Z90</f>
        <v>2</v>
      </c>
      <c r="BK90" s="688">
        <f t="shared" si="147"/>
        <v>435000</v>
      </c>
      <c r="BL90" s="701" t="s">
        <v>307</v>
      </c>
      <c r="BM90" s="690"/>
      <c r="BN90" s="681"/>
      <c r="BO90" s="691"/>
      <c r="BP90" s="681">
        <f t="shared" si="148"/>
        <v>435000</v>
      </c>
      <c r="BQ90" s="691"/>
      <c r="BR90" s="691">
        <f t="shared" si="170"/>
        <v>435000</v>
      </c>
      <c r="BS90" s="691"/>
      <c r="BT90" s="691"/>
      <c r="BU90" s="691"/>
      <c r="BV90" s="692">
        <f t="shared" si="168"/>
        <v>435000</v>
      </c>
    </row>
    <row r="91" spans="1:74" s="693" customFormat="1">
      <c r="A91" s="904"/>
      <c r="B91" s="677"/>
      <c r="C91" s="678" t="s">
        <v>254</v>
      </c>
      <c r="D91" s="678" t="s">
        <v>76</v>
      </c>
      <c r="E91" s="679">
        <v>236000</v>
      </c>
      <c r="F91" s="680">
        <f t="shared" si="149"/>
        <v>0</v>
      </c>
      <c r="G91" s="681">
        <f t="shared" si="169"/>
        <v>0</v>
      </c>
      <c r="H91" s="681"/>
      <c r="I91" s="681"/>
      <c r="J91" s="681"/>
      <c r="K91" s="681"/>
      <c r="L91" s="681"/>
      <c r="M91" s="681">
        <f t="shared" si="138"/>
        <v>0</v>
      </c>
      <c r="N91" s="681"/>
      <c r="O91" s="681"/>
      <c r="P91" s="681"/>
      <c r="Q91" s="681"/>
      <c r="R91" s="683">
        <f>F91*0.15</f>
        <v>0</v>
      </c>
      <c r="S91" s="683">
        <f>F91*0.7</f>
        <v>0</v>
      </c>
      <c r="T91" s="683">
        <f>F91:F91*0.15</f>
        <v>0</v>
      </c>
      <c r="U91" s="683"/>
      <c r="V91" s="684">
        <f t="shared" si="150"/>
        <v>0</v>
      </c>
      <c r="W91" s="684">
        <f t="shared" si="151"/>
        <v>0</v>
      </c>
      <c r="X91" s="684">
        <f t="shared" si="152"/>
        <v>0</v>
      </c>
      <c r="Y91" s="684">
        <f t="shared" si="141"/>
        <v>0</v>
      </c>
      <c r="Z91" s="688">
        <v>0</v>
      </c>
      <c r="AA91" s="685">
        <f t="shared" si="153"/>
        <v>0</v>
      </c>
      <c r="AB91" s="688"/>
      <c r="AC91" s="685">
        <f t="shared" si="137"/>
        <v>0</v>
      </c>
      <c r="AD91" s="688"/>
      <c r="AE91" s="685">
        <f t="shared" si="162"/>
        <v>0</v>
      </c>
      <c r="AF91" s="688">
        <v>0</v>
      </c>
      <c r="AG91" s="685">
        <f t="shared" si="163"/>
        <v>0</v>
      </c>
      <c r="AH91" s="688">
        <v>0</v>
      </c>
      <c r="AI91" s="685">
        <f t="shared" si="154"/>
        <v>0</v>
      </c>
      <c r="AJ91" s="688">
        <v>0</v>
      </c>
      <c r="AK91" s="685">
        <f t="shared" si="164"/>
        <v>0</v>
      </c>
      <c r="AL91" s="688">
        <v>0</v>
      </c>
      <c r="AM91" s="685">
        <f t="shared" si="165"/>
        <v>0</v>
      </c>
      <c r="AN91" s="688">
        <v>0</v>
      </c>
      <c r="AO91" s="685">
        <f t="shared" si="142"/>
        <v>0</v>
      </c>
      <c r="AP91" s="688">
        <v>0</v>
      </c>
      <c r="AQ91" s="685">
        <f t="shared" si="166"/>
        <v>0</v>
      </c>
      <c r="AR91" s="695">
        <v>0</v>
      </c>
      <c r="AS91" s="685">
        <f t="shared" si="155"/>
        <v>0</v>
      </c>
      <c r="AT91" s="688">
        <v>0</v>
      </c>
      <c r="AU91" s="685">
        <f t="shared" si="156"/>
        <v>0</v>
      </c>
      <c r="AV91" s="688">
        <v>0</v>
      </c>
      <c r="AW91" s="685">
        <f t="shared" si="157"/>
        <v>0</v>
      </c>
      <c r="AX91" s="685">
        <v>0</v>
      </c>
      <c r="AY91" s="685">
        <f t="shared" si="158"/>
        <v>0</v>
      </c>
      <c r="AZ91" s="688"/>
      <c r="BA91" s="685">
        <f t="shared" si="167"/>
        <v>0</v>
      </c>
      <c r="BB91" s="688">
        <v>0</v>
      </c>
      <c r="BC91" s="685">
        <f t="shared" si="143"/>
        <v>0</v>
      </c>
      <c r="BD91" s="688">
        <v>0</v>
      </c>
      <c r="BE91" s="685">
        <f t="shared" si="144"/>
        <v>0</v>
      </c>
      <c r="BF91" s="688">
        <v>0</v>
      </c>
      <c r="BG91" s="685">
        <f t="shared" si="159"/>
        <v>0</v>
      </c>
      <c r="BH91" s="688"/>
      <c r="BI91" s="685">
        <f t="shared" si="145"/>
        <v>0</v>
      </c>
      <c r="BJ91" s="688">
        <f t="shared" si="171"/>
        <v>0</v>
      </c>
      <c r="BK91" s="688">
        <f t="shared" si="147"/>
        <v>0</v>
      </c>
      <c r="BL91" s="701" t="s">
        <v>307</v>
      </c>
      <c r="BM91" s="690"/>
      <c r="BN91" s="681"/>
      <c r="BO91" s="691"/>
      <c r="BP91" s="681">
        <f t="shared" si="148"/>
        <v>0</v>
      </c>
      <c r="BQ91" s="691"/>
      <c r="BR91" s="691">
        <f t="shared" si="170"/>
        <v>0</v>
      </c>
      <c r="BS91" s="691"/>
      <c r="BT91" s="691"/>
      <c r="BU91" s="691"/>
      <c r="BV91" s="692">
        <f t="shared" si="168"/>
        <v>0</v>
      </c>
    </row>
    <row r="92" spans="1:74" s="693" customFormat="1">
      <c r="A92" s="904"/>
      <c r="B92" s="677"/>
      <c r="C92" s="678" t="s">
        <v>255</v>
      </c>
      <c r="D92" s="678" t="s">
        <v>76</v>
      </c>
      <c r="E92" s="679">
        <v>228000</v>
      </c>
      <c r="F92" s="680">
        <f t="shared" si="149"/>
        <v>0</v>
      </c>
      <c r="G92" s="681">
        <f t="shared" si="169"/>
        <v>0</v>
      </c>
      <c r="H92" s="681"/>
      <c r="I92" s="681"/>
      <c r="J92" s="681"/>
      <c r="K92" s="681"/>
      <c r="L92" s="681"/>
      <c r="M92" s="681">
        <f t="shared" si="138"/>
        <v>0</v>
      </c>
      <c r="N92" s="681"/>
      <c r="O92" s="681"/>
      <c r="P92" s="681"/>
      <c r="Q92" s="681"/>
      <c r="R92" s="683">
        <f>F92*0.35</f>
        <v>0</v>
      </c>
      <c r="S92" s="683">
        <f>F92*0.65</f>
        <v>0</v>
      </c>
      <c r="T92" s="683"/>
      <c r="U92" s="683"/>
      <c r="V92" s="684">
        <f t="shared" si="150"/>
        <v>0</v>
      </c>
      <c r="W92" s="684">
        <f t="shared" si="151"/>
        <v>0</v>
      </c>
      <c r="X92" s="684">
        <f t="shared" si="152"/>
        <v>0</v>
      </c>
      <c r="Y92" s="684">
        <f t="shared" si="141"/>
        <v>0</v>
      </c>
      <c r="Z92" s="688">
        <v>0</v>
      </c>
      <c r="AA92" s="685">
        <f t="shared" si="153"/>
        <v>0</v>
      </c>
      <c r="AB92" s="688">
        <v>0</v>
      </c>
      <c r="AC92" s="685">
        <f t="shared" si="137"/>
        <v>0</v>
      </c>
      <c r="AD92" s="688">
        <v>0</v>
      </c>
      <c r="AE92" s="685">
        <f t="shared" si="162"/>
        <v>0</v>
      </c>
      <c r="AF92" s="688">
        <v>0</v>
      </c>
      <c r="AG92" s="685">
        <f t="shared" si="163"/>
        <v>0</v>
      </c>
      <c r="AH92" s="688">
        <v>0</v>
      </c>
      <c r="AI92" s="685">
        <f t="shared" si="154"/>
        <v>0</v>
      </c>
      <c r="AJ92" s="688">
        <v>0</v>
      </c>
      <c r="AK92" s="685">
        <f t="shared" si="164"/>
        <v>0</v>
      </c>
      <c r="AL92" s="688">
        <v>0</v>
      </c>
      <c r="AM92" s="685">
        <f t="shared" si="165"/>
        <v>0</v>
      </c>
      <c r="AN92" s="688">
        <v>0</v>
      </c>
      <c r="AO92" s="685">
        <f t="shared" si="142"/>
        <v>0</v>
      </c>
      <c r="AP92" s="688"/>
      <c r="AQ92" s="685">
        <f t="shared" si="166"/>
        <v>0</v>
      </c>
      <c r="AR92" s="695">
        <v>0</v>
      </c>
      <c r="AS92" s="685">
        <f t="shared" si="155"/>
        <v>0</v>
      </c>
      <c r="AT92" s="688">
        <v>0</v>
      </c>
      <c r="AU92" s="685">
        <f t="shared" si="156"/>
        <v>0</v>
      </c>
      <c r="AV92" s="688">
        <v>0</v>
      </c>
      <c r="AW92" s="685">
        <f t="shared" si="157"/>
        <v>0</v>
      </c>
      <c r="AX92" s="685">
        <v>0</v>
      </c>
      <c r="AY92" s="685">
        <f t="shared" si="158"/>
        <v>0</v>
      </c>
      <c r="AZ92" s="688"/>
      <c r="BA92" s="685">
        <f t="shared" si="167"/>
        <v>0</v>
      </c>
      <c r="BB92" s="688">
        <v>0</v>
      </c>
      <c r="BC92" s="685">
        <f t="shared" si="143"/>
        <v>0</v>
      </c>
      <c r="BD92" s="688">
        <v>0</v>
      </c>
      <c r="BE92" s="685">
        <f t="shared" si="144"/>
        <v>0</v>
      </c>
      <c r="BF92" s="688">
        <v>0</v>
      </c>
      <c r="BG92" s="685">
        <f t="shared" si="159"/>
        <v>0</v>
      </c>
      <c r="BH92" s="688"/>
      <c r="BI92" s="685">
        <f t="shared" si="145"/>
        <v>0</v>
      </c>
      <c r="BJ92" s="688">
        <f t="shared" si="171"/>
        <v>0</v>
      </c>
      <c r="BK92" s="688">
        <f t="shared" si="147"/>
        <v>0</v>
      </c>
      <c r="BL92" s="701" t="s">
        <v>307</v>
      </c>
      <c r="BM92" s="690"/>
      <c r="BN92" s="681"/>
      <c r="BO92" s="691"/>
      <c r="BP92" s="681">
        <f t="shared" si="148"/>
        <v>0</v>
      </c>
      <c r="BQ92" s="691"/>
      <c r="BR92" s="691">
        <f t="shared" si="170"/>
        <v>0</v>
      </c>
      <c r="BS92" s="691"/>
      <c r="BT92" s="691"/>
      <c r="BU92" s="691"/>
      <c r="BV92" s="692">
        <f t="shared" si="168"/>
        <v>0</v>
      </c>
    </row>
    <row r="93" spans="1:74">
      <c r="A93" s="904"/>
      <c r="B93" s="191" t="s">
        <v>810</v>
      </c>
      <c r="C93" s="196" t="s">
        <v>709</v>
      </c>
      <c r="D93" s="196" t="s">
        <v>76</v>
      </c>
      <c r="E93" s="229">
        <v>300000</v>
      </c>
      <c r="F93" s="206">
        <f t="shared" si="149"/>
        <v>15</v>
      </c>
      <c r="G93" s="207">
        <f>E93*F93</f>
        <v>4500000</v>
      </c>
      <c r="H93" s="207">
        <f t="shared" ref="H93:H101" si="172">G93*0.2</f>
        <v>900000</v>
      </c>
      <c r="I93" s="207">
        <f t="shared" ref="I93:I101" si="173">G93*0.8</f>
        <v>3600000</v>
      </c>
      <c r="J93" s="207"/>
      <c r="K93" s="207"/>
      <c r="L93" s="207"/>
      <c r="M93" s="207"/>
      <c r="N93" s="207"/>
      <c r="O93" s="207"/>
      <c r="P93" s="207"/>
      <c r="Q93" s="207"/>
      <c r="R93" s="212">
        <f t="shared" ref="R93:R101" si="174">F93*0.15</f>
        <v>2.25</v>
      </c>
      <c r="S93" s="212">
        <f>F93*0.7</f>
        <v>10.5</v>
      </c>
      <c r="T93" s="212">
        <f>F93:F93*0.15</f>
        <v>2.25</v>
      </c>
      <c r="U93" s="212"/>
      <c r="V93" s="211">
        <f t="shared" si="150"/>
        <v>675000</v>
      </c>
      <c r="W93" s="211">
        <f t="shared" si="151"/>
        <v>3150000</v>
      </c>
      <c r="X93" s="211">
        <f t="shared" si="152"/>
        <v>675000</v>
      </c>
      <c r="Y93" s="211">
        <f t="shared" si="141"/>
        <v>0</v>
      </c>
      <c r="Z93" s="180">
        <v>0</v>
      </c>
      <c r="AA93" s="202">
        <f>Z93*E93</f>
        <v>0</v>
      </c>
      <c r="AB93" s="180">
        <v>0</v>
      </c>
      <c r="AC93" s="202">
        <f t="shared" si="137"/>
        <v>0</v>
      </c>
      <c r="AD93" s="180">
        <v>0</v>
      </c>
      <c r="AE93" s="202">
        <f>AD93*E93</f>
        <v>0</v>
      </c>
      <c r="AF93" s="180">
        <v>6</v>
      </c>
      <c r="AG93" s="202">
        <f>AF93*E93</f>
        <v>1800000</v>
      </c>
      <c r="AH93" s="180">
        <v>3</v>
      </c>
      <c r="AI93" s="202">
        <f>AH93*E93</f>
        <v>900000</v>
      </c>
      <c r="AJ93" s="180">
        <v>0</v>
      </c>
      <c r="AK93" s="202">
        <f t="shared" ref="AK93:AK101" si="175">AJ93*E93</f>
        <v>0</v>
      </c>
      <c r="AL93" s="233">
        <v>0</v>
      </c>
      <c r="AM93" s="202">
        <f t="shared" ref="AM93:AM101" si="176">AL93*E93</f>
        <v>0</v>
      </c>
      <c r="AN93" s="180">
        <v>0</v>
      </c>
      <c r="AO93" s="202">
        <f t="shared" ref="AO93:AO101" si="177">AN93*E93</f>
        <v>0</v>
      </c>
      <c r="AP93" s="180">
        <v>0</v>
      </c>
      <c r="AQ93" s="202">
        <f t="shared" ref="AQ93:AQ101" si="178">AP93*E93</f>
        <v>0</v>
      </c>
      <c r="AR93" s="180">
        <v>2</v>
      </c>
      <c r="AS93" s="202">
        <f t="shared" ref="AS93:AS101" si="179">AR93*E93</f>
        <v>600000</v>
      </c>
      <c r="AT93" s="180">
        <v>0</v>
      </c>
      <c r="AU93" s="202">
        <f t="shared" ref="AU93:AU101" si="180">AT93*E93</f>
        <v>0</v>
      </c>
      <c r="AV93" s="180">
        <v>0</v>
      </c>
      <c r="AW93" s="202">
        <f t="shared" ref="AW93:AW101" si="181">AV93*E93</f>
        <v>0</v>
      </c>
      <c r="AX93" s="202">
        <v>0</v>
      </c>
      <c r="AY93" s="202">
        <f t="shared" ref="AY93:AY101" si="182">AX93*E93</f>
        <v>0</v>
      </c>
      <c r="AZ93" s="180">
        <v>1</v>
      </c>
      <c r="BA93" s="202">
        <f>AZ93*E93</f>
        <v>300000</v>
      </c>
      <c r="BB93" s="180">
        <v>3</v>
      </c>
      <c r="BC93" s="202">
        <f t="shared" ref="BC93:BC101" si="183">BB93*E93</f>
        <v>900000</v>
      </c>
      <c r="BD93" s="180">
        <v>0</v>
      </c>
      <c r="BE93" s="202">
        <f t="shared" ref="BE93:BE101" si="184">BD93*E93</f>
        <v>0</v>
      </c>
      <c r="BF93" s="233">
        <v>0</v>
      </c>
      <c r="BG93" s="202">
        <f t="shared" ref="BG93:BG101" si="185">BF93*E93</f>
        <v>0</v>
      </c>
      <c r="BH93" s="180"/>
      <c r="BI93" s="202">
        <f t="shared" si="145"/>
        <v>0</v>
      </c>
      <c r="BJ93" s="180">
        <f t="shared" si="171"/>
        <v>15</v>
      </c>
      <c r="BK93" s="180">
        <f t="shared" si="147"/>
        <v>4500000</v>
      </c>
      <c r="BL93" s="236" t="s">
        <v>526</v>
      </c>
      <c r="BM93" s="219"/>
      <c r="BN93" s="207"/>
      <c r="BO93" s="163"/>
      <c r="BP93" s="207">
        <f t="shared" si="148"/>
        <v>4500000</v>
      </c>
      <c r="BQ93" s="163"/>
      <c r="BR93" s="163">
        <f t="shared" si="170"/>
        <v>4500000</v>
      </c>
      <c r="BS93" s="163"/>
      <c r="BT93" s="163"/>
      <c r="BU93" s="163"/>
      <c r="BV93" s="203">
        <f t="shared" si="168"/>
        <v>4500000</v>
      </c>
    </row>
    <row r="94" spans="1:74">
      <c r="A94" s="904"/>
      <c r="B94" s="191"/>
      <c r="C94" s="196" t="s">
        <v>925</v>
      </c>
      <c r="D94" s="196" t="s">
        <v>76</v>
      </c>
      <c r="E94" s="229">
        <v>300000</v>
      </c>
      <c r="F94" s="206">
        <f>BJ94</f>
        <v>0</v>
      </c>
      <c r="G94" s="207">
        <f>F94*E94</f>
        <v>0</v>
      </c>
      <c r="H94" s="207"/>
      <c r="I94" s="207"/>
      <c r="J94" s="208">
        <f>G94</f>
        <v>0</v>
      </c>
      <c r="K94" s="207"/>
      <c r="L94" s="207"/>
      <c r="M94" s="207"/>
      <c r="N94" s="207"/>
      <c r="O94" s="207"/>
      <c r="P94" s="207"/>
      <c r="Q94" s="207"/>
      <c r="R94" s="212"/>
      <c r="S94" s="212"/>
      <c r="T94" s="212"/>
      <c r="U94" s="212"/>
      <c r="V94" s="211"/>
      <c r="W94" s="211"/>
      <c r="X94" s="211"/>
      <c r="Y94" s="211"/>
      <c r="Z94" s="180">
        <v>0</v>
      </c>
      <c r="AA94" s="202"/>
      <c r="AB94" s="180">
        <v>0</v>
      </c>
      <c r="AC94" s="202"/>
      <c r="AD94" s="180">
        <v>0</v>
      </c>
      <c r="AE94" s="202"/>
      <c r="AF94" s="180">
        <v>0</v>
      </c>
      <c r="AG94" s="202">
        <f>AF94*E94</f>
        <v>0</v>
      </c>
      <c r="AH94" s="180">
        <v>0</v>
      </c>
      <c r="AI94" s="202">
        <f>AH94*E94</f>
        <v>0</v>
      </c>
      <c r="AJ94" s="180">
        <v>0</v>
      </c>
      <c r="AK94" s="202"/>
      <c r="AL94" s="233">
        <v>0</v>
      </c>
      <c r="AM94" s="202"/>
      <c r="AN94" s="180">
        <v>0</v>
      </c>
      <c r="AO94" s="202"/>
      <c r="AP94" s="180">
        <v>0</v>
      </c>
      <c r="AQ94" s="202"/>
      <c r="AR94" s="180">
        <v>0</v>
      </c>
      <c r="AS94" s="202">
        <f t="shared" si="179"/>
        <v>0</v>
      </c>
      <c r="AT94" s="180"/>
      <c r="AU94" s="202"/>
      <c r="AV94" s="180"/>
      <c r="AW94" s="202"/>
      <c r="AX94" s="202"/>
      <c r="AY94" s="202"/>
      <c r="AZ94" s="180">
        <v>0</v>
      </c>
      <c r="BA94" s="202">
        <f>AZ94*E94</f>
        <v>0</v>
      </c>
      <c r="BB94" s="180">
        <v>0</v>
      </c>
      <c r="BC94" s="202">
        <f t="shared" si="183"/>
        <v>0</v>
      </c>
      <c r="BD94" s="180"/>
      <c r="BE94" s="202"/>
      <c r="BF94" s="233"/>
      <c r="BG94" s="202"/>
      <c r="BH94" s="180"/>
      <c r="BI94" s="202"/>
      <c r="BJ94" s="180">
        <f>BH94+BF94+BD94+BB94+AZ94+AX94+AV94+AT94+AR94+AP94+AN94+AL94+AJ94+AH94+AF94+AD94+AB94+Z94</f>
        <v>0</v>
      </c>
      <c r="BK94" s="180">
        <f>BI94+BG94+BE94+BC94+BA94+AY94+AW94+AU94+AS94+AQ94+AO94+AM94+AK94+AI94+AG94+AE94+AC94+AA94</f>
        <v>0</v>
      </c>
      <c r="BL94" s="236" t="s">
        <v>562</v>
      </c>
      <c r="BM94" s="219"/>
      <c r="BN94" s="207"/>
      <c r="BO94" s="163"/>
      <c r="BP94" s="207"/>
      <c r="BQ94" s="163"/>
      <c r="BR94" s="163"/>
      <c r="BS94" s="163"/>
      <c r="BT94" s="163"/>
      <c r="BU94" s="163"/>
      <c r="BV94" s="203"/>
    </row>
    <row r="95" spans="1:74">
      <c r="A95" s="904"/>
      <c r="B95" s="191" t="s">
        <v>811</v>
      </c>
      <c r="C95" s="196" t="s">
        <v>710</v>
      </c>
      <c r="D95" s="196" t="s">
        <v>76</v>
      </c>
      <c r="E95" s="229">
        <v>85000</v>
      </c>
      <c r="F95" s="206">
        <f t="shared" si="149"/>
        <v>28</v>
      </c>
      <c r="G95" s="207">
        <f>E95*F95</f>
        <v>2380000</v>
      </c>
      <c r="H95" s="207">
        <f t="shared" si="172"/>
        <v>476000</v>
      </c>
      <c r="I95" s="207">
        <f t="shared" si="173"/>
        <v>1904000</v>
      </c>
      <c r="J95" s="207"/>
      <c r="K95" s="207"/>
      <c r="L95" s="207"/>
      <c r="M95" s="207"/>
      <c r="N95" s="207"/>
      <c r="O95" s="207"/>
      <c r="P95" s="207"/>
      <c r="Q95" s="207"/>
      <c r="R95" s="212">
        <f t="shared" si="174"/>
        <v>4.2</v>
      </c>
      <c r="S95" s="212">
        <f>F95*0.7</f>
        <v>19.599999999999998</v>
      </c>
      <c r="T95" s="212">
        <f>F95:F95*0.15</f>
        <v>4.2</v>
      </c>
      <c r="U95" s="212"/>
      <c r="V95" s="211">
        <f t="shared" si="150"/>
        <v>357000</v>
      </c>
      <c r="W95" s="211">
        <f t="shared" si="151"/>
        <v>1665999.9999999998</v>
      </c>
      <c r="X95" s="211">
        <f t="shared" si="152"/>
        <v>357000</v>
      </c>
      <c r="Y95" s="211">
        <f t="shared" si="141"/>
        <v>0</v>
      </c>
      <c r="Z95" s="180">
        <v>2</v>
      </c>
      <c r="AA95" s="202">
        <f t="shared" ref="AA95:AA101" si="186">Z95*E95</f>
        <v>170000</v>
      </c>
      <c r="AB95" s="180">
        <v>1</v>
      </c>
      <c r="AC95" s="202">
        <f t="shared" si="137"/>
        <v>85000</v>
      </c>
      <c r="AD95" s="180">
        <v>2</v>
      </c>
      <c r="AE95" s="202">
        <f t="shared" ref="AE95:AE101" si="187">AD95*E95</f>
        <v>170000</v>
      </c>
      <c r="AF95" s="180">
        <v>4</v>
      </c>
      <c r="AG95" s="202">
        <f t="shared" ref="AG95:AG101" si="188">AF95*E95</f>
        <v>340000</v>
      </c>
      <c r="AH95" s="180">
        <v>3</v>
      </c>
      <c r="AI95" s="202">
        <f t="shared" ref="AI95:AI101" si="189">AH95*E95</f>
        <v>255000</v>
      </c>
      <c r="AJ95" s="180">
        <v>2</v>
      </c>
      <c r="AK95" s="202">
        <f t="shared" si="175"/>
        <v>170000</v>
      </c>
      <c r="AL95" s="180">
        <v>4</v>
      </c>
      <c r="AM95" s="202">
        <f t="shared" si="176"/>
        <v>340000</v>
      </c>
      <c r="AN95" s="180">
        <v>0</v>
      </c>
      <c r="AO95" s="202">
        <f t="shared" si="177"/>
        <v>0</v>
      </c>
      <c r="AP95" s="180">
        <v>0</v>
      </c>
      <c r="AQ95" s="202">
        <f t="shared" si="178"/>
        <v>0</v>
      </c>
      <c r="AR95" s="180">
        <v>2</v>
      </c>
      <c r="AS95" s="202">
        <f t="shared" si="179"/>
        <v>170000</v>
      </c>
      <c r="AT95" s="180">
        <v>3</v>
      </c>
      <c r="AU95" s="202">
        <f t="shared" si="180"/>
        <v>255000</v>
      </c>
      <c r="AV95" s="180">
        <v>2</v>
      </c>
      <c r="AW95" s="202">
        <f t="shared" si="181"/>
        <v>170000</v>
      </c>
      <c r="AX95" s="202">
        <v>0</v>
      </c>
      <c r="AY95" s="202">
        <f t="shared" si="182"/>
        <v>0</v>
      </c>
      <c r="AZ95" s="180">
        <v>1</v>
      </c>
      <c r="BA95" s="202">
        <f t="shared" ref="BA95:BA101" si="190">AZ95*E95</f>
        <v>85000</v>
      </c>
      <c r="BB95" s="180">
        <v>2</v>
      </c>
      <c r="BC95" s="202">
        <f t="shared" si="183"/>
        <v>170000</v>
      </c>
      <c r="BD95" s="180">
        <v>0</v>
      </c>
      <c r="BE95" s="202">
        <f t="shared" si="184"/>
        <v>0</v>
      </c>
      <c r="BF95" s="180">
        <v>0</v>
      </c>
      <c r="BG95" s="202">
        <f t="shared" si="185"/>
        <v>0</v>
      </c>
      <c r="BH95" s="180"/>
      <c r="BI95" s="202">
        <f t="shared" si="145"/>
        <v>0</v>
      </c>
      <c r="BJ95" s="180">
        <f t="shared" si="171"/>
        <v>28</v>
      </c>
      <c r="BK95" s="180">
        <f t="shared" si="147"/>
        <v>2380000</v>
      </c>
      <c r="BL95" s="236" t="s">
        <v>526</v>
      </c>
      <c r="BM95" s="219"/>
      <c r="BN95" s="207"/>
      <c r="BO95" s="163"/>
      <c r="BP95" s="207">
        <f t="shared" si="148"/>
        <v>2380000</v>
      </c>
      <c r="BQ95" s="163"/>
      <c r="BR95" s="163">
        <f t="shared" si="170"/>
        <v>2380000</v>
      </c>
      <c r="BS95" s="163"/>
      <c r="BT95" s="163"/>
      <c r="BU95" s="163"/>
      <c r="BV95" s="203">
        <f t="shared" si="168"/>
        <v>2380000</v>
      </c>
    </row>
    <row r="96" spans="1:74">
      <c r="A96" s="904"/>
      <c r="B96" s="191"/>
      <c r="C96" s="196" t="s">
        <v>924</v>
      </c>
      <c r="D96" s="196" t="s">
        <v>76</v>
      </c>
      <c r="E96" s="229">
        <v>85000</v>
      </c>
      <c r="F96" s="206">
        <f t="shared" si="149"/>
        <v>0</v>
      </c>
      <c r="G96" s="207">
        <f t="shared" si="169"/>
        <v>0</v>
      </c>
      <c r="H96" s="207">
        <v>0</v>
      </c>
      <c r="I96" s="207">
        <v>0</v>
      </c>
      <c r="J96" s="208">
        <f>G96</f>
        <v>0</v>
      </c>
      <c r="K96" s="207"/>
      <c r="L96" s="207"/>
      <c r="M96" s="207"/>
      <c r="N96" s="207"/>
      <c r="O96" s="207"/>
      <c r="P96" s="207"/>
      <c r="Q96" s="207"/>
      <c r="R96" s="212">
        <f t="shared" si="174"/>
        <v>0</v>
      </c>
      <c r="S96" s="212">
        <f>F96*0.7</f>
        <v>0</v>
      </c>
      <c r="T96" s="212">
        <f>F96:F96*0.15</f>
        <v>0</v>
      </c>
      <c r="U96" s="212"/>
      <c r="V96" s="211">
        <f t="shared" si="150"/>
        <v>0</v>
      </c>
      <c r="W96" s="211">
        <f t="shared" si="151"/>
        <v>0</v>
      </c>
      <c r="X96" s="211">
        <f t="shared" si="152"/>
        <v>0</v>
      </c>
      <c r="Y96" s="211"/>
      <c r="Z96" s="180">
        <v>0</v>
      </c>
      <c r="AA96" s="202">
        <f t="shared" si="186"/>
        <v>0</v>
      </c>
      <c r="AB96" s="180">
        <v>0</v>
      </c>
      <c r="AC96" s="202">
        <f t="shared" si="137"/>
        <v>0</v>
      </c>
      <c r="AD96" s="180">
        <v>0</v>
      </c>
      <c r="AE96" s="202">
        <f t="shared" si="187"/>
        <v>0</v>
      </c>
      <c r="AF96" s="180">
        <v>0</v>
      </c>
      <c r="AG96" s="202">
        <f t="shared" si="188"/>
        <v>0</v>
      </c>
      <c r="AH96" s="180">
        <v>0</v>
      </c>
      <c r="AI96" s="202">
        <f t="shared" si="189"/>
        <v>0</v>
      </c>
      <c r="AJ96" s="180">
        <v>0</v>
      </c>
      <c r="AK96" s="202">
        <f t="shared" si="175"/>
        <v>0</v>
      </c>
      <c r="AL96" s="180">
        <v>0</v>
      </c>
      <c r="AM96" s="202">
        <f t="shared" si="176"/>
        <v>0</v>
      </c>
      <c r="AN96" s="180">
        <v>0</v>
      </c>
      <c r="AO96" s="202">
        <f t="shared" si="177"/>
        <v>0</v>
      </c>
      <c r="AP96" s="180">
        <v>0</v>
      </c>
      <c r="AQ96" s="202">
        <f t="shared" si="178"/>
        <v>0</v>
      </c>
      <c r="AR96" s="180">
        <v>0</v>
      </c>
      <c r="AS96" s="202">
        <f t="shared" si="179"/>
        <v>0</v>
      </c>
      <c r="AT96" s="180">
        <v>0</v>
      </c>
      <c r="AU96" s="202">
        <f t="shared" si="180"/>
        <v>0</v>
      </c>
      <c r="AV96" s="180">
        <v>0</v>
      </c>
      <c r="AW96" s="202">
        <f t="shared" si="181"/>
        <v>0</v>
      </c>
      <c r="AX96" s="202">
        <v>0</v>
      </c>
      <c r="AY96" s="202">
        <f t="shared" si="182"/>
        <v>0</v>
      </c>
      <c r="AZ96" s="180">
        <v>0</v>
      </c>
      <c r="BA96" s="202">
        <f t="shared" si="190"/>
        <v>0</v>
      </c>
      <c r="BB96" s="180">
        <v>0</v>
      </c>
      <c r="BC96" s="202">
        <f t="shared" si="183"/>
        <v>0</v>
      </c>
      <c r="BD96" s="180">
        <v>0</v>
      </c>
      <c r="BE96" s="202">
        <f t="shared" si="184"/>
        <v>0</v>
      </c>
      <c r="BF96" s="180">
        <v>0</v>
      </c>
      <c r="BG96" s="202">
        <f t="shared" si="185"/>
        <v>0</v>
      </c>
      <c r="BH96" s="180"/>
      <c r="BI96" s="202"/>
      <c r="BJ96" s="180">
        <f t="shared" si="171"/>
        <v>0</v>
      </c>
      <c r="BK96" s="180">
        <f t="shared" si="147"/>
        <v>0</v>
      </c>
      <c r="BL96" s="236" t="s">
        <v>816</v>
      </c>
      <c r="BM96" s="219"/>
      <c r="BN96" s="207"/>
      <c r="BO96" s="163"/>
      <c r="BP96" s="207">
        <f t="shared" si="148"/>
        <v>0</v>
      </c>
      <c r="BQ96" s="163"/>
      <c r="BR96" s="163">
        <f t="shared" si="170"/>
        <v>0</v>
      </c>
      <c r="BS96" s="163"/>
      <c r="BT96" s="163"/>
      <c r="BU96" s="163"/>
      <c r="BV96" s="203">
        <f t="shared" si="168"/>
        <v>0</v>
      </c>
    </row>
    <row r="97" spans="1:74">
      <c r="A97" s="904"/>
      <c r="B97" s="191"/>
      <c r="C97" s="196" t="s">
        <v>940</v>
      </c>
      <c r="D97" s="196" t="s">
        <v>76</v>
      </c>
      <c r="E97" s="229">
        <v>75000</v>
      </c>
      <c r="F97" s="206">
        <f>BJ97</f>
        <v>0</v>
      </c>
      <c r="G97" s="207">
        <f>F97*E97</f>
        <v>0</v>
      </c>
      <c r="H97" s="207">
        <v>0</v>
      </c>
      <c r="I97" s="207">
        <v>0</v>
      </c>
      <c r="J97" s="208">
        <f>G97</f>
        <v>0</v>
      </c>
      <c r="K97" s="207"/>
      <c r="L97" s="207"/>
      <c r="M97" s="207"/>
      <c r="N97" s="207"/>
      <c r="O97" s="207"/>
      <c r="P97" s="207"/>
      <c r="Q97" s="207"/>
      <c r="R97" s="212"/>
      <c r="S97" s="212"/>
      <c r="T97" s="212"/>
      <c r="U97" s="212"/>
      <c r="V97" s="211"/>
      <c r="W97" s="211"/>
      <c r="X97" s="211"/>
      <c r="Y97" s="211"/>
      <c r="Z97" s="180">
        <v>0</v>
      </c>
      <c r="AA97" s="202">
        <f t="shared" si="186"/>
        <v>0</v>
      </c>
      <c r="AB97" s="180">
        <v>0</v>
      </c>
      <c r="AC97" s="202">
        <f t="shared" si="137"/>
        <v>0</v>
      </c>
      <c r="AD97" s="180">
        <v>0</v>
      </c>
      <c r="AE97" s="202">
        <f t="shared" si="187"/>
        <v>0</v>
      </c>
      <c r="AF97" s="180">
        <v>0</v>
      </c>
      <c r="AG97" s="202">
        <f t="shared" si="188"/>
        <v>0</v>
      </c>
      <c r="AH97" s="180">
        <v>0</v>
      </c>
      <c r="AI97" s="202">
        <f t="shared" si="189"/>
        <v>0</v>
      </c>
      <c r="AJ97" s="180">
        <v>0</v>
      </c>
      <c r="AK97" s="202">
        <f t="shared" si="175"/>
        <v>0</v>
      </c>
      <c r="AL97" s="180">
        <v>0</v>
      </c>
      <c r="AM97" s="202">
        <f t="shared" si="176"/>
        <v>0</v>
      </c>
      <c r="AN97" s="180">
        <v>0</v>
      </c>
      <c r="AO97" s="202">
        <f t="shared" si="177"/>
        <v>0</v>
      </c>
      <c r="AP97" s="180">
        <v>0</v>
      </c>
      <c r="AQ97" s="202">
        <f t="shared" si="178"/>
        <v>0</v>
      </c>
      <c r="AR97" s="180">
        <v>0</v>
      </c>
      <c r="AS97" s="202">
        <f t="shared" si="179"/>
        <v>0</v>
      </c>
      <c r="AT97" s="180">
        <v>0</v>
      </c>
      <c r="AU97" s="202">
        <f t="shared" si="180"/>
        <v>0</v>
      </c>
      <c r="AV97" s="180">
        <v>0</v>
      </c>
      <c r="AW97" s="202">
        <f t="shared" si="181"/>
        <v>0</v>
      </c>
      <c r="AX97" s="202">
        <v>0</v>
      </c>
      <c r="AY97" s="202">
        <f t="shared" si="182"/>
        <v>0</v>
      </c>
      <c r="AZ97" s="180">
        <v>0</v>
      </c>
      <c r="BA97" s="202">
        <f t="shared" si="190"/>
        <v>0</v>
      </c>
      <c r="BB97" s="180">
        <v>0</v>
      </c>
      <c r="BC97" s="202">
        <f t="shared" si="183"/>
        <v>0</v>
      </c>
      <c r="BD97" s="180">
        <v>0</v>
      </c>
      <c r="BE97" s="202">
        <f t="shared" si="184"/>
        <v>0</v>
      </c>
      <c r="BF97" s="180">
        <v>0</v>
      </c>
      <c r="BG97" s="202">
        <f t="shared" si="185"/>
        <v>0</v>
      </c>
      <c r="BH97" s="180"/>
      <c r="BI97" s="202"/>
      <c r="BJ97" s="180">
        <f>BH97+BF97+BD97+BB97+AZ97+AX97+AV97+AT97+AR97+AP97+AN97+AL97+AJ97+AH97+AF97+AD97+AB97+Z97</f>
        <v>0</v>
      </c>
      <c r="BK97" s="180">
        <f>BI97+BG97+BE97+BC97+BA97+AY97+AW97+AU97+AS97+AQ97+AO97+AM97+AK97+AI97+AG97+AE97+AC97+AA97</f>
        <v>0</v>
      </c>
      <c r="BL97" s="236" t="s">
        <v>816</v>
      </c>
      <c r="BM97" s="219"/>
      <c r="BN97" s="207"/>
      <c r="BO97" s="163"/>
      <c r="BP97" s="207"/>
      <c r="BQ97" s="163"/>
      <c r="BR97" s="163"/>
      <c r="BS97" s="163"/>
      <c r="BT97" s="163"/>
      <c r="BU97" s="163"/>
      <c r="BV97" s="203"/>
    </row>
    <row r="98" spans="1:74">
      <c r="A98" s="904"/>
      <c r="B98" s="191" t="s">
        <v>812</v>
      </c>
      <c r="C98" s="196" t="s">
        <v>711</v>
      </c>
      <c r="D98" s="196" t="s">
        <v>76</v>
      </c>
      <c r="E98" s="229">
        <v>41800</v>
      </c>
      <c r="F98" s="206">
        <f>BJ98</f>
        <v>15</v>
      </c>
      <c r="G98" s="207">
        <f t="shared" si="169"/>
        <v>627000</v>
      </c>
      <c r="H98" s="207">
        <f t="shared" si="172"/>
        <v>125400</v>
      </c>
      <c r="I98" s="207">
        <f t="shared" si="173"/>
        <v>501600</v>
      </c>
      <c r="J98" s="207"/>
      <c r="K98" s="207"/>
      <c r="L98" s="207"/>
      <c r="M98" s="207"/>
      <c r="N98" s="207"/>
      <c r="O98" s="207"/>
      <c r="P98" s="207"/>
      <c r="Q98" s="207"/>
      <c r="R98" s="212">
        <f t="shared" si="174"/>
        <v>2.25</v>
      </c>
      <c r="S98" s="212">
        <f>F98*0.85</f>
        <v>12.75</v>
      </c>
      <c r="T98" s="212">
        <v>0</v>
      </c>
      <c r="U98" s="212"/>
      <c r="V98" s="211">
        <f t="shared" si="150"/>
        <v>94050</v>
      </c>
      <c r="W98" s="211">
        <f t="shared" si="151"/>
        <v>532950</v>
      </c>
      <c r="X98" s="211">
        <f t="shared" si="152"/>
        <v>0</v>
      </c>
      <c r="Y98" s="211">
        <f t="shared" si="141"/>
        <v>0</v>
      </c>
      <c r="Z98" s="180">
        <v>0</v>
      </c>
      <c r="AA98" s="202">
        <f t="shared" si="186"/>
        <v>0</v>
      </c>
      <c r="AB98" s="180">
        <v>11</v>
      </c>
      <c r="AC98" s="202">
        <f t="shared" si="137"/>
        <v>459800</v>
      </c>
      <c r="AD98" s="512">
        <v>0</v>
      </c>
      <c r="AE98" s="202">
        <f t="shared" si="187"/>
        <v>0</v>
      </c>
      <c r="AF98" s="180">
        <v>0</v>
      </c>
      <c r="AG98" s="202">
        <f t="shared" si="188"/>
        <v>0</v>
      </c>
      <c r="AH98" s="180">
        <v>0</v>
      </c>
      <c r="AI98" s="202">
        <f t="shared" si="189"/>
        <v>0</v>
      </c>
      <c r="AJ98" s="180">
        <v>0</v>
      </c>
      <c r="AK98" s="202">
        <f t="shared" si="175"/>
        <v>0</v>
      </c>
      <c r="AL98" s="180">
        <v>0</v>
      </c>
      <c r="AM98" s="202">
        <f t="shared" si="176"/>
        <v>0</v>
      </c>
      <c r="AN98" s="180">
        <v>0</v>
      </c>
      <c r="AO98" s="202">
        <f t="shared" si="177"/>
        <v>0</v>
      </c>
      <c r="AP98" s="180">
        <v>0</v>
      </c>
      <c r="AQ98" s="202">
        <f t="shared" si="178"/>
        <v>0</v>
      </c>
      <c r="AR98" s="512">
        <v>2</v>
      </c>
      <c r="AS98" s="202">
        <f t="shared" si="179"/>
        <v>83600</v>
      </c>
      <c r="AT98" s="180">
        <v>0</v>
      </c>
      <c r="AU98" s="202">
        <f t="shared" si="180"/>
        <v>0</v>
      </c>
      <c r="AV98" s="180">
        <v>0</v>
      </c>
      <c r="AW98" s="202">
        <f t="shared" si="181"/>
        <v>0</v>
      </c>
      <c r="AX98" s="202">
        <v>0</v>
      </c>
      <c r="AY98" s="202">
        <f t="shared" si="182"/>
        <v>0</v>
      </c>
      <c r="AZ98" s="180">
        <v>0</v>
      </c>
      <c r="BA98" s="202">
        <f t="shared" si="190"/>
        <v>0</v>
      </c>
      <c r="BB98" s="180">
        <v>2</v>
      </c>
      <c r="BC98" s="202">
        <f t="shared" si="183"/>
        <v>83600</v>
      </c>
      <c r="BD98" s="180">
        <v>0</v>
      </c>
      <c r="BE98" s="202">
        <f t="shared" si="184"/>
        <v>0</v>
      </c>
      <c r="BF98" s="180">
        <v>0</v>
      </c>
      <c r="BG98" s="202">
        <f t="shared" si="185"/>
        <v>0</v>
      </c>
      <c r="BH98" s="180"/>
      <c r="BI98" s="202">
        <f t="shared" si="145"/>
        <v>0</v>
      </c>
      <c r="BJ98" s="180">
        <f t="shared" si="171"/>
        <v>15</v>
      </c>
      <c r="BK98" s="180">
        <f t="shared" si="147"/>
        <v>627000</v>
      </c>
      <c r="BL98" s="236" t="s">
        <v>526</v>
      </c>
      <c r="BM98" s="219"/>
      <c r="BN98" s="207"/>
      <c r="BO98" s="163"/>
      <c r="BP98" s="207">
        <f t="shared" si="148"/>
        <v>627000</v>
      </c>
      <c r="BQ98" s="163"/>
      <c r="BR98" s="163">
        <f t="shared" si="170"/>
        <v>627000</v>
      </c>
      <c r="BS98" s="163"/>
      <c r="BT98" s="163"/>
      <c r="BU98" s="163"/>
      <c r="BV98" s="203">
        <f t="shared" si="168"/>
        <v>627000</v>
      </c>
    </row>
    <row r="99" spans="1:74">
      <c r="A99" s="904"/>
      <c r="B99" s="191" t="s">
        <v>813</v>
      </c>
      <c r="C99" s="196" t="s">
        <v>712</v>
      </c>
      <c r="D99" s="196" t="s">
        <v>76</v>
      </c>
      <c r="E99" s="229">
        <v>90000</v>
      </c>
      <c r="F99" s="206">
        <f>BJ99</f>
        <v>9</v>
      </c>
      <c r="G99" s="207">
        <f t="shared" si="169"/>
        <v>810000</v>
      </c>
      <c r="H99" s="207">
        <f t="shared" si="172"/>
        <v>162000</v>
      </c>
      <c r="I99" s="207">
        <f t="shared" si="173"/>
        <v>648000</v>
      </c>
      <c r="J99" s="207"/>
      <c r="K99" s="207"/>
      <c r="L99" s="207"/>
      <c r="M99" s="207"/>
      <c r="N99" s="207"/>
      <c r="O99" s="207"/>
      <c r="P99" s="207"/>
      <c r="Q99" s="207"/>
      <c r="R99" s="212">
        <f t="shared" si="174"/>
        <v>1.3499999999999999</v>
      </c>
      <c r="S99" s="212">
        <f>F99*0.7</f>
        <v>6.3</v>
      </c>
      <c r="T99" s="212">
        <f>F99:F99*0.15</f>
        <v>1.3499999999999999</v>
      </c>
      <c r="U99" s="212"/>
      <c r="V99" s="211">
        <f t="shared" si="150"/>
        <v>121499.99999999999</v>
      </c>
      <c r="W99" s="211">
        <f t="shared" si="151"/>
        <v>567000</v>
      </c>
      <c r="X99" s="211">
        <f t="shared" si="152"/>
        <v>121499.99999999999</v>
      </c>
      <c r="Y99" s="211">
        <f t="shared" si="141"/>
        <v>0</v>
      </c>
      <c r="Z99" s="180"/>
      <c r="AA99" s="202">
        <f t="shared" si="186"/>
        <v>0</v>
      </c>
      <c r="AB99" s="180"/>
      <c r="AC99" s="202">
        <f t="shared" si="137"/>
        <v>0</v>
      </c>
      <c r="AD99" s="180"/>
      <c r="AE99" s="202">
        <f t="shared" si="187"/>
        <v>0</v>
      </c>
      <c r="AF99" s="180">
        <v>0</v>
      </c>
      <c r="AG99" s="202">
        <f t="shared" si="188"/>
        <v>0</v>
      </c>
      <c r="AH99" s="180">
        <v>0</v>
      </c>
      <c r="AI99" s="202">
        <f t="shared" si="189"/>
        <v>0</v>
      </c>
      <c r="AJ99" s="180"/>
      <c r="AK99" s="202">
        <f t="shared" si="175"/>
        <v>0</v>
      </c>
      <c r="AL99" s="180"/>
      <c r="AM99" s="202">
        <f t="shared" si="176"/>
        <v>0</v>
      </c>
      <c r="AN99" s="512">
        <v>9</v>
      </c>
      <c r="AO99" s="202">
        <f t="shared" si="177"/>
        <v>810000</v>
      </c>
      <c r="AP99" s="180"/>
      <c r="AQ99" s="202">
        <f t="shared" si="178"/>
        <v>0</v>
      </c>
      <c r="AR99" s="180"/>
      <c r="AS99" s="202">
        <f t="shared" si="179"/>
        <v>0</v>
      </c>
      <c r="AT99" s="180"/>
      <c r="AU99" s="202">
        <f t="shared" si="180"/>
        <v>0</v>
      </c>
      <c r="AV99" s="180"/>
      <c r="AW99" s="202">
        <f t="shared" si="181"/>
        <v>0</v>
      </c>
      <c r="AX99" s="202"/>
      <c r="AY99" s="202">
        <f t="shared" si="182"/>
        <v>0</v>
      </c>
      <c r="AZ99" s="180"/>
      <c r="BA99" s="202">
        <f t="shared" si="190"/>
        <v>0</v>
      </c>
      <c r="BB99" s="180">
        <v>0</v>
      </c>
      <c r="BC99" s="202">
        <f t="shared" si="183"/>
        <v>0</v>
      </c>
      <c r="BD99" s="180"/>
      <c r="BE99" s="202">
        <f t="shared" si="184"/>
        <v>0</v>
      </c>
      <c r="BF99" s="180"/>
      <c r="BG99" s="202">
        <f t="shared" si="185"/>
        <v>0</v>
      </c>
      <c r="BH99" s="180"/>
      <c r="BI99" s="202">
        <f t="shared" si="145"/>
        <v>0</v>
      </c>
      <c r="BJ99" s="180">
        <f t="shared" si="171"/>
        <v>9</v>
      </c>
      <c r="BK99" s="180">
        <f t="shared" si="147"/>
        <v>810000</v>
      </c>
      <c r="BL99" s="236" t="s">
        <v>526</v>
      </c>
      <c r="BM99" s="219"/>
      <c r="BN99" s="207"/>
      <c r="BO99" s="163"/>
      <c r="BP99" s="207">
        <f t="shared" si="148"/>
        <v>810000</v>
      </c>
      <c r="BQ99" s="163"/>
      <c r="BR99" s="163">
        <f t="shared" si="170"/>
        <v>810000</v>
      </c>
      <c r="BS99" s="163"/>
      <c r="BT99" s="163"/>
      <c r="BU99" s="163"/>
      <c r="BV99" s="203">
        <f t="shared" si="168"/>
        <v>810000</v>
      </c>
    </row>
    <row r="100" spans="1:74">
      <c r="A100" s="904"/>
      <c r="B100" s="191" t="s">
        <v>814</v>
      </c>
      <c r="C100" s="196" t="s">
        <v>713</v>
      </c>
      <c r="D100" s="196" t="s">
        <v>76</v>
      </c>
      <c r="E100" s="583">
        <v>50000</v>
      </c>
      <c r="F100" s="206">
        <f>BJ100</f>
        <v>9</v>
      </c>
      <c r="G100" s="207">
        <f t="shared" si="169"/>
        <v>450000</v>
      </c>
      <c r="H100" s="207">
        <f t="shared" si="172"/>
        <v>90000</v>
      </c>
      <c r="I100" s="207">
        <f t="shared" si="173"/>
        <v>360000</v>
      </c>
      <c r="J100" s="207"/>
      <c r="K100" s="207"/>
      <c r="L100" s="207"/>
      <c r="M100" s="207"/>
      <c r="N100" s="207"/>
      <c r="O100" s="207"/>
      <c r="P100" s="207"/>
      <c r="Q100" s="207"/>
      <c r="R100" s="212">
        <f t="shared" si="174"/>
        <v>1.3499999999999999</v>
      </c>
      <c r="S100" s="212">
        <f>F100*0.7</f>
        <v>6.3</v>
      </c>
      <c r="T100" s="212">
        <f>F100:F100*0.15</f>
        <v>1.3499999999999999</v>
      </c>
      <c r="U100" s="212"/>
      <c r="V100" s="211">
        <f t="shared" si="150"/>
        <v>67500</v>
      </c>
      <c r="W100" s="211">
        <f t="shared" si="151"/>
        <v>315000</v>
      </c>
      <c r="X100" s="211">
        <f t="shared" si="152"/>
        <v>67500</v>
      </c>
      <c r="Y100" s="211">
        <f t="shared" si="141"/>
        <v>0</v>
      </c>
      <c r="Z100" s="180">
        <v>1</v>
      </c>
      <c r="AA100" s="202">
        <f t="shared" si="186"/>
        <v>50000</v>
      </c>
      <c r="AB100" s="180"/>
      <c r="AC100" s="202">
        <f t="shared" si="137"/>
        <v>0</v>
      </c>
      <c r="AD100" s="180"/>
      <c r="AE100" s="202">
        <f t="shared" si="187"/>
        <v>0</v>
      </c>
      <c r="AF100" s="512">
        <v>0</v>
      </c>
      <c r="AG100" s="511">
        <f t="shared" si="188"/>
        <v>0</v>
      </c>
      <c r="AH100" s="180">
        <v>0</v>
      </c>
      <c r="AI100" s="202">
        <f t="shared" si="189"/>
        <v>0</v>
      </c>
      <c r="AJ100" s="180">
        <v>1</v>
      </c>
      <c r="AK100" s="202">
        <f t="shared" si="175"/>
        <v>50000</v>
      </c>
      <c r="AL100" s="180">
        <v>2</v>
      </c>
      <c r="AM100" s="202">
        <f t="shared" si="176"/>
        <v>100000</v>
      </c>
      <c r="AN100" s="180">
        <v>0</v>
      </c>
      <c r="AO100" s="202">
        <f t="shared" si="177"/>
        <v>0</v>
      </c>
      <c r="AP100" s="180"/>
      <c r="AQ100" s="202">
        <f t="shared" si="178"/>
        <v>0</v>
      </c>
      <c r="AR100" s="180">
        <v>2</v>
      </c>
      <c r="AS100" s="202">
        <f t="shared" si="179"/>
        <v>100000</v>
      </c>
      <c r="AT100" s="180">
        <v>1</v>
      </c>
      <c r="AU100" s="202">
        <f t="shared" si="180"/>
        <v>50000</v>
      </c>
      <c r="AV100" s="180"/>
      <c r="AW100" s="202">
        <f t="shared" si="181"/>
        <v>0</v>
      </c>
      <c r="AX100" s="202"/>
      <c r="AY100" s="202">
        <f t="shared" si="182"/>
        <v>0</v>
      </c>
      <c r="AZ100" s="180">
        <v>1</v>
      </c>
      <c r="BA100" s="202">
        <f t="shared" si="190"/>
        <v>50000</v>
      </c>
      <c r="BB100" s="180">
        <v>1</v>
      </c>
      <c r="BC100" s="202">
        <f t="shared" si="183"/>
        <v>50000</v>
      </c>
      <c r="BD100" s="180"/>
      <c r="BE100" s="202">
        <f t="shared" si="184"/>
        <v>0</v>
      </c>
      <c r="BF100" s="180"/>
      <c r="BG100" s="202">
        <f t="shared" si="185"/>
        <v>0</v>
      </c>
      <c r="BH100" s="180"/>
      <c r="BI100" s="202">
        <f t="shared" si="145"/>
        <v>0</v>
      </c>
      <c r="BJ100" s="180">
        <f t="shared" si="171"/>
        <v>9</v>
      </c>
      <c r="BK100" s="180">
        <f t="shared" si="147"/>
        <v>450000</v>
      </c>
      <c r="BL100" s="236" t="s">
        <v>526</v>
      </c>
      <c r="BM100" s="219"/>
      <c r="BN100" s="207"/>
      <c r="BO100" s="163"/>
      <c r="BP100" s="207">
        <f t="shared" si="148"/>
        <v>450000</v>
      </c>
      <c r="BQ100" s="163"/>
      <c r="BR100" s="163">
        <f t="shared" si="170"/>
        <v>450000</v>
      </c>
      <c r="BS100" s="163"/>
      <c r="BT100" s="163"/>
      <c r="BU100" s="163"/>
      <c r="BV100" s="203">
        <f t="shared" si="168"/>
        <v>450000</v>
      </c>
    </row>
    <row r="101" spans="1:74">
      <c r="A101" s="904"/>
      <c r="B101" s="191" t="s">
        <v>815</v>
      </c>
      <c r="C101" s="196" t="s">
        <v>714</v>
      </c>
      <c r="D101" s="196" t="s">
        <v>76</v>
      </c>
      <c r="E101" s="583">
        <v>80000</v>
      </c>
      <c r="F101" s="206">
        <f>BJ101</f>
        <v>4</v>
      </c>
      <c r="G101" s="207">
        <f t="shared" si="169"/>
        <v>320000</v>
      </c>
      <c r="H101" s="207">
        <f t="shared" si="172"/>
        <v>64000</v>
      </c>
      <c r="I101" s="207">
        <f t="shared" si="173"/>
        <v>256000</v>
      </c>
      <c r="J101" s="207"/>
      <c r="K101" s="207"/>
      <c r="L101" s="207"/>
      <c r="M101" s="207"/>
      <c r="N101" s="207"/>
      <c r="O101" s="207"/>
      <c r="P101" s="207"/>
      <c r="Q101" s="207"/>
      <c r="R101" s="212">
        <f t="shared" si="174"/>
        <v>0.6</v>
      </c>
      <c r="S101" s="212">
        <f>F101*0.7</f>
        <v>2.8</v>
      </c>
      <c r="T101" s="212">
        <f>F101:F101*0.15</f>
        <v>0.6</v>
      </c>
      <c r="U101" s="212"/>
      <c r="V101" s="211">
        <f t="shared" si="150"/>
        <v>48000</v>
      </c>
      <c r="W101" s="211">
        <f t="shared" si="151"/>
        <v>224000</v>
      </c>
      <c r="X101" s="211">
        <f t="shared" si="152"/>
        <v>48000</v>
      </c>
      <c r="Y101" s="211">
        <f t="shared" si="141"/>
        <v>0</v>
      </c>
      <c r="Z101" s="180">
        <v>0</v>
      </c>
      <c r="AA101" s="202">
        <f t="shared" si="186"/>
        <v>0</v>
      </c>
      <c r="AB101" s="180"/>
      <c r="AC101" s="202">
        <f t="shared" si="137"/>
        <v>0</v>
      </c>
      <c r="AD101" s="180"/>
      <c r="AE101" s="202">
        <f t="shared" si="187"/>
        <v>0</v>
      </c>
      <c r="AF101" s="180"/>
      <c r="AG101" s="202">
        <f t="shared" si="188"/>
        <v>0</v>
      </c>
      <c r="AH101" s="180">
        <v>0</v>
      </c>
      <c r="AI101" s="202">
        <f t="shared" si="189"/>
        <v>0</v>
      </c>
      <c r="AJ101" s="180">
        <v>0</v>
      </c>
      <c r="AK101" s="202">
        <f t="shared" si="175"/>
        <v>0</v>
      </c>
      <c r="AL101" s="180">
        <v>2</v>
      </c>
      <c r="AM101" s="202">
        <f t="shared" si="176"/>
        <v>160000</v>
      </c>
      <c r="AN101" s="180">
        <v>0</v>
      </c>
      <c r="AO101" s="202">
        <f t="shared" si="177"/>
        <v>0</v>
      </c>
      <c r="AP101" s="180"/>
      <c r="AQ101" s="202">
        <f t="shared" si="178"/>
        <v>0</v>
      </c>
      <c r="AR101" s="180">
        <v>0</v>
      </c>
      <c r="AS101" s="202">
        <f t="shared" si="179"/>
        <v>0</v>
      </c>
      <c r="AT101" s="180">
        <v>0</v>
      </c>
      <c r="AU101" s="202">
        <f t="shared" si="180"/>
        <v>0</v>
      </c>
      <c r="AV101" s="180"/>
      <c r="AW101" s="202">
        <f t="shared" si="181"/>
        <v>0</v>
      </c>
      <c r="AX101" s="202"/>
      <c r="AY101" s="202">
        <f t="shared" si="182"/>
        <v>0</v>
      </c>
      <c r="AZ101" s="180"/>
      <c r="BA101" s="202">
        <f t="shared" si="190"/>
        <v>0</v>
      </c>
      <c r="BB101" s="180">
        <v>2</v>
      </c>
      <c r="BC101" s="202">
        <f t="shared" si="183"/>
        <v>160000</v>
      </c>
      <c r="BD101" s="180"/>
      <c r="BE101" s="202">
        <f t="shared" si="184"/>
        <v>0</v>
      </c>
      <c r="BF101" s="180"/>
      <c r="BG101" s="202">
        <f t="shared" si="185"/>
        <v>0</v>
      </c>
      <c r="BH101" s="180"/>
      <c r="BI101" s="202">
        <f t="shared" si="145"/>
        <v>0</v>
      </c>
      <c r="BJ101" s="180">
        <f t="shared" si="171"/>
        <v>4</v>
      </c>
      <c r="BK101" s="180">
        <f t="shared" si="147"/>
        <v>320000</v>
      </c>
      <c r="BL101" s="236" t="s">
        <v>526</v>
      </c>
      <c r="BM101" s="219"/>
      <c r="BN101" s="207"/>
      <c r="BO101" s="163"/>
      <c r="BP101" s="207">
        <f t="shared" si="148"/>
        <v>320000</v>
      </c>
      <c r="BQ101" s="163"/>
      <c r="BR101" s="163">
        <f t="shared" si="170"/>
        <v>320000</v>
      </c>
      <c r="BS101" s="163"/>
      <c r="BT101" s="163"/>
      <c r="BU101" s="163"/>
      <c r="BV101" s="203">
        <f t="shared" si="168"/>
        <v>320000</v>
      </c>
    </row>
    <row r="102" spans="1:74">
      <c r="A102" s="904"/>
      <c r="B102" s="184"/>
      <c r="C102" s="230" t="s">
        <v>3</v>
      </c>
      <c r="D102" s="155"/>
      <c r="E102" s="155"/>
      <c r="F102" s="194">
        <f t="shared" ref="F102:AK102" si="191">SUM(F79:F101)</f>
        <v>1678</v>
      </c>
      <c r="G102" s="194">
        <f t="shared" si="191"/>
        <v>168991600</v>
      </c>
      <c r="H102" s="194">
        <f t="shared" si="191"/>
        <v>1817400</v>
      </c>
      <c r="I102" s="194">
        <f t="shared" si="191"/>
        <v>7269600</v>
      </c>
      <c r="J102" s="194">
        <f t="shared" si="191"/>
        <v>0</v>
      </c>
      <c r="K102" s="194">
        <f t="shared" si="191"/>
        <v>0</v>
      </c>
      <c r="L102" s="194">
        <f t="shared" si="191"/>
        <v>0</v>
      </c>
      <c r="M102" s="194">
        <f t="shared" si="191"/>
        <v>159904600</v>
      </c>
      <c r="N102" s="194">
        <f t="shared" si="191"/>
        <v>0</v>
      </c>
      <c r="O102" s="194">
        <f t="shared" si="191"/>
        <v>0</v>
      </c>
      <c r="P102" s="194">
        <f t="shared" si="191"/>
        <v>0</v>
      </c>
      <c r="Q102" s="194">
        <f t="shared" si="191"/>
        <v>0</v>
      </c>
      <c r="R102" s="194">
        <f t="shared" si="191"/>
        <v>570.90000000000009</v>
      </c>
      <c r="S102" s="194">
        <f t="shared" si="191"/>
        <v>1097.05</v>
      </c>
      <c r="T102" s="194">
        <f t="shared" si="191"/>
        <v>10.049999999999999</v>
      </c>
      <c r="U102" s="194">
        <f t="shared" si="191"/>
        <v>0</v>
      </c>
      <c r="V102" s="194">
        <f t="shared" si="191"/>
        <v>58390140</v>
      </c>
      <c r="W102" s="194">
        <f t="shared" si="191"/>
        <v>116160910</v>
      </c>
      <c r="X102" s="194">
        <f t="shared" si="191"/>
        <v>26640550</v>
      </c>
      <c r="Y102" s="194">
        <f t="shared" si="191"/>
        <v>0</v>
      </c>
      <c r="Z102" s="194">
        <f t="shared" si="191"/>
        <v>94</v>
      </c>
      <c r="AA102" s="194">
        <f t="shared" si="191"/>
        <v>8999000</v>
      </c>
      <c r="AB102" s="194">
        <f t="shared" si="191"/>
        <v>16</v>
      </c>
      <c r="AC102" s="194">
        <f t="shared" si="191"/>
        <v>1659200</v>
      </c>
      <c r="AD102" s="194">
        <f t="shared" si="191"/>
        <v>106</v>
      </c>
      <c r="AE102" s="194">
        <f t="shared" si="191"/>
        <v>11740600</v>
      </c>
      <c r="AF102" s="194">
        <f t="shared" si="191"/>
        <v>221</v>
      </c>
      <c r="AG102" s="194">
        <f t="shared" si="191"/>
        <v>21734700</v>
      </c>
      <c r="AH102" s="194">
        <f t="shared" si="191"/>
        <v>56</v>
      </c>
      <c r="AI102" s="194">
        <f t="shared" si="191"/>
        <v>11085000</v>
      </c>
      <c r="AJ102" s="194">
        <f t="shared" si="191"/>
        <v>82</v>
      </c>
      <c r="AK102" s="194">
        <f t="shared" si="191"/>
        <v>5330400</v>
      </c>
      <c r="AL102" s="194">
        <f t="shared" ref="AL102:BQ102" si="192">SUM(AL79:AL101)</f>
        <v>296</v>
      </c>
      <c r="AM102" s="194">
        <f t="shared" si="192"/>
        <v>15875000</v>
      </c>
      <c r="AN102" s="194">
        <f t="shared" si="192"/>
        <v>234</v>
      </c>
      <c r="AO102" s="194">
        <f t="shared" si="192"/>
        <v>23970500</v>
      </c>
      <c r="AP102" s="194">
        <f t="shared" si="192"/>
        <v>96</v>
      </c>
      <c r="AQ102" s="194">
        <f t="shared" si="192"/>
        <v>11624200</v>
      </c>
      <c r="AR102" s="194">
        <f t="shared" si="192"/>
        <v>145</v>
      </c>
      <c r="AS102" s="194">
        <f t="shared" si="192"/>
        <v>14870600</v>
      </c>
      <c r="AT102" s="194">
        <f t="shared" si="192"/>
        <v>25</v>
      </c>
      <c r="AU102" s="194">
        <f t="shared" si="192"/>
        <v>3260000</v>
      </c>
      <c r="AV102" s="194">
        <f t="shared" si="192"/>
        <v>30</v>
      </c>
      <c r="AW102" s="194">
        <f t="shared" si="192"/>
        <v>5679800</v>
      </c>
      <c r="AX102" s="194">
        <f t="shared" si="192"/>
        <v>18</v>
      </c>
      <c r="AY102" s="194">
        <f t="shared" si="192"/>
        <v>1993400</v>
      </c>
      <c r="AZ102" s="194">
        <f t="shared" si="192"/>
        <v>146</v>
      </c>
      <c r="BA102" s="194">
        <f t="shared" si="192"/>
        <v>14399800</v>
      </c>
      <c r="BB102" s="194">
        <f t="shared" si="192"/>
        <v>10</v>
      </c>
      <c r="BC102" s="194">
        <f t="shared" si="192"/>
        <v>1363600</v>
      </c>
      <c r="BD102" s="194">
        <f t="shared" si="192"/>
        <v>24</v>
      </c>
      <c r="BE102" s="194">
        <f t="shared" si="192"/>
        <v>4846400</v>
      </c>
      <c r="BF102" s="194">
        <f t="shared" si="192"/>
        <v>79</v>
      </c>
      <c r="BG102" s="194">
        <f t="shared" si="192"/>
        <v>10559400</v>
      </c>
      <c r="BH102" s="194">
        <f t="shared" si="192"/>
        <v>0</v>
      </c>
      <c r="BI102" s="194">
        <f t="shared" si="192"/>
        <v>0</v>
      </c>
      <c r="BJ102" s="194">
        <f t="shared" si="192"/>
        <v>1678</v>
      </c>
      <c r="BK102" s="194">
        <f t="shared" si="192"/>
        <v>168991600</v>
      </c>
      <c r="BL102" s="194">
        <f t="shared" si="192"/>
        <v>0</v>
      </c>
      <c r="BM102" s="194">
        <f t="shared" si="192"/>
        <v>0</v>
      </c>
      <c r="BN102" s="194">
        <f t="shared" si="192"/>
        <v>0</v>
      </c>
      <c r="BO102" s="194">
        <f t="shared" si="192"/>
        <v>0</v>
      </c>
      <c r="BP102" s="194">
        <f t="shared" si="192"/>
        <v>168991600</v>
      </c>
      <c r="BQ102" s="194">
        <f t="shared" si="192"/>
        <v>0</v>
      </c>
      <c r="BR102" s="194">
        <f>SUM(BR79:BR101)</f>
        <v>168991600</v>
      </c>
      <c r="BS102" s="194">
        <f>SUM(BS79:BS101)</f>
        <v>0</v>
      </c>
      <c r="BT102" s="194">
        <f>SUM(BT79:BT101)</f>
        <v>0</v>
      </c>
      <c r="BU102" s="194">
        <f>SUM(BU79:BU101)</f>
        <v>0</v>
      </c>
      <c r="BV102" s="194">
        <f>SUM(BV79:BV101)</f>
        <v>168991600</v>
      </c>
    </row>
    <row r="103" spans="1:74">
      <c r="A103" s="904"/>
      <c r="B103" s="191"/>
      <c r="C103" s="158" t="s">
        <v>522</v>
      </c>
      <c r="D103" s="159"/>
      <c r="E103" s="136"/>
      <c r="F103" s="194">
        <f t="shared" ref="F103:AK103" si="193">F102+F77+F52+F39+F34</f>
        <v>31498</v>
      </c>
      <c r="G103" s="194">
        <f t="shared" si="193"/>
        <v>311510830</v>
      </c>
      <c r="H103" s="194">
        <f t="shared" si="193"/>
        <v>3001730</v>
      </c>
      <c r="I103" s="194">
        <f t="shared" si="193"/>
        <v>12818750</v>
      </c>
      <c r="J103" s="194">
        <f t="shared" si="193"/>
        <v>0</v>
      </c>
      <c r="K103" s="194">
        <f t="shared" si="193"/>
        <v>0</v>
      </c>
      <c r="L103" s="194">
        <f t="shared" si="193"/>
        <v>78252000</v>
      </c>
      <c r="M103" s="194">
        <f t="shared" si="193"/>
        <v>216897130</v>
      </c>
      <c r="N103" s="194">
        <f t="shared" si="193"/>
        <v>0</v>
      </c>
      <c r="O103" s="194">
        <f t="shared" si="193"/>
        <v>0</v>
      </c>
      <c r="P103" s="194">
        <f t="shared" si="193"/>
        <v>541220</v>
      </c>
      <c r="Q103" s="194">
        <f t="shared" si="193"/>
        <v>0</v>
      </c>
      <c r="R103" s="194">
        <f t="shared" si="193"/>
        <v>10633.05</v>
      </c>
      <c r="S103" s="194">
        <f t="shared" si="193"/>
        <v>3997.0499999999997</v>
      </c>
      <c r="T103" s="194">
        <f t="shared" si="193"/>
        <v>4317.1499999999996</v>
      </c>
      <c r="U103" s="194">
        <f t="shared" si="193"/>
        <v>11485.6</v>
      </c>
      <c r="V103" s="194">
        <f t="shared" si="193"/>
        <v>79275211</v>
      </c>
      <c r="W103" s="194">
        <f t="shared" si="193"/>
        <v>138190663.5</v>
      </c>
      <c r="X103" s="194">
        <f t="shared" si="193"/>
        <v>42462482.5</v>
      </c>
      <c r="Y103" s="194">
        <f t="shared" si="193"/>
        <v>20165723</v>
      </c>
      <c r="Z103" s="194">
        <f t="shared" si="193"/>
        <v>1199</v>
      </c>
      <c r="AA103" s="194">
        <f t="shared" si="193"/>
        <v>20807500</v>
      </c>
      <c r="AB103" s="194">
        <f t="shared" si="193"/>
        <v>5405</v>
      </c>
      <c r="AC103" s="194">
        <f t="shared" si="193"/>
        <v>10339200</v>
      </c>
      <c r="AD103" s="194">
        <f t="shared" si="193"/>
        <v>1746</v>
      </c>
      <c r="AE103" s="194">
        <f t="shared" si="193"/>
        <v>20390800</v>
      </c>
      <c r="AF103" s="194">
        <f t="shared" si="193"/>
        <v>4431</v>
      </c>
      <c r="AG103" s="194">
        <f t="shared" si="193"/>
        <v>30297200</v>
      </c>
      <c r="AH103" s="194">
        <f t="shared" si="193"/>
        <v>4303</v>
      </c>
      <c r="AI103" s="194">
        <f t="shared" si="193"/>
        <v>21919500</v>
      </c>
      <c r="AJ103" s="194">
        <f t="shared" si="193"/>
        <v>863</v>
      </c>
      <c r="AK103" s="194">
        <f t="shared" si="193"/>
        <v>12982900</v>
      </c>
      <c r="AL103" s="194">
        <f t="shared" ref="AL103:BQ103" si="194">AL102+AL77+AL52+AL39+AL34</f>
        <v>787</v>
      </c>
      <c r="AM103" s="194">
        <f t="shared" si="194"/>
        <v>21854500</v>
      </c>
      <c r="AN103" s="194">
        <f t="shared" si="194"/>
        <v>506</v>
      </c>
      <c r="AO103" s="194">
        <f t="shared" si="194"/>
        <v>28807000</v>
      </c>
      <c r="AP103" s="194">
        <f t="shared" si="194"/>
        <v>159</v>
      </c>
      <c r="AQ103" s="194">
        <f t="shared" si="194"/>
        <v>15289200</v>
      </c>
      <c r="AR103" s="194">
        <f t="shared" si="194"/>
        <v>516</v>
      </c>
      <c r="AS103" s="194">
        <f t="shared" si="194"/>
        <v>25923300</v>
      </c>
      <c r="AT103" s="194">
        <f t="shared" si="194"/>
        <v>118</v>
      </c>
      <c r="AU103" s="194">
        <f t="shared" si="194"/>
        <v>10717530</v>
      </c>
      <c r="AV103" s="194">
        <f t="shared" si="194"/>
        <v>1548</v>
      </c>
      <c r="AW103" s="194">
        <f t="shared" si="194"/>
        <v>14863300</v>
      </c>
      <c r="AX103" s="194">
        <f t="shared" si="194"/>
        <v>531</v>
      </c>
      <c r="AY103" s="194">
        <f t="shared" si="194"/>
        <v>8416700</v>
      </c>
      <c r="AZ103" s="194">
        <f t="shared" si="194"/>
        <v>6328</v>
      </c>
      <c r="BA103" s="194">
        <f t="shared" si="194"/>
        <v>26122300</v>
      </c>
      <c r="BB103" s="194">
        <f t="shared" si="194"/>
        <v>1313</v>
      </c>
      <c r="BC103" s="194">
        <f t="shared" si="194"/>
        <v>9426100</v>
      </c>
      <c r="BD103" s="194">
        <f t="shared" si="194"/>
        <v>1507</v>
      </c>
      <c r="BE103" s="194">
        <f t="shared" si="194"/>
        <v>11641900</v>
      </c>
      <c r="BF103" s="194">
        <f t="shared" si="194"/>
        <v>238</v>
      </c>
      <c r="BG103" s="194">
        <f t="shared" si="194"/>
        <v>21711900</v>
      </c>
      <c r="BH103" s="194">
        <f t="shared" si="194"/>
        <v>0</v>
      </c>
      <c r="BI103" s="194">
        <f t="shared" si="194"/>
        <v>0</v>
      </c>
      <c r="BJ103" s="194">
        <f t="shared" si="194"/>
        <v>31498</v>
      </c>
      <c r="BK103" s="194">
        <f t="shared" si="194"/>
        <v>311510830</v>
      </c>
      <c r="BL103" s="194">
        <f t="shared" si="194"/>
        <v>0</v>
      </c>
      <c r="BM103" s="194">
        <f t="shared" si="194"/>
        <v>0</v>
      </c>
      <c r="BN103" s="194">
        <f t="shared" si="194"/>
        <v>62276230</v>
      </c>
      <c r="BO103" s="194">
        <f t="shared" si="194"/>
        <v>0</v>
      </c>
      <c r="BP103" s="194">
        <f t="shared" si="194"/>
        <v>172631600</v>
      </c>
      <c r="BQ103" s="194">
        <f t="shared" si="194"/>
        <v>0</v>
      </c>
      <c r="BR103" s="194">
        <f>BR102+BR77+BR52+BR39+BR34</f>
        <v>234907830</v>
      </c>
      <c r="BS103" s="194">
        <f>BS102+BS77+BS52+BS39+BS34</f>
        <v>0</v>
      </c>
      <c r="BT103" s="194">
        <f>BT102+BT77+BT52+BT39+BT34</f>
        <v>0</v>
      </c>
      <c r="BU103" s="194">
        <f>BU102+BU77+BU52+BU39+BU34</f>
        <v>0</v>
      </c>
      <c r="BV103" s="194">
        <f>BV102+BV77+BV52+BV39+BV34</f>
        <v>234907830</v>
      </c>
    </row>
    <row r="104" spans="1:74">
      <c r="A104" s="904"/>
      <c r="B104" s="191"/>
      <c r="C104" s="166" t="s">
        <v>346</v>
      </c>
      <c r="D104" s="237"/>
      <c r="E104" s="237"/>
      <c r="F104" s="194">
        <f t="shared" ref="F104:AK104" si="195">F103+F21+F16</f>
        <v>37244</v>
      </c>
      <c r="G104" s="194">
        <f t="shared" si="195"/>
        <v>317239830</v>
      </c>
      <c r="H104" s="194">
        <f t="shared" si="195"/>
        <v>4147530</v>
      </c>
      <c r="I104" s="194">
        <f t="shared" si="195"/>
        <v>17401950</v>
      </c>
      <c r="J104" s="194">
        <f t="shared" si="195"/>
        <v>0</v>
      </c>
      <c r="K104" s="194">
        <f t="shared" si="195"/>
        <v>0</v>
      </c>
      <c r="L104" s="194">
        <f t="shared" si="195"/>
        <v>78252000</v>
      </c>
      <c r="M104" s="194">
        <f t="shared" si="195"/>
        <v>216897130</v>
      </c>
      <c r="N104" s="194">
        <f t="shared" si="195"/>
        <v>0</v>
      </c>
      <c r="O104" s="194">
        <f t="shared" si="195"/>
        <v>0</v>
      </c>
      <c r="P104" s="194">
        <f t="shared" si="195"/>
        <v>541220</v>
      </c>
      <c r="Q104" s="194">
        <f t="shared" si="195"/>
        <v>0</v>
      </c>
      <c r="R104" s="194">
        <f t="shared" si="195"/>
        <v>12069.55</v>
      </c>
      <c r="S104" s="194">
        <f t="shared" si="195"/>
        <v>5433.5499999999993</v>
      </c>
      <c r="T104" s="194">
        <f t="shared" si="195"/>
        <v>5753.65</v>
      </c>
      <c r="U104" s="194">
        <f t="shared" si="195"/>
        <v>12922.1</v>
      </c>
      <c r="V104" s="194">
        <f t="shared" si="195"/>
        <v>80572861</v>
      </c>
      <c r="W104" s="194">
        <f t="shared" si="195"/>
        <v>139523813.5</v>
      </c>
      <c r="X104" s="194">
        <f t="shared" si="195"/>
        <v>43767232.5</v>
      </c>
      <c r="Y104" s="194">
        <f t="shared" si="195"/>
        <v>21583173</v>
      </c>
      <c r="Z104" s="194">
        <f t="shared" si="195"/>
        <v>1621</v>
      </c>
      <c r="AA104" s="194">
        <f t="shared" si="195"/>
        <v>21177500</v>
      </c>
      <c r="AB104" s="194">
        <f t="shared" si="195"/>
        <v>5649</v>
      </c>
      <c r="AC104" s="194">
        <f t="shared" si="195"/>
        <v>10572200</v>
      </c>
      <c r="AD104" s="194">
        <f t="shared" si="195"/>
        <v>2060</v>
      </c>
      <c r="AE104" s="194">
        <f t="shared" si="195"/>
        <v>20630800</v>
      </c>
      <c r="AF104" s="194">
        <f t="shared" si="195"/>
        <v>4895</v>
      </c>
      <c r="AG104" s="194">
        <f t="shared" si="195"/>
        <v>30552200</v>
      </c>
      <c r="AH104" s="194">
        <f t="shared" si="195"/>
        <v>4317</v>
      </c>
      <c r="AI104" s="194">
        <f t="shared" si="195"/>
        <v>22129500</v>
      </c>
      <c r="AJ104" s="194">
        <f t="shared" si="195"/>
        <v>1295</v>
      </c>
      <c r="AK104" s="194">
        <f t="shared" si="195"/>
        <v>13502900</v>
      </c>
      <c r="AL104" s="194">
        <f t="shared" ref="AL104:BK104" si="196">AL103+AL21+AL16</f>
        <v>1213</v>
      </c>
      <c r="AM104" s="194">
        <f t="shared" si="196"/>
        <v>22284500</v>
      </c>
      <c r="AN104" s="194">
        <f t="shared" si="196"/>
        <v>813</v>
      </c>
      <c r="AO104" s="194">
        <f t="shared" si="196"/>
        <v>28942000</v>
      </c>
      <c r="AP104" s="194">
        <f t="shared" si="196"/>
        <v>325</v>
      </c>
      <c r="AQ104" s="194">
        <f t="shared" si="196"/>
        <v>15693200</v>
      </c>
      <c r="AR104" s="194">
        <f t="shared" si="196"/>
        <v>992</v>
      </c>
      <c r="AS104" s="194">
        <f t="shared" si="196"/>
        <v>26358300</v>
      </c>
      <c r="AT104" s="194">
        <f t="shared" si="196"/>
        <v>540</v>
      </c>
      <c r="AU104" s="194">
        <f t="shared" si="196"/>
        <v>11236530</v>
      </c>
      <c r="AV104" s="194">
        <f t="shared" si="196"/>
        <v>1940</v>
      </c>
      <c r="AW104" s="194">
        <f t="shared" si="196"/>
        <v>15379300</v>
      </c>
      <c r="AX104" s="194">
        <f t="shared" si="196"/>
        <v>905</v>
      </c>
      <c r="AY104" s="194">
        <f t="shared" si="196"/>
        <v>8662700</v>
      </c>
      <c r="AZ104" s="194">
        <f t="shared" si="196"/>
        <v>6750</v>
      </c>
      <c r="BA104" s="194">
        <f t="shared" si="196"/>
        <v>26492300</v>
      </c>
      <c r="BB104" s="194">
        <f t="shared" si="196"/>
        <v>1499</v>
      </c>
      <c r="BC104" s="194">
        <f t="shared" si="196"/>
        <v>9832100</v>
      </c>
      <c r="BD104" s="194">
        <f t="shared" si="196"/>
        <v>1923</v>
      </c>
      <c r="BE104" s="194">
        <f t="shared" si="196"/>
        <v>11921900</v>
      </c>
      <c r="BF104" s="194">
        <f t="shared" si="196"/>
        <v>540</v>
      </c>
      <c r="BG104" s="194">
        <f t="shared" si="196"/>
        <v>21771900</v>
      </c>
      <c r="BH104" s="194">
        <f t="shared" si="196"/>
        <v>1</v>
      </c>
      <c r="BI104" s="194">
        <f t="shared" si="196"/>
        <v>100000</v>
      </c>
      <c r="BJ104" s="194">
        <f t="shared" si="196"/>
        <v>37278</v>
      </c>
      <c r="BK104" s="194">
        <f t="shared" si="196"/>
        <v>317239830</v>
      </c>
      <c r="BL104" s="194"/>
      <c r="BM104" s="194">
        <f t="shared" ref="BM104:BV104" si="197">BM103+BM21+BM16</f>
        <v>0</v>
      </c>
      <c r="BN104" s="194">
        <f t="shared" si="197"/>
        <v>62276230</v>
      </c>
      <c r="BO104" s="194">
        <f t="shared" si="197"/>
        <v>5219000</v>
      </c>
      <c r="BP104" s="194">
        <f t="shared" si="197"/>
        <v>172631600</v>
      </c>
      <c r="BQ104" s="194">
        <f t="shared" si="197"/>
        <v>0</v>
      </c>
      <c r="BR104" s="194">
        <f t="shared" si="197"/>
        <v>240126830</v>
      </c>
      <c r="BS104" s="194">
        <f t="shared" si="197"/>
        <v>0</v>
      </c>
      <c r="BT104" s="194">
        <f t="shared" si="197"/>
        <v>0</v>
      </c>
      <c r="BU104" s="194">
        <f t="shared" si="197"/>
        <v>0</v>
      </c>
      <c r="BV104" s="194">
        <f t="shared" si="197"/>
        <v>240126830</v>
      </c>
    </row>
    <row r="108" spans="1:74">
      <c r="G108" s="181">
        <f>G104-BK104</f>
        <v>0</v>
      </c>
    </row>
  </sheetData>
  <mergeCells count="40">
    <mergeCell ref="A1:Q1"/>
    <mergeCell ref="C2:Q2"/>
    <mergeCell ref="C3:Q3"/>
    <mergeCell ref="AD7:AE8"/>
    <mergeCell ref="C8:C9"/>
    <mergeCell ref="D8:D9"/>
    <mergeCell ref="E8:E9"/>
    <mergeCell ref="F8:F9"/>
    <mergeCell ref="G8:G9"/>
    <mergeCell ref="R7:U8"/>
    <mergeCell ref="V7:Y8"/>
    <mergeCell ref="Z7:AA8"/>
    <mergeCell ref="AB7:AC8"/>
    <mergeCell ref="C4:Q4"/>
    <mergeCell ref="C5:Q5"/>
    <mergeCell ref="C6:Q6"/>
    <mergeCell ref="A10:A104"/>
    <mergeCell ref="BV8:BV9"/>
    <mergeCell ref="BF7:BG8"/>
    <mergeCell ref="BH7:BI8"/>
    <mergeCell ref="BJ7:BK8"/>
    <mergeCell ref="BM7:BM9"/>
    <mergeCell ref="BD7:BE8"/>
    <mergeCell ref="BN8:BR8"/>
    <mergeCell ref="BS8:BU8"/>
    <mergeCell ref="AT7:AU8"/>
    <mergeCell ref="AV7:AW8"/>
    <mergeCell ref="AX7:AY8"/>
    <mergeCell ref="AZ7:BA8"/>
    <mergeCell ref="A7:D7"/>
    <mergeCell ref="F7:G7"/>
    <mergeCell ref="H7:Q7"/>
    <mergeCell ref="BB7:BC8"/>
    <mergeCell ref="AF7:AG8"/>
    <mergeCell ref="AH7:AI8"/>
    <mergeCell ref="AN7:AO8"/>
    <mergeCell ref="AP7:AQ8"/>
    <mergeCell ref="AR7:AS8"/>
    <mergeCell ref="AJ7:AK8"/>
    <mergeCell ref="AL7:AM8"/>
  </mergeCells>
  <phoneticPr fontId="3" type="noConversion"/>
  <pageMargins left="0.7" right="0.7" top="0.75" bottom="0.75" header="0.3" footer="0.3"/>
  <pageSetup paperSize="9" scale="1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tabColor rgb="FFFF0000"/>
    <pageSetUpPr fitToPage="1"/>
  </sheetPr>
  <dimension ref="A1:BW99"/>
  <sheetViews>
    <sheetView zoomScale="80" zoomScaleNormal="80" workbookViewId="0">
      <pane xSplit="8" ySplit="9" topLeftCell="BG88" activePane="bottomRight" state="frozen"/>
      <selection pane="topRight" activeCell="H1" sqref="H1"/>
      <selection pane="bottomLeft" activeCell="A10" sqref="A10"/>
      <selection pane="bottomRight" activeCell="G101" sqref="G101"/>
    </sheetView>
  </sheetViews>
  <sheetFormatPr defaultColWidth="9.140625" defaultRowHeight="15.75"/>
  <cols>
    <col min="1" max="1" width="11.28515625" style="178" hidden="1" customWidth="1"/>
    <col min="2" max="2" width="7.7109375" style="178" hidden="1" customWidth="1"/>
    <col min="3" max="3" width="11" style="301" customWidth="1"/>
    <col min="4" max="4" width="36.140625" style="178" customWidth="1"/>
    <col min="5" max="5" width="13.140625" style="243" customWidth="1"/>
    <col min="6" max="6" width="14" style="243" customWidth="1"/>
    <col min="7" max="7" width="11.140625" style="243" bestFit="1" customWidth="1"/>
    <col min="8" max="8" width="17.5703125" style="243" customWidth="1"/>
    <col min="9" max="9" width="16.7109375" style="243" bestFit="1" customWidth="1"/>
    <col min="10" max="10" width="16.7109375" style="243" customWidth="1"/>
    <col min="11" max="11" width="15.28515625" style="243" customWidth="1"/>
    <col min="12" max="12" width="14" style="243" customWidth="1"/>
    <col min="13" max="13" width="15.5703125" style="243" bestFit="1" customWidth="1"/>
    <col min="14" max="14" width="15.140625" style="243" customWidth="1"/>
    <col min="15" max="15" width="5.5703125" style="243" customWidth="1"/>
    <col min="16" max="16" width="11.28515625" style="243" bestFit="1" customWidth="1"/>
    <col min="17" max="17" width="15.5703125" style="243" customWidth="1"/>
    <col min="18" max="18" width="8.28515625" style="243" customWidth="1"/>
    <col min="19" max="19" width="8.7109375" style="302" customWidth="1"/>
    <col min="20" max="20" width="7.42578125" style="302" customWidth="1"/>
    <col min="21" max="21" width="7" style="302" customWidth="1"/>
    <col min="22" max="22" width="9.28515625" style="302" customWidth="1"/>
    <col min="23" max="23" width="15.5703125" style="244" customWidth="1"/>
    <col min="24" max="24" width="16.28515625" style="244" customWidth="1"/>
    <col min="25" max="25" width="15.28515625" style="244" customWidth="1"/>
    <col min="26" max="26" width="14.28515625" style="244" customWidth="1"/>
    <col min="27" max="27" width="8.140625" style="243" customWidth="1"/>
    <col min="28" max="28" width="14" style="244" customWidth="1"/>
    <col min="29" max="29" width="8.42578125" style="243" customWidth="1"/>
    <col min="30" max="30" width="13.85546875" style="244" customWidth="1"/>
    <col min="31" max="31" width="6.28515625" style="243" customWidth="1"/>
    <col min="32" max="32" width="15" style="244" customWidth="1"/>
    <col min="33" max="33" width="7.42578125" style="243" customWidth="1"/>
    <col min="34" max="34" width="14.140625" style="244" customWidth="1"/>
    <col min="35" max="35" width="6.7109375" style="243" customWidth="1"/>
    <col min="36" max="36" width="14.28515625" style="244" customWidth="1"/>
    <col min="37" max="37" width="8.5703125" style="243" customWidth="1"/>
    <col min="38" max="38" width="15.140625" style="244" customWidth="1"/>
    <col min="39" max="39" width="6.7109375" style="243" customWidth="1"/>
    <col min="40" max="40" width="15" style="244" customWidth="1"/>
    <col min="41" max="41" width="8" style="243" bestFit="1" customWidth="1"/>
    <col min="42" max="42" width="15.42578125" style="244" customWidth="1"/>
    <col min="43" max="43" width="5.7109375" style="243" customWidth="1"/>
    <col min="44" max="44" width="13" style="244" customWidth="1"/>
    <col min="45" max="45" width="7" style="243" customWidth="1"/>
    <col min="46" max="46" width="15.5703125" style="244" bestFit="1" customWidth="1"/>
    <col min="47" max="47" width="8.140625" style="243" customWidth="1"/>
    <col min="48" max="48" width="14.140625" style="244" customWidth="1"/>
    <col min="49" max="49" width="6.5703125" style="243" customWidth="1"/>
    <col min="50" max="50" width="15.7109375" style="244" bestFit="1" customWidth="1"/>
    <col min="51" max="51" width="10.28515625" style="243" customWidth="1"/>
    <col min="52" max="52" width="15.7109375" style="244" bestFit="1" customWidth="1"/>
    <col min="53" max="53" width="8" style="243" bestFit="1" customWidth="1"/>
    <col min="54" max="54" width="15.5703125" style="244" bestFit="1" customWidth="1"/>
    <col min="55" max="55" width="8" style="243" bestFit="1" customWidth="1"/>
    <col min="56" max="56" width="15.5703125" style="244" bestFit="1" customWidth="1"/>
    <col min="57" max="57" width="7.7109375" style="243" customWidth="1"/>
    <col min="58" max="58" width="15.7109375" style="244" bestFit="1" customWidth="1"/>
    <col min="59" max="59" width="8" style="243" bestFit="1" customWidth="1"/>
    <col min="60" max="60" width="15.7109375" style="244" customWidth="1"/>
    <col min="61" max="61" width="10.140625" style="243" customWidth="1"/>
    <col min="62" max="62" width="15" style="244" customWidth="1"/>
    <col min="63" max="63" width="11.140625" style="243" customWidth="1"/>
    <col min="64" max="64" width="17.42578125" style="244" customWidth="1"/>
    <col min="65" max="65" width="26.28515625" style="178" customWidth="1"/>
    <col min="66" max="66" width="5.28515625" style="178" customWidth="1"/>
    <col min="67" max="67" width="17" style="178" bestFit="1" customWidth="1"/>
    <col min="68" max="68" width="16.5703125" style="178" bestFit="1" customWidth="1"/>
    <col min="69" max="69" width="16" style="178" bestFit="1" customWidth="1"/>
    <col min="70" max="70" width="7.140625" style="178" customWidth="1"/>
    <col min="71" max="71" width="17.42578125" style="178" customWidth="1"/>
    <col min="72" max="72" width="14.85546875" style="178" bestFit="1" customWidth="1"/>
    <col min="73" max="74" width="16.28515625" style="178" bestFit="1" customWidth="1"/>
    <col min="75" max="75" width="17.28515625" style="178" customWidth="1"/>
    <col min="76" max="85" width="9.140625" style="178" customWidth="1"/>
    <col min="86" max="16384" width="9.140625" style="178"/>
  </cols>
  <sheetData>
    <row r="1" spans="1:75" ht="21.75" customHeight="1">
      <c r="A1" s="932" t="s">
        <v>163</v>
      </c>
      <c r="B1" s="932"/>
      <c r="C1" s="240"/>
      <c r="D1" s="933" t="s">
        <v>157</v>
      </c>
      <c r="E1" s="933"/>
      <c r="F1" s="933"/>
      <c r="G1" s="933"/>
      <c r="H1" s="933"/>
      <c r="I1" s="933"/>
      <c r="J1" s="933"/>
      <c r="K1" s="933"/>
      <c r="L1" s="933"/>
      <c r="M1" s="933"/>
      <c r="N1" s="933"/>
      <c r="O1" s="933"/>
      <c r="P1" s="933"/>
      <c r="Q1" s="933"/>
      <c r="R1" s="933"/>
      <c r="S1" s="241"/>
      <c r="T1" s="241"/>
      <c r="U1" s="241"/>
      <c r="V1" s="241"/>
      <c r="W1" s="242"/>
      <c r="X1" s="242"/>
      <c r="Y1" s="242"/>
      <c r="Z1" s="242"/>
    </row>
    <row r="2" spans="1:75" ht="18" customHeight="1">
      <c r="A2" s="932" t="s">
        <v>159</v>
      </c>
      <c r="B2" s="932"/>
      <c r="C2" s="240"/>
      <c r="D2" s="933" t="s">
        <v>158</v>
      </c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241"/>
      <c r="T2" s="241"/>
      <c r="U2" s="241"/>
      <c r="V2" s="241"/>
      <c r="W2" s="242"/>
      <c r="X2" s="242"/>
      <c r="Y2" s="242"/>
      <c r="Z2" s="242"/>
      <c r="AA2" s="140" t="s">
        <v>299</v>
      </c>
      <c r="AB2" s="140">
        <v>8.34</v>
      </c>
      <c r="AC2" s="140"/>
      <c r="AD2" s="140">
        <v>2.85</v>
      </c>
      <c r="AE2" s="140"/>
      <c r="AF2" s="140">
        <v>8.3800000000000008</v>
      </c>
      <c r="AG2" s="140"/>
      <c r="AH2" s="140">
        <v>7.49</v>
      </c>
      <c r="AI2" s="140"/>
      <c r="AJ2" s="140">
        <v>3.33</v>
      </c>
      <c r="AK2" s="140"/>
      <c r="AL2" s="140">
        <v>6.64</v>
      </c>
      <c r="AM2" s="140"/>
      <c r="AN2" s="140">
        <v>3.67</v>
      </c>
      <c r="AO2" s="140"/>
      <c r="AP2" s="140">
        <v>5.0599999999999996</v>
      </c>
      <c r="AQ2" s="140"/>
      <c r="AR2" s="140">
        <v>5.94</v>
      </c>
      <c r="AS2" s="140"/>
      <c r="AT2" s="140">
        <v>6.85</v>
      </c>
      <c r="AU2" s="140"/>
      <c r="AV2" s="140">
        <v>7.45</v>
      </c>
      <c r="AW2" s="140"/>
      <c r="AX2" s="140">
        <v>5.13</v>
      </c>
      <c r="AY2" s="140"/>
      <c r="AZ2" s="140">
        <v>4.8600000000000003</v>
      </c>
      <c r="BA2" s="140"/>
      <c r="BB2" s="140">
        <v>5.79</v>
      </c>
      <c r="BC2" s="140"/>
      <c r="BD2" s="140">
        <v>5.3</v>
      </c>
      <c r="BE2" s="140"/>
      <c r="BF2" s="140">
        <v>3.47</v>
      </c>
      <c r="BG2" s="140"/>
      <c r="BH2" s="140">
        <v>9.42</v>
      </c>
      <c r="BI2" s="140"/>
      <c r="BJ2" s="140"/>
      <c r="BK2" s="140"/>
      <c r="BL2" s="140"/>
    </row>
    <row r="3" spans="1:75" ht="18.75" customHeight="1">
      <c r="A3" s="932" t="s">
        <v>160</v>
      </c>
      <c r="B3" s="932"/>
      <c r="C3" s="240"/>
      <c r="D3" s="933" t="s">
        <v>950</v>
      </c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241"/>
      <c r="T3" s="241"/>
      <c r="U3" s="241"/>
      <c r="V3" s="241"/>
      <c r="W3" s="242"/>
      <c r="X3" s="242"/>
      <c r="Y3" s="242"/>
      <c r="Z3" s="242"/>
      <c r="AA3" s="140" t="s">
        <v>297</v>
      </c>
      <c r="AB3" s="140">
        <v>48</v>
      </c>
      <c r="AC3" s="140"/>
      <c r="AD3" s="140">
        <v>23</v>
      </c>
      <c r="AE3" s="140"/>
      <c r="AF3" s="140">
        <v>80</v>
      </c>
      <c r="AG3" s="140"/>
      <c r="AH3" s="140">
        <v>105</v>
      </c>
      <c r="AI3" s="140"/>
      <c r="AJ3" s="140">
        <v>43</v>
      </c>
      <c r="AK3" s="140"/>
      <c r="AL3" s="140">
        <v>75</v>
      </c>
      <c r="AM3" s="140"/>
      <c r="AN3" s="140">
        <v>41</v>
      </c>
      <c r="AO3" s="140"/>
      <c r="AP3" s="140">
        <v>101</v>
      </c>
      <c r="AQ3" s="140"/>
      <c r="AR3" s="140">
        <v>8</v>
      </c>
      <c r="AS3" s="140"/>
      <c r="AT3" s="140">
        <v>33</v>
      </c>
      <c r="AU3" s="140"/>
      <c r="AV3" s="140">
        <v>53</v>
      </c>
      <c r="AW3" s="140"/>
      <c r="AX3" s="140">
        <v>52</v>
      </c>
      <c r="AY3" s="140"/>
      <c r="AZ3" s="140">
        <v>76</v>
      </c>
      <c r="BA3" s="140"/>
      <c r="BB3" s="140">
        <v>82</v>
      </c>
      <c r="BC3" s="140"/>
      <c r="BD3" s="140">
        <v>104</v>
      </c>
      <c r="BE3" s="140"/>
      <c r="BF3" s="140">
        <v>147</v>
      </c>
      <c r="BG3" s="140"/>
      <c r="BH3" s="140">
        <v>54</v>
      </c>
      <c r="BI3" s="140"/>
      <c r="BJ3" s="140"/>
      <c r="BK3" s="140"/>
      <c r="BL3" s="140"/>
    </row>
    <row r="4" spans="1:75" ht="16.5" customHeight="1">
      <c r="A4" s="932" t="s">
        <v>176</v>
      </c>
      <c r="B4" s="932"/>
      <c r="C4" s="240"/>
      <c r="D4" s="933" t="s">
        <v>91</v>
      </c>
      <c r="E4" s="933"/>
      <c r="F4" s="933"/>
      <c r="G4" s="933"/>
      <c r="H4" s="933"/>
      <c r="I4" s="933"/>
      <c r="J4" s="933"/>
      <c r="K4" s="933"/>
      <c r="L4" s="933"/>
      <c r="M4" s="933"/>
      <c r="N4" s="933"/>
      <c r="O4" s="933"/>
      <c r="P4" s="933"/>
      <c r="Q4" s="933"/>
      <c r="R4" s="933"/>
      <c r="S4" s="241"/>
      <c r="T4" s="241"/>
      <c r="U4" s="241"/>
      <c r="V4" s="241"/>
      <c r="W4" s="242"/>
      <c r="X4" s="242"/>
      <c r="Y4" s="242"/>
      <c r="Z4" s="242"/>
      <c r="AA4" s="140" t="s">
        <v>298</v>
      </c>
      <c r="AB4" s="141">
        <f>AB3/1125*100</f>
        <v>4.2666666666666666</v>
      </c>
      <c r="AC4" s="141">
        <f t="shared" ref="AC4:BH4" si="0">AC3/1125*100</f>
        <v>0</v>
      </c>
      <c r="AD4" s="141">
        <f t="shared" si="0"/>
        <v>2.0444444444444447</v>
      </c>
      <c r="AE4" s="141">
        <f t="shared" si="0"/>
        <v>0</v>
      </c>
      <c r="AF4" s="141">
        <f t="shared" si="0"/>
        <v>7.1111111111111107</v>
      </c>
      <c r="AG4" s="141">
        <f t="shared" si="0"/>
        <v>0</v>
      </c>
      <c r="AH4" s="141">
        <f t="shared" si="0"/>
        <v>9.3333333333333339</v>
      </c>
      <c r="AI4" s="141">
        <f t="shared" si="0"/>
        <v>0</v>
      </c>
      <c r="AJ4" s="141">
        <f t="shared" si="0"/>
        <v>3.822222222222222</v>
      </c>
      <c r="AK4" s="141">
        <f t="shared" si="0"/>
        <v>0</v>
      </c>
      <c r="AL4" s="141">
        <f t="shared" si="0"/>
        <v>6.666666666666667</v>
      </c>
      <c r="AM4" s="141">
        <f t="shared" si="0"/>
        <v>0</v>
      </c>
      <c r="AN4" s="141">
        <f t="shared" si="0"/>
        <v>3.6444444444444448</v>
      </c>
      <c r="AO4" s="141">
        <f t="shared" si="0"/>
        <v>0</v>
      </c>
      <c r="AP4" s="141">
        <f t="shared" si="0"/>
        <v>8.9777777777777779</v>
      </c>
      <c r="AQ4" s="141">
        <f t="shared" si="0"/>
        <v>0</v>
      </c>
      <c r="AR4" s="141">
        <f t="shared" si="0"/>
        <v>0.71111111111111114</v>
      </c>
      <c r="AS4" s="141">
        <f t="shared" si="0"/>
        <v>0</v>
      </c>
      <c r="AT4" s="141">
        <f t="shared" si="0"/>
        <v>2.9333333333333331</v>
      </c>
      <c r="AU4" s="141">
        <f t="shared" si="0"/>
        <v>0</v>
      </c>
      <c r="AV4" s="141">
        <f t="shared" si="0"/>
        <v>4.7111111111111112</v>
      </c>
      <c r="AW4" s="141">
        <f t="shared" si="0"/>
        <v>0</v>
      </c>
      <c r="AX4" s="141">
        <f t="shared" si="0"/>
        <v>4.6222222222222218</v>
      </c>
      <c r="AY4" s="141">
        <f t="shared" si="0"/>
        <v>0</v>
      </c>
      <c r="AZ4" s="141">
        <f t="shared" si="0"/>
        <v>6.7555555555555546</v>
      </c>
      <c r="BA4" s="141">
        <f t="shared" si="0"/>
        <v>0</v>
      </c>
      <c r="BB4" s="141">
        <f t="shared" si="0"/>
        <v>7.2888888888888896</v>
      </c>
      <c r="BC4" s="141">
        <f t="shared" si="0"/>
        <v>0</v>
      </c>
      <c r="BD4" s="141">
        <f t="shared" si="0"/>
        <v>9.2444444444444436</v>
      </c>
      <c r="BE4" s="141">
        <f t="shared" si="0"/>
        <v>0</v>
      </c>
      <c r="BF4" s="141">
        <f t="shared" si="0"/>
        <v>13.066666666666665</v>
      </c>
      <c r="BG4" s="141">
        <f t="shared" si="0"/>
        <v>0</v>
      </c>
      <c r="BH4" s="141">
        <f t="shared" si="0"/>
        <v>4.8</v>
      </c>
      <c r="BI4" s="140"/>
      <c r="BJ4" s="140"/>
      <c r="BK4" s="140"/>
      <c r="BL4" s="140"/>
    </row>
    <row r="5" spans="1:75" ht="18.600000000000001" customHeight="1">
      <c r="A5" s="932" t="s">
        <v>177</v>
      </c>
      <c r="B5" s="932"/>
      <c r="C5" s="240"/>
      <c r="D5" s="933" t="s">
        <v>178</v>
      </c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  <c r="R5" s="933"/>
      <c r="S5" s="241"/>
      <c r="T5" s="241"/>
      <c r="U5" s="241"/>
      <c r="V5" s="241"/>
      <c r="W5" s="242"/>
      <c r="X5" s="242"/>
      <c r="Y5" s="242"/>
      <c r="Z5" s="242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</row>
    <row r="6" spans="1:75" ht="24" customHeight="1">
      <c r="A6" s="921"/>
      <c r="B6" s="921"/>
      <c r="C6" s="921"/>
      <c r="D6" s="921"/>
      <c r="E6" s="921"/>
      <c r="F6" s="934" t="s">
        <v>21</v>
      </c>
      <c r="G6" s="934"/>
      <c r="H6" s="934"/>
      <c r="I6" s="908" t="s">
        <v>156</v>
      </c>
      <c r="J6" s="909"/>
      <c r="K6" s="909"/>
      <c r="L6" s="909"/>
      <c r="M6" s="909"/>
      <c r="N6" s="909"/>
      <c r="O6" s="909"/>
      <c r="P6" s="909"/>
      <c r="Q6" s="909"/>
      <c r="R6" s="910"/>
      <c r="S6" s="922" t="s">
        <v>60</v>
      </c>
      <c r="T6" s="923"/>
      <c r="U6" s="923"/>
      <c r="V6" s="924"/>
      <c r="W6" s="928" t="s">
        <v>38</v>
      </c>
      <c r="X6" s="929"/>
      <c r="Y6" s="929"/>
      <c r="Z6" s="929"/>
      <c r="AA6" s="915" t="s">
        <v>184</v>
      </c>
      <c r="AB6" s="915"/>
      <c r="AC6" s="915" t="s">
        <v>185</v>
      </c>
      <c r="AD6" s="915"/>
      <c r="AE6" s="915" t="s">
        <v>186</v>
      </c>
      <c r="AF6" s="915"/>
      <c r="AG6" s="915" t="s">
        <v>187</v>
      </c>
      <c r="AH6" s="915"/>
      <c r="AI6" s="915" t="s">
        <v>188</v>
      </c>
      <c r="AJ6" s="915"/>
      <c r="AK6" s="915" t="s">
        <v>189</v>
      </c>
      <c r="AL6" s="915"/>
      <c r="AM6" s="915" t="s">
        <v>190</v>
      </c>
      <c r="AN6" s="915"/>
      <c r="AO6" s="915" t="s">
        <v>191</v>
      </c>
      <c r="AP6" s="915"/>
      <c r="AQ6" s="915" t="s">
        <v>192</v>
      </c>
      <c r="AR6" s="915"/>
      <c r="AS6" s="915" t="s">
        <v>193</v>
      </c>
      <c r="AT6" s="915"/>
      <c r="AU6" s="915" t="s">
        <v>194</v>
      </c>
      <c r="AV6" s="915"/>
      <c r="AW6" s="915" t="s">
        <v>195</v>
      </c>
      <c r="AX6" s="915"/>
      <c r="AY6" s="915" t="s">
        <v>196</v>
      </c>
      <c r="AZ6" s="915"/>
      <c r="BA6" s="915" t="s">
        <v>197</v>
      </c>
      <c r="BB6" s="915"/>
      <c r="BC6" s="915" t="s">
        <v>198</v>
      </c>
      <c r="BD6" s="915"/>
      <c r="BE6" s="915" t="s">
        <v>199</v>
      </c>
      <c r="BF6" s="915"/>
      <c r="BG6" s="918" t="s">
        <v>200</v>
      </c>
      <c r="BH6" s="918"/>
      <c r="BI6" s="915" t="s">
        <v>201</v>
      </c>
      <c r="BJ6" s="915"/>
      <c r="BK6" s="915" t="s">
        <v>17</v>
      </c>
      <c r="BL6" s="915"/>
      <c r="BM6" s="886" t="s">
        <v>236</v>
      </c>
    </row>
    <row r="7" spans="1:75" ht="15" customHeight="1">
      <c r="A7" s="245" t="s">
        <v>13</v>
      </c>
      <c r="B7" s="245" t="s">
        <v>1</v>
      </c>
      <c r="C7" s="919" t="s">
        <v>825</v>
      </c>
      <c r="D7" s="921" t="s">
        <v>12</v>
      </c>
      <c r="E7" s="246" t="s">
        <v>14</v>
      </c>
      <c r="F7" s="246"/>
      <c r="G7" s="246"/>
      <c r="H7" s="915" t="s">
        <v>183</v>
      </c>
      <c r="I7" s="23" t="s">
        <v>204</v>
      </c>
      <c r="J7" s="23" t="s">
        <v>205</v>
      </c>
      <c r="K7" s="23" t="s">
        <v>206</v>
      </c>
      <c r="L7" s="23" t="s">
        <v>207</v>
      </c>
      <c r="M7" s="23" t="s">
        <v>208</v>
      </c>
      <c r="N7" s="23" t="s">
        <v>209</v>
      </c>
      <c r="O7" s="23" t="s">
        <v>210</v>
      </c>
      <c r="P7" s="23" t="s">
        <v>211</v>
      </c>
      <c r="Q7" s="23" t="s">
        <v>212</v>
      </c>
      <c r="R7" s="23" t="s">
        <v>213</v>
      </c>
      <c r="S7" s="925"/>
      <c r="T7" s="926"/>
      <c r="U7" s="926"/>
      <c r="V7" s="927"/>
      <c r="W7" s="930"/>
      <c r="X7" s="931"/>
      <c r="Y7" s="931"/>
      <c r="Z7" s="931"/>
      <c r="AA7" s="915"/>
      <c r="AB7" s="915"/>
      <c r="AC7" s="915" t="s">
        <v>43</v>
      </c>
      <c r="AD7" s="915"/>
      <c r="AE7" s="915" t="s">
        <v>44</v>
      </c>
      <c r="AF7" s="915"/>
      <c r="AG7" s="915" t="s">
        <v>45</v>
      </c>
      <c r="AH7" s="915"/>
      <c r="AI7" s="915" t="s">
        <v>46</v>
      </c>
      <c r="AJ7" s="915"/>
      <c r="AK7" s="915" t="s">
        <v>47</v>
      </c>
      <c r="AL7" s="915"/>
      <c r="AM7" s="915" t="s">
        <v>48</v>
      </c>
      <c r="AN7" s="915"/>
      <c r="AO7" s="915" t="s">
        <v>49</v>
      </c>
      <c r="AP7" s="915"/>
      <c r="AQ7" s="915" t="s">
        <v>50</v>
      </c>
      <c r="AR7" s="915"/>
      <c r="AS7" s="915" t="s">
        <v>51</v>
      </c>
      <c r="AT7" s="915"/>
      <c r="AU7" s="915" t="s">
        <v>52</v>
      </c>
      <c r="AV7" s="915"/>
      <c r="AW7" s="915" t="s">
        <v>53</v>
      </c>
      <c r="AX7" s="915"/>
      <c r="AY7" s="915" t="s">
        <v>54</v>
      </c>
      <c r="AZ7" s="915"/>
      <c r="BA7" s="915" t="s">
        <v>55</v>
      </c>
      <c r="BB7" s="915"/>
      <c r="BC7" s="915" t="s">
        <v>40</v>
      </c>
      <c r="BD7" s="915"/>
      <c r="BE7" s="915" t="s">
        <v>37</v>
      </c>
      <c r="BF7" s="915"/>
      <c r="BG7" s="918"/>
      <c r="BH7" s="918"/>
      <c r="BI7" s="915"/>
      <c r="BJ7" s="915"/>
      <c r="BK7" s="915"/>
      <c r="BL7" s="915"/>
      <c r="BM7" s="886"/>
      <c r="BO7" s="892" t="s">
        <v>234</v>
      </c>
      <c r="BP7" s="892"/>
      <c r="BQ7" s="892"/>
      <c r="BR7" s="892"/>
      <c r="BS7" s="892"/>
      <c r="BT7" s="892" t="s">
        <v>235</v>
      </c>
      <c r="BU7" s="892"/>
      <c r="BV7" s="892"/>
      <c r="BW7" s="886" t="s">
        <v>17</v>
      </c>
    </row>
    <row r="8" spans="1:75" ht="42" customHeight="1">
      <c r="A8" s="245"/>
      <c r="B8" s="245" t="s">
        <v>2</v>
      </c>
      <c r="C8" s="920"/>
      <c r="D8" s="921"/>
      <c r="E8" s="246"/>
      <c r="F8" s="232" t="s">
        <v>35</v>
      </c>
      <c r="G8" s="232" t="s">
        <v>23</v>
      </c>
      <c r="H8" s="915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247" t="s">
        <v>7</v>
      </c>
      <c r="T8" s="247" t="s">
        <v>8</v>
      </c>
      <c r="U8" s="247" t="s">
        <v>9</v>
      </c>
      <c r="V8" s="247" t="s">
        <v>10</v>
      </c>
      <c r="W8" s="248" t="s">
        <v>7</v>
      </c>
      <c r="X8" s="248" t="s">
        <v>8</v>
      </c>
      <c r="Y8" s="248" t="s">
        <v>9</v>
      </c>
      <c r="Z8" s="249" t="s">
        <v>10</v>
      </c>
      <c r="AA8" s="246" t="s">
        <v>14</v>
      </c>
      <c r="AB8" s="248" t="s">
        <v>15</v>
      </c>
      <c r="AC8" s="246" t="s">
        <v>14</v>
      </c>
      <c r="AD8" s="248" t="s">
        <v>15</v>
      </c>
      <c r="AE8" s="246" t="s">
        <v>14</v>
      </c>
      <c r="AF8" s="248" t="s">
        <v>15</v>
      </c>
      <c r="AG8" s="246" t="s">
        <v>14</v>
      </c>
      <c r="AH8" s="248" t="s">
        <v>15</v>
      </c>
      <c r="AI8" s="246" t="s">
        <v>14</v>
      </c>
      <c r="AJ8" s="248" t="s">
        <v>15</v>
      </c>
      <c r="AK8" s="246" t="s">
        <v>14</v>
      </c>
      <c r="AL8" s="248" t="s">
        <v>15</v>
      </c>
      <c r="AM8" s="246" t="s">
        <v>14</v>
      </c>
      <c r="AN8" s="248" t="s">
        <v>15</v>
      </c>
      <c r="AO8" s="246" t="s">
        <v>14</v>
      </c>
      <c r="AP8" s="248" t="s">
        <v>15</v>
      </c>
      <c r="AQ8" s="246" t="s">
        <v>14</v>
      </c>
      <c r="AR8" s="248" t="s">
        <v>15</v>
      </c>
      <c r="AS8" s="246" t="s">
        <v>14</v>
      </c>
      <c r="AT8" s="248" t="s">
        <v>15</v>
      </c>
      <c r="AU8" s="246" t="s">
        <v>14</v>
      </c>
      <c r="AV8" s="248" t="s">
        <v>15</v>
      </c>
      <c r="AW8" s="246" t="s">
        <v>14</v>
      </c>
      <c r="AX8" s="248" t="s">
        <v>15</v>
      </c>
      <c r="AY8" s="246" t="s">
        <v>14</v>
      </c>
      <c r="AZ8" s="248" t="s">
        <v>15</v>
      </c>
      <c r="BA8" s="246" t="s">
        <v>14</v>
      </c>
      <c r="BB8" s="248" t="s">
        <v>15</v>
      </c>
      <c r="BC8" s="246" t="s">
        <v>14</v>
      </c>
      <c r="BD8" s="248" t="s">
        <v>15</v>
      </c>
      <c r="BE8" s="246" t="s">
        <v>14</v>
      </c>
      <c r="BF8" s="248" t="s">
        <v>15</v>
      </c>
      <c r="BG8" s="246" t="s">
        <v>14</v>
      </c>
      <c r="BH8" s="248" t="s">
        <v>15</v>
      </c>
      <c r="BI8" s="246" t="s">
        <v>14</v>
      </c>
      <c r="BJ8" s="248" t="s">
        <v>15</v>
      </c>
      <c r="BK8" s="246" t="s">
        <v>14</v>
      </c>
      <c r="BL8" s="248" t="s">
        <v>15</v>
      </c>
      <c r="BM8" s="886"/>
      <c r="BO8" s="250" t="s">
        <v>225</v>
      </c>
      <c r="BP8" s="251" t="s">
        <v>226</v>
      </c>
      <c r="BQ8" s="251" t="s">
        <v>227</v>
      </c>
      <c r="BR8" s="157" t="s">
        <v>228</v>
      </c>
      <c r="BS8" s="251" t="s">
        <v>229</v>
      </c>
      <c r="BT8" s="251" t="s">
        <v>230</v>
      </c>
      <c r="BU8" s="251" t="s">
        <v>231</v>
      </c>
      <c r="BV8" s="251" t="s">
        <v>232</v>
      </c>
      <c r="BW8" s="886"/>
    </row>
    <row r="9" spans="1:75">
      <c r="A9" s="252"/>
      <c r="B9" s="196"/>
      <c r="C9" s="191"/>
      <c r="D9" s="158" t="s">
        <v>327</v>
      </c>
      <c r="E9" s="253"/>
      <c r="F9" s="159"/>
      <c r="G9" s="136"/>
      <c r="H9" s="136" t="s">
        <v>36</v>
      </c>
      <c r="I9" s="159"/>
      <c r="J9" s="232"/>
      <c r="K9" s="232"/>
      <c r="L9" s="232"/>
      <c r="M9" s="232"/>
      <c r="N9" s="232"/>
      <c r="O9" s="232"/>
      <c r="P9" s="246"/>
      <c r="Q9" s="246"/>
      <c r="R9" s="246"/>
      <c r="S9" s="247"/>
      <c r="T9" s="247"/>
      <c r="U9" s="247"/>
      <c r="V9" s="247"/>
      <c r="W9" s="248"/>
      <c r="X9" s="248"/>
      <c r="Y9" s="248"/>
      <c r="Z9" s="248"/>
      <c r="AA9" s="246"/>
      <c r="AB9" s="248"/>
      <c r="AC9" s="246"/>
      <c r="AD9" s="248"/>
      <c r="AE9" s="246"/>
      <c r="AF9" s="248"/>
      <c r="AG9" s="246"/>
      <c r="AH9" s="248"/>
      <c r="AI9" s="246"/>
      <c r="AJ9" s="248"/>
      <c r="AK9" s="246"/>
      <c r="AL9" s="248"/>
      <c r="AM9" s="246"/>
      <c r="AN9" s="248"/>
      <c r="AO9" s="246"/>
      <c r="AP9" s="248"/>
      <c r="AQ9" s="246"/>
      <c r="AR9" s="248"/>
      <c r="AS9" s="246"/>
      <c r="AT9" s="248"/>
      <c r="AU9" s="246"/>
      <c r="AV9" s="248"/>
      <c r="AW9" s="246"/>
      <c r="AX9" s="248"/>
      <c r="AY9" s="246"/>
      <c r="AZ9" s="248"/>
      <c r="BA9" s="246"/>
      <c r="BB9" s="248"/>
      <c r="BC9" s="246"/>
      <c r="BD9" s="248"/>
      <c r="BE9" s="246"/>
      <c r="BF9" s="248"/>
      <c r="BG9" s="246"/>
      <c r="BH9" s="248"/>
      <c r="BI9" s="246"/>
      <c r="BJ9" s="248"/>
      <c r="BK9" s="246"/>
      <c r="BL9" s="248"/>
      <c r="BM9" s="159"/>
      <c r="BO9" s="254"/>
      <c r="BP9" s="254"/>
      <c r="BQ9" s="254"/>
      <c r="BR9" s="254"/>
      <c r="BS9" s="254"/>
      <c r="BT9" s="254"/>
      <c r="BU9" s="254"/>
      <c r="BV9" s="254"/>
      <c r="BW9" s="255">
        <f t="shared" ref="BW9:BW15" si="1">BS9+BV9</f>
        <v>0</v>
      </c>
    </row>
    <row r="10" spans="1:75">
      <c r="A10" s="256"/>
      <c r="B10" s="196"/>
      <c r="C10" s="191"/>
      <c r="D10" s="158" t="s">
        <v>442</v>
      </c>
      <c r="E10" s="135"/>
      <c r="F10" s="159"/>
      <c r="G10" s="136"/>
      <c r="H10" s="136" t="s">
        <v>36</v>
      </c>
      <c r="I10" s="257"/>
      <c r="J10" s="258"/>
      <c r="K10" s="258"/>
      <c r="L10" s="258"/>
      <c r="M10" s="258"/>
      <c r="N10" s="258"/>
      <c r="O10" s="258"/>
      <c r="P10" s="253"/>
      <c r="Q10" s="253"/>
      <c r="R10" s="253"/>
      <c r="S10" s="259"/>
      <c r="T10" s="259"/>
      <c r="U10" s="259"/>
      <c r="V10" s="259"/>
      <c r="W10" s="260"/>
      <c r="X10" s="260"/>
      <c r="Y10" s="260"/>
      <c r="Z10" s="260"/>
      <c r="AA10" s="253"/>
      <c r="AB10" s="260"/>
      <c r="AC10" s="253"/>
      <c r="AD10" s="260"/>
      <c r="AE10" s="253"/>
      <c r="AF10" s="260"/>
      <c r="AG10" s="253"/>
      <c r="AH10" s="260"/>
      <c r="AI10" s="253"/>
      <c r="AJ10" s="260"/>
      <c r="AK10" s="253"/>
      <c r="AL10" s="260"/>
      <c r="AM10" s="253"/>
      <c r="AN10" s="260"/>
      <c r="AO10" s="253"/>
      <c r="AP10" s="260"/>
      <c r="AQ10" s="253"/>
      <c r="AR10" s="260"/>
      <c r="AS10" s="253"/>
      <c r="AT10" s="260"/>
      <c r="AU10" s="253"/>
      <c r="AV10" s="260"/>
      <c r="AW10" s="253"/>
      <c r="AX10" s="260"/>
      <c r="AY10" s="253"/>
      <c r="AZ10" s="260"/>
      <c r="BA10" s="253"/>
      <c r="BB10" s="260"/>
      <c r="BC10" s="253"/>
      <c r="BD10" s="260"/>
      <c r="BE10" s="253"/>
      <c r="BF10" s="260"/>
      <c r="BG10" s="253"/>
      <c r="BH10" s="260"/>
      <c r="BI10" s="253"/>
      <c r="BJ10" s="260"/>
      <c r="BK10" s="202"/>
      <c r="BL10" s="202"/>
      <c r="BM10" s="159"/>
      <c r="BO10" s="254"/>
      <c r="BP10" s="254"/>
      <c r="BQ10" s="254"/>
      <c r="BR10" s="254"/>
      <c r="BS10" s="254">
        <f>BO10+BP10+BQ10+BR10</f>
        <v>0</v>
      </c>
      <c r="BT10" s="254"/>
      <c r="BU10" s="254"/>
      <c r="BV10" s="254">
        <f>BT10+BU10</f>
        <v>0</v>
      </c>
      <c r="BW10" s="255">
        <f t="shared" si="1"/>
        <v>0</v>
      </c>
    </row>
    <row r="11" spans="1:75">
      <c r="A11" s="256"/>
      <c r="B11" s="196"/>
      <c r="C11" s="191"/>
      <c r="D11" s="158" t="s">
        <v>443</v>
      </c>
      <c r="E11" s="135"/>
      <c r="F11" s="159"/>
      <c r="G11" s="136"/>
      <c r="H11" s="136" t="s">
        <v>36</v>
      </c>
      <c r="I11" s="257"/>
      <c r="J11" s="261"/>
      <c r="K11" s="261"/>
      <c r="L11" s="261"/>
      <c r="M11" s="261"/>
      <c r="N11" s="261"/>
      <c r="O11" s="261"/>
      <c r="P11" s="261"/>
      <c r="Q11" s="261"/>
      <c r="R11" s="261"/>
      <c r="S11" s="259"/>
      <c r="T11" s="259"/>
      <c r="U11" s="259"/>
      <c r="V11" s="259"/>
      <c r="W11" s="260"/>
      <c r="X11" s="260"/>
      <c r="Y11" s="260"/>
      <c r="Z11" s="260"/>
      <c r="AA11" s="253"/>
      <c r="AB11" s="260"/>
      <c r="AC11" s="253"/>
      <c r="AD11" s="260"/>
      <c r="AE11" s="253"/>
      <c r="AF11" s="260"/>
      <c r="AG11" s="253"/>
      <c r="AH11" s="260"/>
      <c r="AI11" s="253"/>
      <c r="AJ11" s="260"/>
      <c r="AK11" s="253"/>
      <c r="AL11" s="260"/>
      <c r="AM11" s="253"/>
      <c r="AN11" s="260"/>
      <c r="AO11" s="253"/>
      <c r="AP11" s="260"/>
      <c r="AQ11" s="253"/>
      <c r="AR11" s="260"/>
      <c r="AS11" s="253"/>
      <c r="AT11" s="260"/>
      <c r="AU11" s="253"/>
      <c r="AV11" s="260"/>
      <c r="AW11" s="253"/>
      <c r="AX11" s="260"/>
      <c r="AY11" s="253"/>
      <c r="AZ11" s="260"/>
      <c r="BA11" s="253"/>
      <c r="BB11" s="260"/>
      <c r="BC11" s="253"/>
      <c r="BD11" s="260"/>
      <c r="BE11" s="253"/>
      <c r="BF11" s="260"/>
      <c r="BG11" s="253"/>
      <c r="BH11" s="260"/>
      <c r="BI11" s="253"/>
      <c r="BJ11" s="260"/>
      <c r="BK11" s="202"/>
      <c r="BL11" s="202"/>
      <c r="BM11" s="159"/>
      <c r="BO11" s="254"/>
      <c r="BP11" s="254" t="str">
        <f>H11</f>
        <v xml:space="preserve"> </v>
      </c>
      <c r="BQ11" s="254"/>
      <c r="BR11" s="254"/>
      <c r="BS11" s="254"/>
      <c r="BT11" s="254"/>
      <c r="BU11" s="254"/>
      <c r="BV11" s="254">
        <f>BT11+BU11</f>
        <v>0</v>
      </c>
      <c r="BW11" s="255">
        <f t="shared" si="1"/>
        <v>0</v>
      </c>
    </row>
    <row r="12" spans="1:75">
      <c r="A12" s="256"/>
      <c r="B12" s="196"/>
      <c r="C12" s="191"/>
      <c r="D12" s="166" t="s">
        <v>635</v>
      </c>
      <c r="E12" s="135" t="s">
        <v>69</v>
      </c>
      <c r="F12" s="135" t="s">
        <v>354</v>
      </c>
      <c r="G12" s="262">
        <f>BK12</f>
        <v>0</v>
      </c>
      <c r="H12" s="136">
        <f>G12*F12</f>
        <v>0</v>
      </c>
      <c r="I12" s="257"/>
      <c r="J12" s="261"/>
      <c r="K12" s="229"/>
      <c r="L12" s="229"/>
      <c r="M12" s="261"/>
      <c r="N12" s="229">
        <f>H12</f>
        <v>0</v>
      </c>
      <c r="O12" s="229"/>
      <c r="P12" s="261"/>
      <c r="Q12" s="261"/>
      <c r="R12" s="261"/>
      <c r="S12" s="259">
        <f>G12*0.25</f>
        <v>0</v>
      </c>
      <c r="T12" s="259">
        <f>G12*0.25</f>
        <v>0</v>
      </c>
      <c r="U12" s="259">
        <f>G12*0.25</f>
        <v>0</v>
      </c>
      <c r="V12" s="259">
        <f>G12*0.25</f>
        <v>0</v>
      </c>
      <c r="W12" s="260">
        <f>S12*F12</f>
        <v>0</v>
      </c>
      <c r="X12" s="260">
        <f>T12*F12</f>
        <v>0</v>
      </c>
      <c r="Y12" s="260">
        <f>U12*F12</f>
        <v>0</v>
      </c>
      <c r="Z12" s="260">
        <f>V12*F12</f>
        <v>0</v>
      </c>
      <c r="AA12" s="253">
        <v>0</v>
      </c>
      <c r="AB12" s="260">
        <f>AA12*F12</f>
        <v>0</v>
      </c>
      <c r="AC12" s="253">
        <v>0</v>
      </c>
      <c r="AD12" s="260">
        <f>AC12*F12</f>
        <v>0</v>
      </c>
      <c r="AE12" s="253">
        <v>0</v>
      </c>
      <c r="AF12" s="260">
        <f>AE12*F12</f>
        <v>0</v>
      </c>
      <c r="AG12" s="253">
        <v>0</v>
      </c>
      <c r="AH12" s="260">
        <f>AG12*F12</f>
        <v>0</v>
      </c>
      <c r="AI12" s="253">
        <v>0</v>
      </c>
      <c r="AJ12" s="260">
        <f>AI12*F12</f>
        <v>0</v>
      </c>
      <c r="AK12" s="253">
        <v>0</v>
      </c>
      <c r="AL12" s="260">
        <f>AK12*F12</f>
        <v>0</v>
      </c>
      <c r="AM12" s="253">
        <v>0</v>
      </c>
      <c r="AN12" s="260">
        <f>AM12*F12</f>
        <v>0</v>
      </c>
      <c r="AO12" s="253">
        <v>0</v>
      </c>
      <c r="AP12" s="260">
        <f>AO12*F12</f>
        <v>0</v>
      </c>
      <c r="AQ12" s="253">
        <v>0</v>
      </c>
      <c r="AR12" s="260">
        <f>AQ12*F12</f>
        <v>0</v>
      </c>
      <c r="AS12" s="253">
        <v>0</v>
      </c>
      <c r="AT12" s="260">
        <f>AS12*F12</f>
        <v>0</v>
      </c>
      <c r="AU12" s="253">
        <v>0</v>
      </c>
      <c r="AV12" s="260">
        <f>AU12*F12</f>
        <v>0</v>
      </c>
      <c r="AW12" s="253">
        <v>0</v>
      </c>
      <c r="AX12" s="260">
        <f>AW12*F12</f>
        <v>0</v>
      </c>
      <c r="AY12" s="253">
        <v>0</v>
      </c>
      <c r="AZ12" s="260">
        <f>AY12*F12</f>
        <v>0</v>
      </c>
      <c r="BA12" s="253">
        <v>0</v>
      </c>
      <c r="BB12" s="260">
        <f>BA12*F12</f>
        <v>0</v>
      </c>
      <c r="BC12" s="253">
        <v>0</v>
      </c>
      <c r="BD12" s="260">
        <f>BC12*F12</f>
        <v>0</v>
      </c>
      <c r="BE12" s="253">
        <v>0</v>
      </c>
      <c r="BF12" s="260">
        <f>BE12*F12</f>
        <v>0</v>
      </c>
      <c r="BG12" s="253">
        <v>0</v>
      </c>
      <c r="BH12" s="260">
        <f>BG12*F12</f>
        <v>0</v>
      </c>
      <c r="BI12" s="253"/>
      <c r="BJ12" s="260">
        <f>BI12*F12</f>
        <v>0</v>
      </c>
      <c r="BK12" s="202">
        <f>AA12+AC12+AE12+AG12+AI12+AK12+AM12+AO12+AQ12+AS12+AU12+AW12+AY12+BA12+BC12+BE12+BG12+BI12</f>
        <v>0</v>
      </c>
      <c r="BL12" s="202">
        <f>AB12+AD12+AF12+AH12+AJ12+AL12+AN12+AP12+AR12+AT12+AV12+AX12+AZ12+BB12+BD12+BF12+BH12+BJ12</f>
        <v>0</v>
      </c>
      <c r="BM12" s="159" t="s">
        <v>587</v>
      </c>
      <c r="BO12" s="254"/>
      <c r="BP12" s="254"/>
      <c r="BQ12" s="254">
        <f>H12</f>
        <v>0</v>
      </c>
      <c r="BR12" s="254"/>
      <c r="BS12" s="254">
        <f>BO12+BP12+BQ12+BR12</f>
        <v>0</v>
      </c>
      <c r="BT12" s="254"/>
      <c r="BU12" s="254"/>
      <c r="BV12" s="254"/>
      <c r="BW12" s="255">
        <f t="shared" si="1"/>
        <v>0</v>
      </c>
    </row>
    <row r="13" spans="1:75" s="265" customFormat="1">
      <c r="A13" s="263"/>
      <c r="B13" s="245"/>
      <c r="C13" s="214"/>
      <c r="D13" s="158" t="s">
        <v>444</v>
      </c>
      <c r="E13" s="177" t="s">
        <v>115</v>
      </c>
      <c r="F13" s="177" t="s">
        <v>115</v>
      </c>
      <c r="G13" s="264">
        <f t="shared" ref="G13:BL13" si="2">SUM(G12:G12)</f>
        <v>0</v>
      </c>
      <c r="H13" s="264">
        <f t="shared" si="2"/>
        <v>0</v>
      </c>
      <c r="I13" s="264">
        <f t="shared" si="2"/>
        <v>0</v>
      </c>
      <c r="J13" s="264">
        <f t="shared" si="2"/>
        <v>0</v>
      </c>
      <c r="K13" s="264">
        <f t="shared" si="2"/>
        <v>0</v>
      </c>
      <c r="L13" s="264">
        <f t="shared" si="2"/>
        <v>0</v>
      </c>
      <c r="M13" s="264">
        <f t="shared" si="2"/>
        <v>0</v>
      </c>
      <c r="N13" s="264">
        <f t="shared" si="2"/>
        <v>0</v>
      </c>
      <c r="O13" s="264">
        <f t="shared" si="2"/>
        <v>0</v>
      </c>
      <c r="P13" s="264">
        <f t="shared" si="2"/>
        <v>0</v>
      </c>
      <c r="Q13" s="264">
        <f t="shared" si="2"/>
        <v>0</v>
      </c>
      <c r="R13" s="264">
        <f t="shared" si="2"/>
        <v>0</v>
      </c>
      <c r="S13" s="264">
        <f t="shared" si="2"/>
        <v>0</v>
      </c>
      <c r="T13" s="264">
        <f t="shared" si="2"/>
        <v>0</v>
      </c>
      <c r="U13" s="264">
        <f t="shared" si="2"/>
        <v>0</v>
      </c>
      <c r="V13" s="264">
        <f t="shared" si="2"/>
        <v>0</v>
      </c>
      <c r="W13" s="264">
        <f t="shared" si="2"/>
        <v>0</v>
      </c>
      <c r="X13" s="264">
        <f t="shared" si="2"/>
        <v>0</v>
      </c>
      <c r="Y13" s="264">
        <f t="shared" si="2"/>
        <v>0</v>
      </c>
      <c r="Z13" s="264">
        <f t="shared" si="2"/>
        <v>0</v>
      </c>
      <c r="AA13" s="264">
        <f t="shared" si="2"/>
        <v>0</v>
      </c>
      <c r="AB13" s="264">
        <f t="shared" si="2"/>
        <v>0</v>
      </c>
      <c r="AC13" s="264">
        <f t="shared" si="2"/>
        <v>0</v>
      </c>
      <c r="AD13" s="264">
        <f t="shared" si="2"/>
        <v>0</v>
      </c>
      <c r="AE13" s="264">
        <f t="shared" si="2"/>
        <v>0</v>
      </c>
      <c r="AF13" s="264">
        <f t="shared" si="2"/>
        <v>0</v>
      </c>
      <c r="AG13" s="264">
        <f t="shared" si="2"/>
        <v>0</v>
      </c>
      <c r="AH13" s="264">
        <f t="shared" si="2"/>
        <v>0</v>
      </c>
      <c r="AI13" s="264">
        <f t="shared" si="2"/>
        <v>0</v>
      </c>
      <c r="AJ13" s="264">
        <f t="shared" si="2"/>
        <v>0</v>
      </c>
      <c r="AK13" s="264">
        <f t="shared" si="2"/>
        <v>0</v>
      </c>
      <c r="AL13" s="264">
        <f t="shared" si="2"/>
        <v>0</v>
      </c>
      <c r="AM13" s="264">
        <f t="shared" si="2"/>
        <v>0</v>
      </c>
      <c r="AN13" s="264">
        <f t="shared" si="2"/>
        <v>0</v>
      </c>
      <c r="AO13" s="264">
        <f t="shared" si="2"/>
        <v>0</v>
      </c>
      <c r="AP13" s="264">
        <f t="shared" si="2"/>
        <v>0</v>
      </c>
      <c r="AQ13" s="264">
        <f t="shared" si="2"/>
        <v>0</v>
      </c>
      <c r="AR13" s="264">
        <f t="shared" si="2"/>
        <v>0</v>
      </c>
      <c r="AS13" s="264">
        <f t="shared" si="2"/>
        <v>0</v>
      </c>
      <c r="AT13" s="264">
        <f t="shared" si="2"/>
        <v>0</v>
      </c>
      <c r="AU13" s="264">
        <f t="shared" si="2"/>
        <v>0</v>
      </c>
      <c r="AV13" s="264">
        <f t="shared" si="2"/>
        <v>0</v>
      </c>
      <c r="AW13" s="264">
        <f t="shared" si="2"/>
        <v>0</v>
      </c>
      <c r="AX13" s="264">
        <f t="shared" si="2"/>
        <v>0</v>
      </c>
      <c r="AY13" s="264">
        <f t="shared" si="2"/>
        <v>0</v>
      </c>
      <c r="AZ13" s="264">
        <f t="shared" si="2"/>
        <v>0</v>
      </c>
      <c r="BA13" s="264">
        <f t="shared" si="2"/>
        <v>0</v>
      </c>
      <c r="BB13" s="264">
        <f t="shared" si="2"/>
        <v>0</v>
      </c>
      <c r="BC13" s="264">
        <f t="shared" si="2"/>
        <v>0</v>
      </c>
      <c r="BD13" s="264">
        <f t="shared" si="2"/>
        <v>0</v>
      </c>
      <c r="BE13" s="264">
        <f t="shared" si="2"/>
        <v>0</v>
      </c>
      <c r="BF13" s="264">
        <f t="shared" si="2"/>
        <v>0</v>
      </c>
      <c r="BG13" s="264">
        <f t="shared" si="2"/>
        <v>0</v>
      </c>
      <c r="BH13" s="264">
        <f t="shared" si="2"/>
        <v>0</v>
      </c>
      <c r="BI13" s="264">
        <f t="shared" si="2"/>
        <v>0</v>
      </c>
      <c r="BJ13" s="264">
        <f t="shared" si="2"/>
        <v>0</v>
      </c>
      <c r="BK13" s="264">
        <f t="shared" si="2"/>
        <v>0</v>
      </c>
      <c r="BL13" s="264">
        <f t="shared" si="2"/>
        <v>0</v>
      </c>
      <c r="BM13" s="168" t="s">
        <v>115</v>
      </c>
      <c r="BO13" s="266">
        <f>SUM(BO10:BO12)</f>
        <v>0</v>
      </c>
      <c r="BP13" s="266">
        <f>SUM(BP11:BP11)</f>
        <v>0</v>
      </c>
      <c r="BQ13" s="266">
        <f>SUM(BQ11:BQ12)</f>
        <v>0</v>
      </c>
      <c r="BR13" s="266">
        <f>SUM(BR11:BR11)</f>
        <v>0</v>
      </c>
      <c r="BS13" s="266">
        <f>SUM(BS10:BS12)</f>
        <v>0</v>
      </c>
      <c r="BT13" s="266">
        <f>SUM(BT11:BT11)</f>
        <v>0</v>
      </c>
      <c r="BU13" s="266">
        <f>SUM(BU11:BU11)</f>
        <v>0</v>
      </c>
      <c r="BV13" s="266">
        <f>SUM(BV11:BV11)</f>
        <v>0</v>
      </c>
      <c r="BW13" s="267">
        <f t="shared" si="1"/>
        <v>0</v>
      </c>
    </row>
    <row r="14" spans="1:75" ht="15" customHeight="1">
      <c r="A14" s="256"/>
      <c r="B14" s="196"/>
      <c r="C14" s="191"/>
      <c r="D14" s="158" t="s">
        <v>445</v>
      </c>
      <c r="E14" s="135"/>
      <c r="F14" s="159"/>
      <c r="G14" s="136"/>
      <c r="H14" s="136" t="s">
        <v>36</v>
      </c>
      <c r="I14" s="257"/>
      <c r="J14" s="268"/>
      <c r="K14" s="268"/>
      <c r="L14" s="268"/>
      <c r="M14" s="268"/>
      <c r="N14" s="268"/>
      <c r="O14" s="268"/>
      <c r="P14" s="268"/>
      <c r="Q14" s="268"/>
      <c r="R14" s="268"/>
      <c r="S14" s="269"/>
      <c r="T14" s="269"/>
      <c r="U14" s="269"/>
      <c r="V14" s="269"/>
      <c r="W14" s="270"/>
      <c r="X14" s="270"/>
      <c r="Y14" s="270"/>
      <c r="Z14" s="270"/>
      <c r="AA14" s="253"/>
      <c r="AB14" s="260">
        <f>AA14*F14</f>
        <v>0</v>
      </c>
      <c r="AC14" s="253"/>
      <c r="AD14" s="260">
        <f>AC14*F14</f>
        <v>0</v>
      </c>
      <c r="AE14" s="253"/>
      <c r="AF14" s="260">
        <f>AE14*F14</f>
        <v>0</v>
      </c>
      <c r="AG14" s="253"/>
      <c r="AH14" s="260">
        <f>AG14*F14</f>
        <v>0</v>
      </c>
      <c r="AI14" s="253"/>
      <c r="AJ14" s="260">
        <f>AI14*F14</f>
        <v>0</v>
      </c>
      <c r="AK14" s="253"/>
      <c r="AL14" s="260">
        <f>AK14*F14</f>
        <v>0</v>
      </c>
      <c r="AM14" s="253"/>
      <c r="AN14" s="260">
        <f>AM14*F14</f>
        <v>0</v>
      </c>
      <c r="AO14" s="253"/>
      <c r="AP14" s="260">
        <f>AO14*F14</f>
        <v>0</v>
      </c>
      <c r="AQ14" s="253"/>
      <c r="AR14" s="260">
        <f>AQ14*F14</f>
        <v>0</v>
      </c>
      <c r="AS14" s="253"/>
      <c r="AT14" s="260">
        <f>AS14*F14</f>
        <v>0</v>
      </c>
      <c r="AU14" s="253"/>
      <c r="AV14" s="260">
        <f>AU14*F14</f>
        <v>0</v>
      </c>
      <c r="AW14" s="253"/>
      <c r="AX14" s="260">
        <f>AW14*F14</f>
        <v>0</v>
      </c>
      <c r="AY14" s="253"/>
      <c r="AZ14" s="260">
        <f>AY14*F14</f>
        <v>0</v>
      </c>
      <c r="BA14" s="253"/>
      <c r="BB14" s="260">
        <f>BA14*F14</f>
        <v>0</v>
      </c>
      <c r="BC14" s="253"/>
      <c r="BD14" s="260">
        <f>BC14*F14</f>
        <v>0</v>
      </c>
      <c r="BE14" s="253"/>
      <c r="BF14" s="260">
        <f>BE14*F14</f>
        <v>0</v>
      </c>
      <c r="BG14" s="253"/>
      <c r="BH14" s="260">
        <f>BG14*F14</f>
        <v>0</v>
      </c>
      <c r="BI14" s="253"/>
      <c r="BJ14" s="260">
        <f>BI14*F14</f>
        <v>0</v>
      </c>
      <c r="BK14" s="202">
        <f>AA14+AC14+AE14+AG14+AI14+AK14+AM14+AO14+AQ14+AS14+AU14+AW14+AY14+BA14+BC14+BE14+BG14+BI14</f>
        <v>0</v>
      </c>
      <c r="BL14" s="202">
        <f>AB14+AD14+AF14+AH14+AJ14+AL14+AN14+AP14+AR14+AT14+AV14+AX14+AZ14+BB14+BD14+BF14+BH14+BJ14</f>
        <v>0</v>
      </c>
      <c r="BM14" s="159"/>
      <c r="BO14" s="254"/>
      <c r="BP14" s="254"/>
      <c r="BQ14" s="254"/>
      <c r="BR14" s="254"/>
      <c r="BS14" s="254"/>
      <c r="BT14" s="254"/>
      <c r="BU14" s="254"/>
      <c r="BV14" s="254"/>
      <c r="BW14" s="255">
        <f t="shared" si="1"/>
        <v>0</v>
      </c>
    </row>
    <row r="15" spans="1:75" s="280" customFormat="1" ht="33.75" customHeight="1">
      <c r="A15" s="271"/>
      <c r="B15" s="272"/>
      <c r="C15" s="272" t="s">
        <v>841</v>
      </c>
      <c r="D15" s="273" t="s">
        <v>715</v>
      </c>
      <c r="E15" s="274" t="s">
        <v>78</v>
      </c>
      <c r="F15" s="275" t="s">
        <v>318</v>
      </c>
      <c r="G15" s="276">
        <f>BK15</f>
        <v>85</v>
      </c>
      <c r="H15" s="275">
        <f>G15*F15</f>
        <v>850000</v>
      </c>
      <c r="I15" s="272"/>
      <c r="J15" s="277">
        <f>0.8*H15</f>
        <v>680000</v>
      </c>
      <c r="K15" s="278"/>
      <c r="L15" s="278"/>
      <c r="M15" s="278"/>
      <c r="N15" s="278"/>
      <c r="O15" s="278"/>
      <c r="P15" s="277"/>
      <c r="Q15" s="277">
        <f>H15*0.2</f>
        <v>170000</v>
      </c>
      <c r="R15" s="277"/>
      <c r="S15" s="279"/>
      <c r="T15" s="279"/>
      <c r="U15" s="279"/>
      <c r="V15" s="279"/>
      <c r="W15" s="276">
        <f>S15*F15</f>
        <v>0</v>
      </c>
      <c r="X15" s="276">
        <f>T15*F15</f>
        <v>0</v>
      </c>
      <c r="Y15" s="276">
        <f>U15*F15</f>
        <v>0</v>
      </c>
      <c r="Z15" s="276">
        <f>V15*F15</f>
        <v>0</v>
      </c>
      <c r="AA15" s="272">
        <v>5</v>
      </c>
      <c r="AB15" s="276">
        <f>AA15*F15</f>
        <v>50000</v>
      </c>
      <c r="AC15" s="272">
        <v>5</v>
      </c>
      <c r="AD15" s="276">
        <f>AC15*F15</f>
        <v>50000</v>
      </c>
      <c r="AE15" s="272">
        <v>5</v>
      </c>
      <c r="AF15" s="276">
        <f>AE15*F15</f>
        <v>50000</v>
      </c>
      <c r="AG15" s="272">
        <v>5</v>
      </c>
      <c r="AH15" s="276">
        <f>AG15*F15</f>
        <v>50000</v>
      </c>
      <c r="AI15" s="272">
        <v>5</v>
      </c>
      <c r="AJ15" s="276">
        <f>AI15*F15</f>
        <v>50000</v>
      </c>
      <c r="AK15" s="272">
        <v>5</v>
      </c>
      <c r="AL15" s="276">
        <f>AK15*F15</f>
        <v>50000</v>
      </c>
      <c r="AM15" s="272">
        <v>5</v>
      </c>
      <c r="AN15" s="276">
        <f>AM15*F15</f>
        <v>50000</v>
      </c>
      <c r="AO15" s="272">
        <v>5</v>
      </c>
      <c r="AP15" s="276">
        <f>AO15*F15</f>
        <v>50000</v>
      </c>
      <c r="AQ15" s="272">
        <v>5</v>
      </c>
      <c r="AR15" s="276">
        <f>AQ15*F15</f>
        <v>50000</v>
      </c>
      <c r="AS15" s="272">
        <v>5</v>
      </c>
      <c r="AT15" s="276">
        <f>AS15*F15</f>
        <v>50000</v>
      </c>
      <c r="AU15" s="272">
        <v>5</v>
      </c>
      <c r="AV15" s="276">
        <f>AU15*F15</f>
        <v>50000</v>
      </c>
      <c r="AW15" s="272">
        <v>5</v>
      </c>
      <c r="AX15" s="276">
        <f>AW15*F15</f>
        <v>50000</v>
      </c>
      <c r="AY15" s="272">
        <v>5</v>
      </c>
      <c r="AZ15" s="276">
        <f>AY15*F15</f>
        <v>50000</v>
      </c>
      <c r="BA15" s="272">
        <v>5</v>
      </c>
      <c r="BB15" s="276">
        <f>BA15*F15</f>
        <v>50000</v>
      </c>
      <c r="BC15" s="532">
        <v>0</v>
      </c>
      <c r="BD15" s="276">
        <f>BC15*F15</f>
        <v>0</v>
      </c>
      <c r="BE15" s="272">
        <v>10</v>
      </c>
      <c r="BF15" s="276">
        <f>BE15*F15</f>
        <v>100000</v>
      </c>
      <c r="BG15" s="272">
        <v>5</v>
      </c>
      <c r="BH15" s="276">
        <f>BG15*F15</f>
        <v>50000</v>
      </c>
      <c r="BI15" s="272"/>
      <c r="BJ15" s="276">
        <f>BI15*F15</f>
        <v>0</v>
      </c>
      <c r="BK15" s="276">
        <f>AA15+AC15+AE15+AG15+AI15+AK15+AM15+AO15+AQ15+AS15+AU15+AW15+AY15+BA15+BC15+BE15+BG15+BI15</f>
        <v>85</v>
      </c>
      <c r="BL15" s="276">
        <f>AB15+AD15+AF15+AH15+AJ15+AL15+AN15+AP15+AR15+AT15+AV15+AX15+AZ15+BB15+BD15+BF15+BH15+BJ15</f>
        <v>850000</v>
      </c>
      <c r="BM15" s="275" t="s">
        <v>220</v>
      </c>
      <c r="BO15" s="281"/>
      <c r="BP15" s="281">
        <f>H15</f>
        <v>850000</v>
      </c>
      <c r="BQ15" s="281"/>
      <c r="BR15" s="281"/>
      <c r="BS15" s="281">
        <f>BO15+BP15+BQ15+BR15</f>
        <v>850000</v>
      </c>
      <c r="BT15" s="281"/>
      <c r="BU15" s="281"/>
      <c r="BV15" s="281">
        <f>BT15+BU15</f>
        <v>0</v>
      </c>
      <c r="BW15" s="282">
        <f t="shared" si="1"/>
        <v>850000</v>
      </c>
    </row>
    <row r="16" spans="1:75" s="265" customFormat="1">
      <c r="A16" s="263"/>
      <c r="B16" s="245"/>
      <c r="C16" s="214"/>
      <c r="D16" s="158" t="s">
        <v>446</v>
      </c>
      <c r="E16" s="177" t="s">
        <v>115</v>
      </c>
      <c r="F16" s="177"/>
      <c r="G16" s="264">
        <f>G15+G13</f>
        <v>85</v>
      </c>
      <c r="H16" s="264">
        <f t="shared" ref="H16:BS16" si="3">H15+H13</f>
        <v>850000</v>
      </c>
      <c r="I16" s="264">
        <f t="shared" si="3"/>
        <v>0</v>
      </c>
      <c r="J16" s="264">
        <f t="shared" si="3"/>
        <v>680000</v>
      </c>
      <c r="K16" s="264">
        <f t="shared" si="3"/>
        <v>0</v>
      </c>
      <c r="L16" s="264">
        <f t="shared" si="3"/>
        <v>0</v>
      </c>
      <c r="M16" s="264">
        <f t="shared" si="3"/>
        <v>0</v>
      </c>
      <c r="N16" s="264">
        <f t="shared" si="3"/>
        <v>0</v>
      </c>
      <c r="O16" s="264">
        <f t="shared" si="3"/>
        <v>0</v>
      </c>
      <c r="P16" s="264">
        <f t="shared" si="3"/>
        <v>0</v>
      </c>
      <c r="Q16" s="264">
        <f t="shared" si="3"/>
        <v>170000</v>
      </c>
      <c r="R16" s="264">
        <f t="shared" si="3"/>
        <v>0</v>
      </c>
      <c r="S16" s="264">
        <f t="shared" si="3"/>
        <v>0</v>
      </c>
      <c r="T16" s="264">
        <f t="shared" si="3"/>
        <v>0</v>
      </c>
      <c r="U16" s="264">
        <f t="shared" si="3"/>
        <v>0</v>
      </c>
      <c r="V16" s="264">
        <f t="shared" si="3"/>
        <v>0</v>
      </c>
      <c r="W16" s="264">
        <f t="shared" si="3"/>
        <v>0</v>
      </c>
      <c r="X16" s="264">
        <f t="shared" si="3"/>
        <v>0</v>
      </c>
      <c r="Y16" s="264">
        <f t="shared" si="3"/>
        <v>0</v>
      </c>
      <c r="Z16" s="264">
        <f t="shared" si="3"/>
        <v>0</v>
      </c>
      <c r="AA16" s="264">
        <f t="shared" si="3"/>
        <v>5</v>
      </c>
      <c r="AB16" s="264">
        <f t="shared" si="3"/>
        <v>50000</v>
      </c>
      <c r="AC16" s="264">
        <f t="shared" si="3"/>
        <v>5</v>
      </c>
      <c r="AD16" s="264">
        <f t="shared" si="3"/>
        <v>50000</v>
      </c>
      <c r="AE16" s="264">
        <f t="shared" si="3"/>
        <v>5</v>
      </c>
      <c r="AF16" s="264">
        <f t="shared" si="3"/>
        <v>50000</v>
      </c>
      <c r="AG16" s="264">
        <f t="shared" si="3"/>
        <v>5</v>
      </c>
      <c r="AH16" s="264">
        <f t="shared" si="3"/>
        <v>50000</v>
      </c>
      <c r="AI16" s="264">
        <f t="shared" si="3"/>
        <v>5</v>
      </c>
      <c r="AJ16" s="264">
        <f t="shared" si="3"/>
        <v>50000</v>
      </c>
      <c r="AK16" s="264">
        <f t="shared" si="3"/>
        <v>5</v>
      </c>
      <c r="AL16" s="264">
        <f t="shared" si="3"/>
        <v>50000</v>
      </c>
      <c r="AM16" s="264">
        <f t="shared" si="3"/>
        <v>5</v>
      </c>
      <c r="AN16" s="264">
        <f t="shared" si="3"/>
        <v>50000</v>
      </c>
      <c r="AO16" s="264">
        <f t="shared" si="3"/>
        <v>5</v>
      </c>
      <c r="AP16" s="264">
        <f t="shared" si="3"/>
        <v>50000</v>
      </c>
      <c r="AQ16" s="264">
        <f t="shared" si="3"/>
        <v>5</v>
      </c>
      <c r="AR16" s="264">
        <f t="shared" si="3"/>
        <v>50000</v>
      </c>
      <c r="AS16" s="264">
        <f t="shared" si="3"/>
        <v>5</v>
      </c>
      <c r="AT16" s="264">
        <f t="shared" si="3"/>
        <v>50000</v>
      </c>
      <c r="AU16" s="264">
        <f t="shared" si="3"/>
        <v>5</v>
      </c>
      <c r="AV16" s="264">
        <f t="shared" si="3"/>
        <v>50000</v>
      </c>
      <c r="AW16" s="264">
        <f t="shared" si="3"/>
        <v>5</v>
      </c>
      <c r="AX16" s="264">
        <f t="shared" si="3"/>
        <v>50000</v>
      </c>
      <c r="AY16" s="264">
        <f t="shared" si="3"/>
        <v>5</v>
      </c>
      <c r="AZ16" s="264">
        <f t="shared" si="3"/>
        <v>50000</v>
      </c>
      <c r="BA16" s="264">
        <f t="shared" si="3"/>
        <v>5</v>
      </c>
      <c r="BB16" s="264">
        <f t="shared" si="3"/>
        <v>50000</v>
      </c>
      <c r="BC16" s="264">
        <f t="shared" si="3"/>
        <v>0</v>
      </c>
      <c r="BD16" s="264">
        <f t="shared" si="3"/>
        <v>0</v>
      </c>
      <c r="BE16" s="264">
        <f t="shared" si="3"/>
        <v>10</v>
      </c>
      <c r="BF16" s="264">
        <f t="shared" si="3"/>
        <v>100000</v>
      </c>
      <c r="BG16" s="264">
        <f t="shared" si="3"/>
        <v>5</v>
      </c>
      <c r="BH16" s="264">
        <f t="shared" si="3"/>
        <v>50000</v>
      </c>
      <c r="BI16" s="264">
        <f t="shared" si="3"/>
        <v>0</v>
      </c>
      <c r="BJ16" s="264">
        <f t="shared" si="3"/>
        <v>0</v>
      </c>
      <c r="BK16" s="264">
        <f t="shared" si="3"/>
        <v>85</v>
      </c>
      <c r="BL16" s="264">
        <f t="shared" si="3"/>
        <v>850000</v>
      </c>
      <c r="BM16" s="264"/>
      <c r="BN16" s="264"/>
      <c r="BO16" s="264">
        <f t="shared" si="3"/>
        <v>0</v>
      </c>
      <c r="BP16" s="264">
        <f t="shared" si="3"/>
        <v>850000</v>
      </c>
      <c r="BQ16" s="264">
        <f t="shared" si="3"/>
        <v>0</v>
      </c>
      <c r="BR16" s="264">
        <f t="shared" si="3"/>
        <v>0</v>
      </c>
      <c r="BS16" s="264">
        <f t="shared" si="3"/>
        <v>850000</v>
      </c>
      <c r="BT16" s="264">
        <f>BT15+BT13</f>
        <v>0</v>
      </c>
      <c r="BU16" s="264">
        <f>BU15+BU13</f>
        <v>0</v>
      </c>
      <c r="BV16" s="264">
        <f>BV15+BV13</f>
        <v>0</v>
      </c>
      <c r="BW16" s="264">
        <f>BW15+BW13</f>
        <v>850000</v>
      </c>
    </row>
    <row r="17" spans="1:75">
      <c r="A17" s="256"/>
      <c r="B17" s="196"/>
      <c r="C17" s="191"/>
      <c r="D17" s="158" t="s">
        <v>447</v>
      </c>
      <c r="E17" s="135"/>
      <c r="F17" s="159"/>
      <c r="G17" s="136"/>
      <c r="H17" s="136" t="s">
        <v>36</v>
      </c>
      <c r="I17" s="257"/>
      <c r="J17" s="260"/>
      <c r="K17" s="260"/>
      <c r="L17" s="260"/>
      <c r="M17" s="260"/>
      <c r="N17" s="260"/>
      <c r="O17" s="260"/>
      <c r="P17" s="260"/>
      <c r="Q17" s="260"/>
      <c r="R17" s="260"/>
      <c r="S17" s="259"/>
      <c r="T17" s="259"/>
      <c r="U17" s="259"/>
      <c r="V17" s="259"/>
      <c r="W17" s="260"/>
      <c r="X17" s="260"/>
      <c r="Y17" s="260"/>
      <c r="Z17" s="260"/>
      <c r="AA17" s="283"/>
      <c r="AB17" s="260">
        <f>AA17*F17</f>
        <v>0</v>
      </c>
      <c r="AC17" s="283"/>
      <c r="AD17" s="260">
        <f>AC17*F17</f>
        <v>0</v>
      </c>
      <c r="AE17" s="283"/>
      <c r="AF17" s="260">
        <f>AE17*F17</f>
        <v>0</v>
      </c>
      <c r="AG17" s="283"/>
      <c r="AH17" s="260">
        <f>AG17*F17</f>
        <v>0</v>
      </c>
      <c r="AI17" s="283"/>
      <c r="AJ17" s="260">
        <f>AI17*F17</f>
        <v>0</v>
      </c>
      <c r="AK17" s="253"/>
      <c r="AL17" s="260">
        <f>AK17*F17</f>
        <v>0</v>
      </c>
      <c r="AM17" s="283"/>
      <c r="AN17" s="260">
        <f>AM17*F17</f>
        <v>0</v>
      </c>
      <c r="AO17" s="253"/>
      <c r="AP17" s="260">
        <f>AO17*F17</f>
        <v>0</v>
      </c>
      <c r="AQ17" s="283"/>
      <c r="AR17" s="260">
        <f>AQ17*F17</f>
        <v>0</v>
      </c>
      <c r="AS17" s="283"/>
      <c r="AT17" s="260">
        <f>AS17*F17</f>
        <v>0</v>
      </c>
      <c r="AU17" s="253"/>
      <c r="AV17" s="260">
        <f>AU17*F17</f>
        <v>0</v>
      </c>
      <c r="AW17" s="253"/>
      <c r="AX17" s="260">
        <f>AW17*F17</f>
        <v>0</v>
      </c>
      <c r="AY17" s="253"/>
      <c r="AZ17" s="260">
        <f>AY17*F17</f>
        <v>0</v>
      </c>
      <c r="BA17" s="283"/>
      <c r="BB17" s="260">
        <f>BA17*F17</f>
        <v>0</v>
      </c>
      <c r="BC17" s="283"/>
      <c r="BD17" s="260">
        <f>BC17*F17</f>
        <v>0</v>
      </c>
      <c r="BE17" s="283"/>
      <c r="BF17" s="260">
        <f>BE17*F17</f>
        <v>0</v>
      </c>
      <c r="BG17" s="283"/>
      <c r="BH17" s="260">
        <f>BG17*F17</f>
        <v>0</v>
      </c>
      <c r="BI17" s="283"/>
      <c r="BJ17" s="260">
        <f>BI17*F17</f>
        <v>0</v>
      </c>
      <c r="BK17" s="202"/>
      <c r="BL17" s="202"/>
      <c r="BM17" s="159"/>
      <c r="BO17" s="254"/>
      <c r="BP17" s="254"/>
      <c r="BQ17" s="254"/>
      <c r="BR17" s="254"/>
      <c r="BS17" s="254"/>
      <c r="BT17" s="254"/>
      <c r="BU17" s="254"/>
      <c r="BV17" s="254"/>
      <c r="BW17" s="255">
        <f>BS17+BV17</f>
        <v>0</v>
      </c>
    </row>
    <row r="18" spans="1:75">
      <c r="A18" s="256"/>
      <c r="B18" s="196"/>
      <c r="C18" s="191"/>
      <c r="D18" s="158" t="s">
        <v>448</v>
      </c>
      <c r="E18" s="135"/>
      <c r="F18" s="159"/>
      <c r="G18" s="257"/>
      <c r="H18" s="136" t="s">
        <v>36</v>
      </c>
      <c r="I18" s="257"/>
      <c r="J18" s="260"/>
      <c r="K18" s="260"/>
      <c r="L18" s="260"/>
      <c r="M18" s="260"/>
      <c r="N18" s="260"/>
      <c r="O18" s="260"/>
      <c r="P18" s="260"/>
      <c r="Q18" s="260"/>
      <c r="R18" s="260"/>
      <c r="S18" s="259"/>
      <c r="T18" s="259"/>
      <c r="U18" s="259"/>
      <c r="V18" s="259"/>
      <c r="W18" s="260"/>
      <c r="X18" s="260"/>
      <c r="Y18" s="260"/>
      <c r="Z18" s="260"/>
      <c r="AA18" s="283"/>
      <c r="AB18" s="260">
        <f>AA18*F18</f>
        <v>0</v>
      </c>
      <c r="AC18" s="283"/>
      <c r="AD18" s="260">
        <f>AC18*F18</f>
        <v>0</v>
      </c>
      <c r="AE18" s="283"/>
      <c r="AF18" s="260">
        <f>AE18*F18</f>
        <v>0</v>
      </c>
      <c r="AG18" s="283"/>
      <c r="AH18" s="260">
        <f>AG18*F18</f>
        <v>0</v>
      </c>
      <c r="AI18" s="283"/>
      <c r="AJ18" s="260">
        <f>AI18*F18</f>
        <v>0</v>
      </c>
      <c r="AK18" s="253"/>
      <c r="AL18" s="260">
        <f>AK18*F18</f>
        <v>0</v>
      </c>
      <c r="AM18" s="283"/>
      <c r="AN18" s="260">
        <f>AM18*F18</f>
        <v>0</v>
      </c>
      <c r="AO18" s="253"/>
      <c r="AP18" s="260">
        <f>AO18*F18</f>
        <v>0</v>
      </c>
      <c r="AQ18" s="283"/>
      <c r="AR18" s="260">
        <f>AQ18*F18</f>
        <v>0</v>
      </c>
      <c r="AS18" s="283"/>
      <c r="AT18" s="260">
        <f>AS18*F18</f>
        <v>0</v>
      </c>
      <c r="AU18" s="253"/>
      <c r="AV18" s="260">
        <f>AU18*F18</f>
        <v>0</v>
      </c>
      <c r="AW18" s="253"/>
      <c r="AX18" s="260">
        <f>AW18*F18</f>
        <v>0</v>
      </c>
      <c r="AY18" s="253"/>
      <c r="AZ18" s="260">
        <f>AY18*F18</f>
        <v>0</v>
      </c>
      <c r="BA18" s="283"/>
      <c r="BB18" s="260">
        <f>BA18*F18</f>
        <v>0</v>
      </c>
      <c r="BC18" s="283"/>
      <c r="BD18" s="260">
        <f>BC18*F18</f>
        <v>0</v>
      </c>
      <c r="BE18" s="283"/>
      <c r="BF18" s="260">
        <f>BE18*F18</f>
        <v>0</v>
      </c>
      <c r="BG18" s="283"/>
      <c r="BH18" s="260">
        <f>BG18*F18</f>
        <v>0</v>
      </c>
      <c r="BI18" s="283"/>
      <c r="BJ18" s="260">
        <f>BI18*F18</f>
        <v>0</v>
      </c>
      <c r="BK18" s="202"/>
      <c r="BL18" s="202"/>
      <c r="BM18" s="159"/>
      <c r="BO18" s="254"/>
      <c r="BP18" s="254"/>
      <c r="BQ18" s="254"/>
      <c r="BR18" s="254"/>
      <c r="BS18" s="254"/>
      <c r="BT18" s="254"/>
      <c r="BU18" s="254"/>
      <c r="BV18" s="254"/>
      <c r="BW18" s="255">
        <f>BS18+BV18</f>
        <v>0</v>
      </c>
    </row>
    <row r="19" spans="1:75" s="280" customFormat="1">
      <c r="A19" s="468"/>
      <c r="B19" s="272"/>
      <c r="C19" s="272" t="s">
        <v>842</v>
      </c>
      <c r="D19" s="275" t="s">
        <v>80</v>
      </c>
      <c r="E19" s="274" t="s">
        <v>72</v>
      </c>
      <c r="F19" s="275">
        <v>250000</v>
      </c>
      <c r="G19" s="272">
        <f>BK19</f>
        <v>0</v>
      </c>
      <c r="H19" s="275">
        <f>G19*F19</f>
        <v>0</v>
      </c>
      <c r="I19" s="272">
        <f>H19*0.2</f>
        <v>0</v>
      </c>
      <c r="J19" s="278">
        <f>H19*0.8</f>
        <v>0</v>
      </c>
      <c r="K19" s="278"/>
      <c r="L19" s="278"/>
      <c r="M19" s="278"/>
      <c r="N19" s="278"/>
      <c r="O19" s="278"/>
      <c r="P19" s="277"/>
      <c r="Q19" s="277"/>
      <c r="R19" s="277"/>
      <c r="S19" s="279"/>
      <c r="T19" s="279">
        <f>G19</f>
        <v>0</v>
      </c>
      <c r="U19" s="279"/>
      <c r="V19" s="279"/>
      <c r="W19" s="276">
        <f>S19*F19</f>
        <v>0</v>
      </c>
      <c r="X19" s="276">
        <f>T19*F19</f>
        <v>0</v>
      </c>
      <c r="Y19" s="276">
        <f>U19*F19</f>
        <v>0</v>
      </c>
      <c r="Z19" s="276">
        <f>V19*F19</f>
        <v>0</v>
      </c>
      <c r="AA19" s="284">
        <v>0</v>
      </c>
      <c r="AB19" s="276">
        <f>AA19*F19</f>
        <v>0</v>
      </c>
      <c r="AC19" s="285"/>
      <c r="AD19" s="276">
        <f>AC19*F19</f>
        <v>0</v>
      </c>
      <c r="AE19" s="285"/>
      <c r="AF19" s="276">
        <f>AE19*F19</f>
        <v>0</v>
      </c>
      <c r="AG19" s="285"/>
      <c r="AH19" s="276">
        <f>AG19*F19</f>
        <v>0</v>
      </c>
      <c r="AI19" s="285"/>
      <c r="AJ19" s="276">
        <f>AI19*F19</f>
        <v>0</v>
      </c>
      <c r="AK19" s="272"/>
      <c r="AL19" s="276">
        <f>AK19*F19</f>
        <v>0</v>
      </c>
      <c r="AM19" s="285"/>
      <c r="AN19" s="276">
        <f>AM19*F19</f>
        <v>0</v>
      </c>
      <c r="AO19" s="272"/>
      <c r="AP19" s="276">
        <f>AO19*F19</f>
        <v>0</v>
      </c>
      <c r="AQ19" s="285"/>
      <c r="AR19" s="276">
        <f>AQ19*F19</f>
        <v>0</v>
      </c>
      <c r="AS19" s="285"/>
      <c r="AT19" s="276">
        <f>AS19*F19</f>
        <v>0</v>
      </c>
      <c r="AU19" s="272"/>
      <c r="AV19" s="276">
        <f>AU19*F19</f>
        <v>0</v>
      </c>
      <c r="AW19" s="272"/>
      <c r="AX19" s="276">
        <f>AW19*F19</f>
        <v>0</v>
      </c>
      <c r="AY19" s="272"/>
      <c r="AZ19" s="276">
        <f>AY19*F19</f>
        <v>0</v>
      </c>
      <c r="BA19" s="285"/>
      <c r="BB19" s="276">
        <f>BA19*F19</f>
        <v>0</v>
      </c>
      <c r="BC19" s="285">
        <v>0</v>
      </c>
      <c r="BD19" s="276">
        <f>BC19*F19</f>
        <v>0</v>
      </c>
      <c r="BE19" s="285"/>
      <c r="BF19" s="276">
        <f>BE19*F19</f>
        <v>0</v>
      </c>
      <c r="BG19" s="285">
        <v>0</v>
      </c>
      <c r="BH19" s="276">
        <f>BG19*F19</f>
        <v>0</v>
      </c>
      <c r="BI19" s="285">
        <v>0</v>
      </c>
      <c r="BJ19" s="276">
        <f>BI19*F19</f>
        <v>0</v>
      </c>
      <c r="BK19" s="276">
        <f t="shared" ref="BK19:BK32" si="4">AA19+AC19+AE19+AG19+AI19+AK19+AM19+AO19+AQ19+AS19+AU19+AW19+AY19+BA19+BC19+BE19+BG19+BI19</f>
        <v>0</v>
      </c>
      <c r="BL19" s="276">
        <f t="shared" ref="BL19:BL32" si="5">AB19+AD19+AF19+AH19+AJ19+AL19+AN19+AP19+AR19+AT19+AV19+AX19+AZ19+BB19+BD19+BF19+BH19+BJ19</f>
        <v>0</v>
      </c>
      <c r="BM19" s="275" t="s">
        <v>216</v>
      </c>
      <c r="BO19" s="281"/>
      <c r="BP19" s="281">
        <f>BL19</f>
        <v>0</v>
      </c>
      <c r="BQ19" s="281"/>
      <c r="BR19" s="281"/>
      <c r="BS19" s="281">
        <f>BO19+BP19+BQ19+BR19</f>
        <v>0</v>
      </c>
      <c r="BT19" s="281"/>
      <c r="BU19" s="281"/>
      <c r="BV19" s="281">
        <f>BT19+BU19</f>
        <v>0</v>
      </c>
      <c r="BW19" s="282">
        <f>BS19+BV19</f>
        <v>0</v>
      </c>
    </row>
    <row r="20" spans="1:75" s="623" customFormat="1">
      <c r="A20" s="616"/>
      <c r="B20" s="617"/>
      <c r="C20" s="532" t="s">
        <v>843</v>
      </c>
      <c r="D20" s="536" t="s">
        <v>957</v>
      </c>
      <c r="E20" s="618" t="s">
        <v>69</v>
      </c>
      <c r="F20" s="536">
        <v>450000</v>
      </c>
      <c r="G20" s="546">
        <f>BK20</f>
        <v>21</v>
      </c>
      <c r="H20" s="619">
        <f>BL20</f>
        <v>13895644</v>
      </c>
      <c r="I20" s="532">
        <f>0.2*H20</f>
        <v>2779128.8000000003</v>
      </c>
      <c r="J20" s="620">
        <f>0.8*H20</f>
        <v>11116515.200000001</v>
      </c>
      <c r="K20" s="621"/>
      <c r="L20" s="621"/>
      <c r="M20" s="620"/>
      <c r="N20" s="621"/>
      <c r="O20" s="621"/>
      <c r="P20" s="620"/>
      <c r="Q20" s="620"/>
      <c r="R20" s="620"/>
      <c r="S20" s="622">
        <f>G20*0.25</f>
        <v>5.25</v>
      </c>
      <c r="T20" s="622">
        <f>G20*0.25</f>
        <v>5.25</v>
      </c>
      <c r="U20" s="622">
        <f>G20*0.25</f>
        <v>5.25</v>
      </c>
      <c r="V20" s="622">
        <f>G20*0.25</f>
        <v>5.25</v>
      </c>
      <c r="W20" s="546">
        <f>S20*F20</f>
        <v>2362500</v>
      </c>
      <c r="X20" s="546">
        <f>T20*F20</f>
        <v>2362500</v>
      </c>
      <c r="Y20" s="546">
        <f>U20*F20</f>
        <v>2362500</v>
      </c>
      <c r="Z20" s="546">
        <f>H20-SUM(W20:Y20)</f>
        <v>6808144</v>
      </c>
      <c r="AA20" s="615">
        <v>1</v>
      </c>
      <c r="AB20" s="546">
        <f>(AA20*F20)+645000</f>
        <v>1095000</v>
      </c>
      <c r="AC20" s="532">
        <v>1</v>
      </c>
      <c r="AD20" s="546">
        <f>(1*F20)+367644</f>
        <v>817644</v>
      </c>
      <c r="AE20" s="532">
        <v>1</v>
      </c>
      <c r="AF20" s="546">
        <f>(AE20*F20)+558000</f>
        <v>1008000</v>
      </c>
      <c r="AG20" s="532">
        <v>1</v>
      </c>
      <c r="AH20" s="546">
        <f>AG20*F20</f>
        <v>450000</v>
      </c>
      <c r="AI20" s="532">
        <v>1</v>
      </c>
      <c r="AJ20" s="546">
        <f>AI20*F20</f>
        <v>450000</v>
      </c>
      <c r="AK20" s="532">
        <v>5</v>
      </c>
      <c r="AL20" s="546">
        <v>1310000</v>
      </c>
      <c r="AM20" s="532">
        <v>1</v>
      </c>
      <c r="AN20" s="546">
        <f>(AM20*F20)+150000</f>
        <v>600000</v>
      </c>
      <c r="AO20" s="532">
        <v>1</v>
      </c>
      <c r="AP20" s="546">
        <f>(AO20*F20)+240000</f>
        <v>690000</v>
      </c>
      <c r="AQ20" s="532">
        <v>1</v>
      </c>
      <c r="AR20" s="546">
        <f>(AQ20*F20)+140000</f>
        <v>590000</v>
      </c>
      <c r="AS20" s="532">
        <v>1</v>
      </c>
      <c r="AT20" s="546">
        <f>(AS20*F20)+90000</f>
        <v>540000</v>
      </c>
      <c r="AU20" s="532">
        <v>1</v>
      </c>
      <c r="AV20" s="546">
        <f>(AU20*F20)+1150000</f>
        <v>1600000</v>
      </c>
      <c r="AW20" s="532">
        <v>1</v>
      </c>
      <c r="AX20" s="546">
        <f>(AW20*F20)+617000</f>
        <v>1067000</v>
      </c>
      <c r="AY20" s="532">
        <v>1</v>
      </c>
      <c r="AZ20" s="546">
        <f>(AY20*F20)+240000</f>
        <v>690000</v>
      </c>
      <c r="BA20" s="532">
        <f>1</f>
        <v>1</v>
      </c>
      <c r="BB20" s="546">
        <f>(BA20*F20)+(9*30000)</f>
        <v>720000</v>
      </c>
      <c r="BC20" s="532">
        <v>1</v>
      </c>
      <c r="BD20" s="546">
        <f>(BC20*F20)+558000</f>
        <v>1008000</v>
      </c>
      <c r="BE20" s="532">
        <v>1</v>
      </c>
      <c r="BF20" s="546">
        <v>810000</v>
      </c>
      <c r="BG20" s="532">
        <v>1</v>
      </c>
      <c r="BH20" s="546">
        <f>BG20*F20</f>
        <v>450000</v>
      </c>
      <c r="BI20" s="532">
        <v>0</v>
      </c>
      <c r="BJ20" s="546">
        <f>BI20*F20</f>
        <v>0</v>
      </c>
      <c r="BK20" s="546">
        <f t="shared" si="4"/>
        <v>21</v>
      </c>
      <c r="BL20" s="546">
        <f t="shared" si="5"/>
        <v>13895644</v>
      </c>
      <c r="BM20" s="536" t="s">
        <v>216</v>
      </c>
      <c r="BO20" s="624">
        <f>BL20</f>
        <v>13895644</v>
      </c>
      <c r="BP20" s="624"/>
      <c r="BQ20" s="624"/>
      <c r="BR20" s="624"/>
      <c r="BS20" s="624">
        <f t="shared" ref="BS20:BS31" si="6">BO20+BP20+BQ20+BR20</f>
        <v>13895644</v>
      </c>
      <c r="BT20" s="624"/>
      <c r="BU20" s="624"/>
      <c r="BV20" s="624">
        <f t="shared" ref="BV20:BV31" si="7">BT20+BU20</f>
        <v>0</v>
      </c>
      <c r="BW20" s="625">
        <f t="shared" ref="BW20:BW31" si="8">BS20+BV20</f>
        <v>13895644</v>
      </c>
    </row>
    <row r="21" spans="1:75" s="725" customFormat="1">
      <c r="A21" s="707"/>
      <c r="B21" s="708"/>
      <c r="C21" s="709"/>
      <c r="D21" s="767" t="s">
        <v>564</v>
      </c>
      <c r="E21" s="711"/>
      <c r="F21" s="712">
        <v>300000</v>
      </c>
      <c r="G21" s="713">
        <f t="shared" ref="G21:G30" si="9">BK21</f>
        <v>0</v>
      </c>
      <c r="H21" s="815">
        <f t="shared" ref="H21:H27" si="10">BL21</f>
        <v>0</v>
      </c>
      <c r="I21" s="714"/>
      <c r="J21" s="715"/>
      <c r="K21" s="715"/>
      <c r="L21" s="715"/>
      <c r="M21" s="716">
        <f>H21</f>
        <v>0</v>
      </c>
      <c r="N21" s="715"/>
      <c r="O21" s="715"/>
      <c r="P21" s="717"/>
      <c r="Q21" s="717"/>
      <c r="R21" s="717"/>
      <c r="S21" s="718"/>
      <c r="T21" s="718"/>
      <c r="U21" s="718"/>
      <c r="V21" s="718">
        <v>0</v>
      </c>
      <c r="W21" s="719">
        <f t="shared" ref="W21:W29" si="11">S21*F21</f>
        <v>0</v>
      </c>
      <c r="X21" s="719">
        <f t="shared" ref="X21:X29" si="12">T21*F21</f>
        <v>0</v>
      </c>
      <c r="Y21" s="719">
        <f t="shared" ref="Y21:Y29" si="13">U21*F21</f>
        <v>0</v>
      </c>
      <c r="Z21" s="719">
        <f t="shared" ref="Z21:Z29" si="14">V21*F21</f>
        <v>0</v>
      </c>
      <c r="AA21" s="720">
        <v>0</v>
      </c>
      <c r="AB21" s="719">
        <f t="shared" ref="AB21:AB29" si="15">AA21*F21</f>
        <v>0</v>
      </c>
      <c r="AC21" s="721">
        <v>0</v>
      </c>
      <c r="AD21" s="719">
        <f t="shared" ref="AD21:AD29" si="16">AC21*F21</f>
        <v>0</v>
      </c>
      <c r="AE21" s="721">
        <v>0</v>
      </c>
      <c r="AF21" s="719">
        <f t="shared" ref="AF21:AF29" si="17">AE21*F21</f>
        <v>0</v>
      </c>
      <c r="AG21" s="721">
        <v>0</v>
      </c>
      <c r="AH21" s="719">
        <f t="shared" ref="AH21:AH29" si="18">AG21*F21</f>
        <v>0</v>
      </c>
      <c r="AI21" s="721"/>
      <c r="AJ21" s="719">
        <f t="shared" ref="AJ21:AJ29" si="19">AI21*F21</f>
        <v>0</v>
      </c>
      <c r="AK21" s="722"/>
      <c r="AL21" s="719">
        <f t="shared" ref="AL21:AL29" si="20">AK21*F21</f>
        <v>0</v>
      </c>
      <c r="AM21" s="721"/>
      <c r="AN21" s="719">
        <f t="shared" ref="AN21:AN29" si="21">AM21*F21</f>
        <v>0</v>
      </c>
      <c r="AO21" s="722"/>
      <c r="AP21" s="719">
        <f t="shared" ref="AP21:AP29" si="22">AO21*F21</f>
        <v>0</v>
      </c>
      <c r="AQ21" s="721"/>
      <c r="AR21" s="719">
        <f t="shared" ref="AR21:AR29" si="23">AQ21*F21</f>
        <v>0</v>
      </c>
      <c r="AS21" s="721">
        <v>0</v>
      </c>
      <c r="AT21" s="719">
        <f t="shared" ref="AT21:AT29" si="24">AS21*F21</f>
        <v>0</v>
      </c>
      <c r="AU21" s="722">
        <v>0</v>
      </c>
      <c r="AV21" s="719">
        <f t="shared" ref="AV21:AV29" si="25">AU21*F21</f>
        <v>0</v>
      </c>
      <c r="AW21" s="722">
        <v>0</v>
      </c>
      <c r="AX21" s="719">
        <f t="shared" ref="AX21:AX29" si="26">AW21*F21</f>
        <v>0</v>
      </c>
      <c r="AY21" s="722"/>
      <c r="AZ21" s="719">
        <f t="shared" ref="AZ21:AZ29" si="27">AY21*F21</f>
        <v>0</v>
      </c>
      <c r="BA21" s="721"/>
      <c r="BB21" s="719">
        <f t="shared" ref="BB21:BB29" si="28">BA21*F21</f>
        <v>0</v>
      </c>
      <c r="BC21" s="721"/>
      <c r="BD21" s="719">
        <f t="shared" ref="BD21:BD29" si="29">BC21*F21</f>
        <v>0</v>
      </c>
      <c r="BE21" s="721"/>
      <c r="BF21" s="719">
        <f t="shared" ref="BF21:BF29" si="30">BE21*F21</f>
        <v>0</v>
      </c>
      <c r="BG21" s="721">
        <v>0</v>
      </c>
      <c r="BH21" s="719">
        <f t="shared" ref="BH21:BH29" si="31">BG21*F21</f>
        <v>0</v>
      </c>
      <c r="BI21" s="721">
        <v>0</v>
      </c>
      <c r="BJ21" s="723">
        <f t="shared" ref="BJ21:BJ28" si="32">BI21*F21</f>
        <v>0</v>
      </c>
      <c r="BK21" s="668">
        <f t="shared" si="4"/>
        <v>0</v>
      </c>
      <c r="BL21" s="668">
        <f t="shared" si="5"/>
        <v>0</v>
      </c>
      <c r="BM21" s="724" t="s">
        <v>302</v>
      </c>
      <c r="BO21" s="726"/>
      <c r="BP21" s="726"/>
      <c r="BQ21" s="726">
        <f>BL21</f>
        <v>0</v>
      </c>
      <c r="BR21" s="726"/>
      <c r="BS21" s="726">
        <f t="shared" si="6"/>
        <v>0</v>
      </c>
      <c r="BT21" s="726"/>
      <c r="BU21" s="726"/>
      <c r="BV21" s="726">
        <f t="shared" si="7"/>
        <v>0</v>
      </c>
      <c r="BW21" s="727">
        <f t="shared" si="8"/>
        <v>0</v>
      </c>
    </row>
    <row r="22" spans="1:75" s="725" customFormat="1">
      <c r="A22" s="707"/>
      <c r="B22" s="708"/>
      <c r="C22" s="709"/>
      <c r="D22" s="767" t="s">
        <v>1020</v>
      </c>
      <c r="E22" s="711" t="s">
        <v>16</v>
      </c>
      <c r="F22" s="712"/>
      <c r="G22" s="713">
        <f t="shared" si="9"/>
        <v>17</v>
      </c>
      <c r="H22" s="815">
        <f t="shared" si="10"/>
        <v>22332000</v>
      </c>
      <c r="I22" s="714"/>
      <c r="J22" s="715"/>
      <c r="K22" s="715"/>
      <c r="L22" s="715"/>
      <c r="M22" s="716">
        <f t="shared" ref="M22:M29" si="33">H22</f>
        <v>22332000</v>
      </c>
      <c r="N22" s="715"/>
      <c r="O22" s="715"/>
      <c r="P22" s="717"/>
      <c r="Q22" s="717"/>
      <c r="R22" s="717"/>
      <c r="S22" s="718"/>
      <c r="T22" s="718"/>
      <c r="U22" s="718"/>
      <c r="V22" s="718">
        <v>40</v>
      </c>
      <c r="W22" s="719">
        <f t="shared" si="11"/>
        <v>0</v>
      </c>
      <c r="X22" s="719">
        <f t="shared" si="12"/>
        <v>0</v>
      </c>
      <c r="Y22" s="719">
        <f t="shared" si="13"/>
        <v>0</v>
      </c>
      <c r="Z22" s="719">
        <f t="shared" si="14"/>
        <v>0</v>
      </c>
      <c r="AA22" s="816">
        <v>1</v>
      </c>
      <c r="AB22" s="719">
        <v>3296000</v>
      </c>
      <c r="AC22" s="721">
        <v>1</v>
      </c>
      <c r="AD22" s="719">
        <v>1099000</v>
      </c>
      <c r="AE22" s="721">
        <v>1</v>
      </c>
      <c r="AF22" s="719">
        <v>2563000</v>
      </c>
      <c r="AG22" s="721">
        <v>1</v>
      </c>
      <c r="AH22" s="719">
        <v>4392000</v>
      </c>
      <c r="AI22" s="721">
        <v>1</v>
      </c>
      <c r="AJ22" s="719">
        <v>732000</v>
      </c>
      <c r="AK22" s="722">
        <v>1</v>
      </c>
      <c r="AL22" s="719">
        <v>366000</v>
      </c>
      <c r="AM22" s="721">
        <v>1</v>
      </c>
      <c r="AN22" s="719">
        <v>2929000</v>
      </c>
      <c r="AO22" s="722">
        <v>1</v>
      </c>
      <c r="AP22" s="719">
        <v>732000</v>
      </c>
      <c r="AQ22" s="721">
        <v>1</v>
      </c>
      <c r="AR22" s="719">
        <v>732000</v>
      </c>
      <c r="AS22" s="721">
        <v>1</v>
      </c>
      <c r="AT22" s="719">
        <v>1099000</v>
      </c>
      <c r="AU22" s="722">
        <v>1</v>
      </c>
      <c r="AV22" s="719">
        <v>732000</v>
      </c>
      <c r="AW22" s="722">
        <v>1</v>
      </c>
      <c r="AX22" s="719">
        <v>366000</v>
      </c>
      <c r="AY22" s="722">
        <v>1</v>
      </c>
      <c r="AZ22" s="719">
        <v>732000</v>
      </c>
      <c r="BA22" s="721">
        <v>1</v>
      </c>
      <c r="BB22" s="719">
        <v>732000</v>
      </c>
      <c r="BC22" s="721">
        <v>1</v>
      </c>
      <c r="BD22" s="719">
        <v>366000</v>
      </c>
      <c r="BE22" s="721">
        <v>1</v>
      </c>
      <c r="BF22" s="719">
        <v>732000</v>
      </c>
      <c r="BG22" s="721">
        <v>1</v>
      </c>
      <c r="BH22" s="719">
        <v>732000</v>
      </c>
      <c r="BI22" s="721">
        <v>0</v>
      </c>
      <c r="BJ22" s="723">
        <f t="shared" si="32"/>
        <v>0</v>
      </c>
      <c r="BK22" s="668">
        <f t="shared" si="4"/>
        <v>17</v>
      </c>
      <c r="BL22" s="668">
        <f t="shared" si="5"/>
        <v>22332000</v>
      </c>
      <c r="BM22" s="724" t="s">
        <v>302</v>
      </c>
      <c r="BO22" s="726"/>
      <c r="BP22" s="726"/>
      <c r="BQ22" s="726"/>
      <c r="BR22" s="726"/>
      <c r="BS22" s="726">
        <f t="shared" si="6"/>
        <v>0</v>
      </c>
      <c r="BT22" s="726"/>
      <c r="BU22" s="726">
        <f t="shared" ref="BU22:BU27" si="34">BL22</f>
        <v>22332000</v>
      </c>
      <c r="BV22" s="726">
        <f t="shared" si="7"/>
        <v>22332000</v>
      </c>
      <c r="BW22" s="727">
        <f t="shared" si="8"/>
        <v>22332000</v>
      </c>
    </row>
    <row r="23" spans="1:75" s="725" customFormat="1" ht="31.5">
      <c r="A23" s="707"/>
      <c r="B23" s="708"/>
      <c r="C23" s="709"/>
      <c r="D23" s="710" t="s">
        <v>1019</v>
      </c>
      <c r="E23" s="711" t="s">
        <v>16</v>
      </c>
      <c r="F23" s="712"/>
      <c r="G23" s="713">
        <f t="shared" si="9"/>
        <v>17</v>
      </c>
      <c r="H23" s="815">
        <f t="shared" si="10"/>
        <v>15041000</v>
      </c>
      <c r="I23" s="714"/>
      <c r="J23" s="715"/>
      <c r="K23" s="715"/>
      <c r="L23" s="715"/>
      <c r="M23" s="716">
        <f t="shared" si="33"/>
        <v>15041000</v>
      </c>
      <c r="N23" s="715"/>
      <c r="O23" s="715"/>
      <c r="P23" s="717"/>
      <c r="Q23" s="717"/>
      <c r="R23" s="717"/>
      <c r="S23" s="718"/>
      <c r="T23" s="718"/>
      <c r="U23" s="718"/>
      <c r="V23" s="718">
        <v>143</v>
      </c>
      <c r="W23" s="719">
        <f t="shared" si="11"/>
        <v>0</v>
      </c>
      <c r="X23" s="719">
        <f t="shared" si="12"/>
        <v>0</v>
      </c>
      <c r="Y23" s="719">
        <f t="shared" si="13"/>
        <v>0</v>
      </c>
      <c r="Z23" s="719">
        <f t="shared" si="14"/>
        <v>0</v>
      </c>
      <c r="AA23" s="720">
        <v>1</v>
      </c>
      <c r="AB23" s="719">
        <v>1424000</v>
      </c>
      <c r="AC23" s="721">
        <v>1</v>
      </c>
      <c r="AD23" s="719">
        <v>1246000</v>
      </c>
      <c r="AE23" s="721">
        <v>1</v>
      </c>
      <c r="AF23" s="719">
        <v>1246000</v>
      </c>
      <c r="AG23" s="721">
        <v>1</v>
      </c>
      <c r="AH23" s="719">
        <v>1335000</v>
      </c>
      <c r="AI23" s="721">
        <v>1</v>
      </c>
      <c r="AJ23" s="719">
        <v>1068000</v>
      </c>
      <c r="AK23" s="722">
        <v>1</v>
      </c>
      <c r="AL23" s="719">
        <v>1068000</v>
      </c>
      <c r="AM23" s="721">
        <v>1</v>
      </c>
      <c r="AN23" s="719">
        <v>1335000</v>
      </c>
      <c r="AO23" s="722">
        <v>1</v>
      </c>
      <c r="AP23" s="719">
        <v>178000</v>
      </c>
      <c r="AQ23" s="721">
        <v>1</v>
      </c>
      <c r="AR23" s="719">
        <v>979000</v>
      </c>
      <c r="AS23" s="721">
        <v>1</v>
      </c>
      <c r="AT23" s="719">
        <v>1157000</v>
      </c>
      <c r="AU23" s="722">
        <v>1</v>
      </c>
      <c r="AV23" s="719">
        <v>1068000</v>
      </c>
      <c r="AW23" s="722">
        <v>1</v>
      </c>
      <c r="AX23" s="719">
        <v>89000</v>
      </c>
      <c r="AY23" s="722">
        <v>1</v>
      </c>
      <c r="AZ23" s="719">
        <v>178000</v>
      </c>
      <c r="BA23" s="721">
        <v>1</v>
      </c>
      <c r="BB23" s="719">
        <v>1157000</v>
      </c>
      <c r="BC23" s="721">
        <v>1</v>
      </c>
      <c r="BD23" s="719">
        <v>1157000</v>
      </c>
      <c r="BE23" s="721">
        <v>1</v>
      </c>
      <c r="BF23" s="719">
        <v>178000</v>
      </c>
      <c r="BG23" s="721">
        <v>1</v>
      </c>
      <c r="BH23" s="719">
        <v>178000</v>
      </c>
      <c r="BI23" s="721">
        <v>0</v>
      </c>
      <c r="BJ23" s="723">
        <f t="shared" si="32"/>
        <v>0</v>
      </c>
      <c r="BK23" s="668">
        <f t="shared" si="4"/>
        <v>17</v>
      </c>
      <c r="BL23" s="668">
        <f t="shared" si="5"/>
        <v>15041000</v>
      </c>
      <c r="BM23" s="724" t="s">
        <v>302</v>
      </c>
      <c r="BO23" s="726"/>
      <c r="BP23" s="726"/>
      <c r="BQ23" s="726"/>
      <c r="BR23" s="726"/>
      <c r="BS23" s="726">
        <f t="shared" si="6"/>
        <v>0</v>
      </c>
      <c r="BT23" s="726"/>
      <c r="BU23" s="726">
        <f t="shared" si="34"/>
        <v>15041000</v>
      </c>
      <c r="BV23" s="726">
        <f t="shared" si="7"/>
        <v>15041000</v>
      </c>
      <c r="BW23" s="727">
        <f t="shared" si="8"/>
        <v>15041000</v>
      </c>
    </row>
    <row r="24" spans="1:75" s="725" customFormat="1" ht="31.5">
      <c r="A24" s="707"/>
      <c r="B24" s="708"/>
      <c r="C24" s="709"/>
      <c r="D24" s="710" t="s">
        <v>1018</v>
      </c>
      <c r="E24" s="711" t="s">
        <v>16</v>
      </c>
      <c r="F24" s="712"/>
      <c r="G24" s="713">
        <f t="shared" si="9"/>
        <v>15</v>
      </c>
      <c r="H24" s="815">
        <f t="shared" si="10"/>
        <v>5497000</v>
      </c>
      <c r="I24" s="714"/>
      <c r="J24" s="715"/>
      <c r="K24" s="715"/>
      <c r="L24" s="715"/>
      <c r="M24" s="716">
        <f t="shared" si="33"/>
        <v>5497000</v>
      </c>
      <c r="N24" s="715"/>
      <c r="O24" s="715"/>
      <c r="P24" s="717"/>
      <c r="Q24" s="717"/>
      <c r="R24" s="717"/>
      <c r="S24" s="718"/>
      <c r="T24" s="718"/>
      <c r="U24" s="718"/>
      <c r="V24" s="718">
        <v>40</v>
      </c>
      <c r="W24" s="719">
        <f t="shared" si="11"/>
        <v>0</v>
      </c>
      <c r="X24" s="719">
        <f t="shared" si="12"/>
        <v>0</v>
      </c>
      <c r="Y24" s="719">
        <f t="shared" si="13"/>
        <v>0</v>
      </c>
      <c r="Z24" s="719">
        <f t="shared" si="14"/>
        <v>0</v>
      </c>
      <c r="AA24" s="720">
        <v>1</v>
      </c>
      <c r="AB24" s="719">
        <v>587000</v>
      </c>
      <c r="AC24" s="721">
        <v>1</v>
      </c>
      <c r="AD24" s="719">
        <v>168000</v>
      </c>
      <c r="AE24" s="721">
        <v>1</v>
      </c>
      <c r="AF24" s="719">
        <v>587000</v>
      </c>
      <c r="AG24" s="721">
        <v>1</v>
      </c>
      <c r="AH24" s="719">
        <v>839000</v>
      </c>
      <c r="AI24" s="721">
        <v>1</v>
      </c>
      <c r="AJ24" s="719">
        <v>587000</v>
      </c>
      <c r="AK24" s="722">
        <v>1</v>
      </c>
      <c r="AL24" s="719">
        <v>504000</v>
      </c>
      <c r="AM24" s="721">
        <v>1</v>
      </c>
      <c r="AN24" s="719">
        <v>336000</v>
      </c>
      <c r="AO24" s="722">
        <v>0</v>
      </c>
      <c r="AP24" s="719">
        <f t="shared" si="22"/>
        <v>0</v>
      </c>
      <c r="AQ24" s="721">
        <v>1</v>
      </c>
      <c r="AR24" s="719">
        <v>210000</v>
      </c>
      <c r="AS24" s="721">
        <v>1</v>
      </c>
      <c r="AT24" s="719">
        <v>42000</v>
      </c>
      <c r="AU24" s="722">
        <v>1</v>
      </c>
      <c r="AV24" s="719">
        <v>462000</v>
      </c>
      <c r="AW24" s="722">
        <v>1</v>
      </c>
      <c r="AX24" s="719">
        <v>42000</v>
      </c>
      <c r="AY24" s="722">
        <v>1</v>
      </c>
      <c r="AZ24" s="719">
        <v>42000</v>
      </c>
      <c r="BA24" s="721">
        <v>1</v>
      </c>
      <c r="BB24" s="719">
        <v>126000</v>
      </c>
      <c r="BC24" s="721">
        <v>1</v>
      </c>
      <c r="BD24" s="719">
        <v>839000</v>
      </c>
      <c r="BE24" s="721">
        <v>0</v>
      </c>
      <c r="BF24" s="719">
        <f t="shared" si="30"/>
        <v>0</v>
      </c>
      <c r="BG24" s="721">
        <v>1</v>
      </c>
      <c r="BH24" s="719">
        <v>126000</v>
      </c>
      <c r="BI24" s="721">
        <v>0</v>
      </c>
      <c r="BJ24" s="723">
        <f t="shared" si="32"/>
        <v>0</v>
      </c>
      <c r="BK24" s="668">
        <f t="shared" si="4"/>
        <v>15</v>
      </c>
      <c r="BL24" s="668">
        <f t="shared" si="5"/>
        <v>5497000</v>
      </c>
      <c r="BM24" s="724" t="s">
        <v>302</v>
      </c>
      <c r="BO24" s="726"/>
      <c r="BP24" s="726"/>
      <c r="BQ24" s="726"/>
      <c r="BR24" s="726"/>
      <c r="BS24" s="726">
        <f t="shared" si="6"/>
        <v>0</v>
      </c>
      <c r="BT24" s="726"/>
      <c r="BU24" s="726">
        <f t="shared" si="34"/>
        <v>5497000</v>
      </c>
      <c r="BV24" s="726">
        <f t="shared" si="7"/>
        <v>5497000</v>
      </c>
      <c r="BW24" s="727">
        <f t="shared" si="8"/>
        <v>5497000</v>
      </c>
    </row>
    <row r="25" spans="1:75" s="725" customFormat="1" ht="31.5">
      <c r="A25" s="707"/>
      <c r="B25" s="708"/>
      <c r="C25" s="709"/>
      <c r="D25" s="710" t="s">
        <v>565</v>
      </c>
      <c r="E25" s="711" t="s">
        <v>16</v>
      </c>
      <c r="F25" s="712">
        <v>10560000</v>
      </c>
      <c r="G25" s="713">
        <f t="shared" si="9"/>
        <v>0</v>
      </c>
      <c r="H25" s="815">
        <f t="shared" si="10"/>
        <v>0</v>
      </c>
      <c r="I25" s="714"/>
      <c r="J25" s="715"/>
      <c r="K25" s="715"/>
      <c r="L25" s="715"/>
      <c r="M25" s="716">
        <f t="shared" si="33"/>
        <v>0</v>
      </c>
      <c r="N25" s="715"/>
      <c r="O25" s="715"/>
      <c r="P25" s="717"/>
      <c r="Q25" s="717"/>
      <c r="R25" s="717"/>
      <c r="S25" s="718"/>
      <c r="T25" s="718"/>
      <c r="U25" s="718"/>
      <c r="V25" s="718"/>
      <c r="W25" s="719">
        <f t="shared" si="11"/>
        <v>0</v>
      </c>
      <c r="X25" s="719">
        <f t="shared" si="12"/>
        <v>0</v>
      </c>
      <c r="Y25" s="719">
        <f t="shared" si="13"/>
        <v>0</v>
      </c>
      <c r="Z25" s="719">
        <f t="shared" si="14"/>
        <v>0</v>
      </c>
      <c r="AA25" s="720">
        <v>0</v>
      </c>
      <c r="AB25" s="719">
        <f t="shared" si="15"/>
        <v>0</v>
      </c>
      <c r="AC25" s="721">
        <v>0</v>
      </c>
      <c r="AD25" s="719">
        <f t="shared" si="16"/>
        <v>0</v>
      </c>
      <c r="AE25" s="721">
        <v>0</v>
      </c>
      <c r="AF25" s="719">
        <f t="shared" si="17"/>
        <v>0</v>
      </c>
      <c r="AG25" s="721">
        <v>0</v>
      </c>
      <c r="AH25" s="719">
        <f t="shared" si="18"/>
        <v>0</v>
      </c>
      <c r="AI25" s="721"/>
      <c r="AJ25" s="719">
        <f t="shared" si="19"/>
        <v>0</v>
      </c>
      <c r="AK25" s="722"/>
      <c r="AL25" s="719">
        <f t="shared" si="20"/>
        <v>0</v>
      </c>
      <c r="AM25" s="721"/>
      <c r="AN25" s="719">
        <f t="shared" si="21"/>
        <v>0</v>
      </c>
      <c r="AO25" s="722"/>
      <c r="AP25" s="719">
        <f t="shared" si="22"/>
        <v>0</v>
      </c>
      <c r="AQ25" s="721"/>
      <c r="AR25" s="719">
        <f t="shared" si="23"/>
        <v>0</v>
      </c>
      <c r="AS25" s="721">
        <v>0</v>
      </c>
      <c r="AT25" s="719">
        <f t="shared" si="24"/>
        <v>0</v>
      </c>
      <c r="AU25" s="722">
        <v>0</v>
      </c>
      <c r="AV25" s="719">
        <f t="shared" si="25"/>
        <v>0</v>
      </c>
      <c r="AW25" s="722"/>
      <c r="AX25" s="719">
        <f t="shared" si="26"/>
        <v>0</v>
      </c>
      <c r="AY25" s="722"/>
      <c r="AZ25" s="719">
        <f t="shared" si="27"/>
        <v>0</v>
      </c>
      <c r="BA25" s="721"/>
      <c r="BB25" s="719">
        <f t="shared" si="28"/>
        <v>0</v>
      </c>
      <c r="BC25" s="721"/>
      <c r="BD25" s="719">
        <f t="shared" si="29"/>
        <v>0</v>
      </c>
      <c r="BE25" s="721"/>
      <c r="BF25" s="719">
        <f t="shared" si="30"/>
        <v>0</v>
      </c>
      <c r="BG25" s="721">
        <v>0</v>
      </c>
      <c r="BH25" s="719">
        <f t="shared" si="31"/>
        <v>0</v>
      </c>
      <c r="BI25" s="721">
        <v>0</v>
      </c>
      <c r="BJ25" s="723">
        <f t="shared" si="32"/>
        <v>0</v>
      </c>
      <c r="BK25" s="668">
        <f t="shared" si="4"/>
        <v>0</v>
      </c>
      <c r="BL25" s="668">
        <f t="shared" si="5"/>
        <v>0</v>
      </c>
      <c r="BM25" s="724" t="s">
        <v>302</v>
      </c>
      <c r="BO25" s="726"/>
      <c r="BP25" s="726"/>
      <c r="BQ25" s="726"/>
      <c r="BR25" s="726"/>
      <c r="BS25" s="726">
        <f t="shared" si="6"/>
        <v>0</v>
      </c>
      <c r="BT25" s="726"/>
      <c r="BU25" s="726">
        <f t="shared" si="34"/>
        <v>0</v>
      </c>
      <c r="BV25" s="726">
        <f t="shared" si="7"/>
        <v>0</v>
      </c>
      <c r="BW25" s="727">
        <f t="shared" si="8"/>
        <v>0</v>
      </c>
    </row>
    <row r="26" spans="1:75" s="725" customFormat="1">
      <c r="A26" s="707"/>
      <c r="B26" s="708"/>
      <c r="C26" s="709"/>
      <c r="D26" s="710" t="s">
        <v>566</v>
      </c>
      <c r="E26" s="711" t="s">
        <v>16</v>
      </c>
      <c r="F26" s="712">
        <v>6018740</v>
      </c>
      <c r="G26" s="713">
        <f t="shared" si="9"/>
        <v>0</v>
      </c>
      <c r="H26" s="815">
        <f t="shared" si="10"/>
        <v>0</v>
      </c>
      <c r="I26" s="714"/>
      <c r="J26" s="715"/>
      <c r="K26" s="715"/>
      <c r="L26" s="715"/>
      <c r="M26" s="716">
        <f t="shared" si="33"/>
        <v>0</v>
      </c>
      <c r="N26" s="715"/>
      <c r="O26" s="715"/>
      <c r="P26" s="717"/>
      <c r="Q26" s="717"/>
      <c r="R26" s="717"/>
      <c r="S26" s="718"/>
      <c r="T26" s="718"/>
      <c r="U26" s="718"/>
      <c r="V26" s="718"/>
      <c r="W26" s="719">
        <f t="shared" si="11"/>
        <v>0</v>
      </c>
      <c r="X26" s="719">
        <f t="shared" si="12"/>
        <v>0</v>
      </c>
      <c r="Y26" s="719">
        <f t="shared" si="13"/>
        <v>0</v>
      </c>
      <c r="Z26" s="719">
        <f t="shared" si="14"/>
        <v>0</v>
      </c>
      <c r="AA26" s="720">
        <v>0</v>
      </c>
      <c r="AB26" s="719">
        <f t="shared" si="15"/>
        <v>0</v>
      </c>
      <c r="AC26" s="721">
        <v>0</v>
      </c>
      <c r="AD26" s="719">
        <f t="shared" si="16"/>
        <v>0</v>
      </c>
      <c r="AE26" s="721">
        <v>0</v>
      </c>
      <c r="AF26" s="719">
        <f t="shared" si="17"/>
        <v>0</v>
      </c>
      <c r="AG26" s="721">
        <v>0</v>
      </c>
      <c r="AH26" s="719">
        <f t="shared" si="18"/>
        <v>0</v>
      </c>
      <c r="AI26" s="721"/>
      <c r="AJ26" s="719">
        <f t="shared" si="19"/>
        <v>0</v>
      </c>
      <c r="AK26" s="722"/>
      <c r="AL26" s="719">
        <f t="shared" si="20"/>
        <v>0</v>
      </c>
      <c r="AM26" s="721"/>
      <c r="AN26" s="719">
        <f t="shared" si="21"/>
        <v>0</v>
      </c>
      <c r="AO26" s="722"/>
      <c r="AP26" s="719">
        <f t="shared" si="22"/>
        <v>0</v>
      </c>
      <c r="AQ26" s="721"/>
      <c r="AR26" s="719">
        <f t="shared" si="23"/>
        <v>0</v>
      </c>
      <c r="AS26" s="721">
        <v>0</v>
      </c>
      <c r="AT26" s="719">
        <f t="shared" si="24"/>
        <v>0</v>
      </c>
      <c r="AU26" s="722">
        <v>0</v>
      </c>
      <c r="AV26" s="719">
        <f t="shared" si="25"/>
        <v>0</v>
      </c>
      <c r="AW26" s="722"/>
      <c r="AX26" s="719">
        <f t="shared" si="26"/>
        <v>0</v>
      </c>
      <c r="AY26" s="722"/>
      <c r="AZ26" s="719">
        <f t="shared" si="27"/>
        <v>0</v>
      </c>
      <c r="BA26" s="721"/>
      <c r="BB26" s="719">
        <f t="shared" si="28"/>
        <v>0</v>
      </c>
      <c r="BC26" s="721"/>
      <c r="BD26" s="719">
        <f t="shared" si="29"/>
        <v>0</v>
      </c>
      <c r="BE26" s="721"/>
      <c r="BF26" s="719">
        <f t="shared" si="30"/>
        <v>0</v>
      </c>
      <c r="BG26" s="721">
        <v>0</v>
      </c>
      <c r="BH26" s="719">
        <f t="shared" si="31"/>
        <v>0</v>
      </c>
      <c r="BI26" s="721">
        <v>0</v>
      </c>
      <c r="BJ26" s="723">
        <f t="shared" si="32"/>
        <v>0</v>
      </c>
      <c r="BK26" s="668">
        <f t="shared" si="4"/>
        <v>0</v>
      </c>
      <c r="BL26" s="668">
        <f t="shared" si="5"/>
        <v>0</v>
      </c>
      <c r="BM26" s="724" t="s">
        <v>302</v>
      </c>
      <c r="BO26" s="726"/>
      <c r="BP26" s="726"/>
      <c r="BQ26" s="726"/>
      <c r="BR26" s="726"/>
      <c r="BS26" s="726">
        <f t="shared" si="6"/>
        <v>0</v>
      </c>
      <c r="BT26" s="726"/>
      <c r="BU26" s="726">
        <f t="shared" si="34"/>
        <v>0</v>
      </c>
      <c r="BV26" s="726">
        <f t="shared" si="7"/>
        <v>0</v>
      </c>
      <c r="BW26" s="727">
        <f t="shared" si="8"/>
        <v>0</v>
      </c>
    </row>
    <row r="27" spans="1:75" s="725" customFormat="1">
      <c r="A27" s="707"/>
      <c r="B27" s="708"/>
      <c r="C27" s="709"/>
      <c r="D27" s="710" t="s">
        <v>567</v>
      </c>
      <c r="E27" s="711" t="s">
        <v>933</v>
      </c>
      <c r="F27" s="712">
        <v>15424000</v>
      </c>
      <c r="G27" s="713">
        <f t="shared" si="9"/>
        <v>0</v>
      </c>
      <c r="H27" s="815">
        <f t="shared" si="10"/>
        <v>0</v>
      </c>
      <c r="I27" s="714"/>
      <c r="J27" s="715"/>
      <c r="K27" s="715"/>
      <c r="L27" s="715"/>
      <c r="M27" s="716">
        <f t="shared" si="33"/>
        <v>0</v>
      </c>
      <c r="N27" s="715"/>
      <c r="O27" s="715"/>
      <c r="P27" s="717"/>
      <c r="Q27" s="717"/>
      <c r="R27" s="717"/>
      <c r="S27" s="718"/>
      <c r="T27" s="718"/>
      <c r="U27" s="718"/>
      <c r="V27" s="718"/>
      <c r="W27" s="719">
        <f t="shared" si="11"/>
        <v>0</v>
      </c>
      <c r="X27" s="719">
        <f t="shared" si="12"/>
        <v>0</v>
      </c>
      <c r="Y27" s="719">
        <f t="shared" si="13"/>
        <v>0</v>
      </c>
      <c r="Z27" s="719">
        <f t="shared" si="14"/>
        <v>0</v>
      </c>
      <c r="AA27" s="720">
        <v>0</v>
      </c>
      <c r="AB27" s="719">
        <f t="shared" si="15"/>
        <v>0</v>
      </c>
      <c r="AC27" s="721">
        <v>0</v>
      </c>
      <c r="AD27" s="719">
        <f t="shared" si="16"/>
        <v>0</v>
      </c>
      <c r="AE27" s="721">
        <v>0</v>
      </c>
      <c r="AF27" s="719">
        <f t="shared" si="17"/>
        <v>0</v>
      </c>
      <c r="AG27" s="721">
        <v>0</v>
      </c>
      <c r="AH27" s="719">
        <f t="shared" si="18"/>
        <v>0</v>
      </c>
      <c r="AI27" s="721"/>
      <c r="AJ27" s="719">
        <f t="shared" si="19"/>
        <v>0</v>
      </c>
      <c r="AK27" s="722"/>
      <c r="AL27" s="719">
        <f t="shared" si="20"/>
        <v>0</v>
      </c>
      <c r="AM27" s="721"/>
      <c r="AN27" s="719">
        <f t="shared" si="21"/>
        <v>0</v>
      </c>
      <c r="AO27" s="722"/>
      <c r="AP27" s="719">
        <f t="shared" si="22"/>
        <v>0</v>
      </c>
      <c r="AQ27" s="721"/>
      <c r="AR27" s="719">
        <f t="shared" si="23"/>
        <v>0</v>
      </c>
      <c r="AS27" s="721">
        <v>0</v>
      </c>
      <c r="AT27" s="719">
        <f t="shared" si="24"/>
        <v>0</v>
      </c>
      <c r="AU27" s="722">
        <v>0</v>
      </c>
      <c r="AV27" s="719">
        <f t="shared" si="25"/>
        <v>0</v>
      </c>
      <c r="AW27" s="722"/>
      <c r="AX27" s="719">
        <f t="shared" si="26"/>
        <v>0</v>
      </c>
      <c r="AY27" s="722"/>
      <c r="AZ27" s="719">
        <f t="shared" si="27"/>
        <v>0</v>
      </c>
      <c r="BA27" s="721"/>
      <c r="BB27" s="719">
        <f t="shared" si="28"/>
        <v>0</v>
      </c>
      <c r="BC27" s="721"/>
      <c r="BD27" s="719">
        <f t="shared" si="29"/>
        <v>0</v>
      </c>
      <c r="BE27" s="721"/>
      <c r="BF27" s="719">
        <f t="shared" si="30"/>
        <v>0</v>
      </c>
      <c r="BG27" s="721">
        <v>0</v>
      </c>
      <c r="BH27" s="719">
        <f t="shared" si="31"/>
        <v>0</v>
      </c>
      <c r="BI27" s="721">
        <v>0</v>
      </c>
      <c r="BJ27" s="723">
        <f t="shared" si="32"/>
        <v>0</v>
      </c>
      <c r="BK27" s="668">
        <f t="shared" si="4"/>
        <v>0</v>
      </c>
      <c r="BL27" s="668">
        <f t="shared" si="5"/>
        <v>0</v>
      </c>
      <c r="BM27" s="724" t="s">
        <v>302</v>
      </c>
      <c r="BO27" s="726"/>
      <c r="BP27" s="726"/>
      <c r="BQ27" s="726"/>
      <c r="BR27" s="726"/>
      <c r="BS27" s="726">
        <f t="shared" si="6"/>
        <v>0</v>
      </c>
      <c r="BT27" s="726"/>
      <c r="BU27" s="726">
        <f t="shared" si="34"/>
        <v>0</v>
      </c>
      <c r="BV27" s="726">
        <f t="shared" si="7"/>
        <v>0</v>
      </c>
      <c r="BW27" s="727">
        <f t="shared" si="8"/>
        <v>0</v>
      </c>
    </row>
    <row r="28" spans="1:75" s="725" customFormat="1" ht="47.25">
      <c r="A28" s="707"/>
      <c r="B28" s="708"/>
      <c r="C28" s="709"/>
      <c r="D28" s="710" t="s">
        <v>1017</v>
      </c>
      <c r="E28" s="711" t="s">
        <v>16</v>
      </c>
      <c r="F28" s="712">
        <v>16020000</v>
      </c>
      <c r="G28" s="713">
        <f>BK28</f>
        <v>0</v>
      </c>
      <c r="H28" s="815">
        <f>BL28</f>
        <v>14880000</v>
      </c>
      <c r="I28" s="714"/>
      <c r="J28" s="715"/>
      <c r="K28" s="715"/>
      <c r="L28" s="715"/>
      <c r="M28" s="716">
        <f t="shared" si="33"/>
        <v>14880000</v>
      </c>
      <c r="N28" s="715"/>
      <c r="O28" s="715"/>
      <c r="P28" s="717"/>
      <c r="Q28" s="717"/>
      <c r="R28" s="717"/>
      <c r="S28" s="718"/>
      <c r="T28" s="718"/>
      <c r="U28" s="718"/>
      <c r="V28" s="718">
        <v>17</v>
      </c>
      <c r="W28" s="719">
        <f t="shared" si="11"/>
        <v>0</v>
      </c>
      <c r="X28" s="719">
        <f t="shared" si="12"/>
        <v>0</v>
      </c>
      <c r="Y28" s="719">
        <f t="shared" si="13"/>
        <v>0</v>
      </c>
      <c r="Z28" s="719"/>
      <c r="AA28" s="720"/>
      <c r="AB28" s="719">
        <v>720000</v>
      </c>
      <c r="AC28" s="721"/>
      <c r="AD28" s="719">
        <v>600000</v>
      </c>
      <c r="AE28" s="721">
        <v>0</v>
      </c>
      <c r="AF28" s="719">
        <v>720000</v>
      </c>
      <c r="AG28" s="721">
        <v>0</v>
      </c>
      <c r="AH28" s="719">
        <v>840000</v>
      </c>
      <c r="AI28" s="721"/>
      <c r="AJ28" s="719">
        <v>480000</v>
      </c>
      <c r="AK28" s="722"/>
      <c r="AL28" s="719">
        <v>720000</v>
      </c>
      <c r="AM28" s="721"/>
      <c r="AN28" s="719">
        <v>840000</v>
      </c>
      <c r="AO28" s="722"/>
      <c r="AP28" s="719">
        <v>1200000</v>
      </c>
      <c r="AQ28" s="721"/>
      <c r="AR28" s="719">
        <v>480000</v>
      </c>
      <c r="AS28" s="721"/>
      <c r="AT28" s="719">
        <v>600000</v>
      </c>
      <c r="AU28" s="722"/>
      <c r="AV28" s="719">
        <v>960000</v>
      </c>
      <c r="AW28" s="722"/>
      <c r="AX28" s="719">
        <v>840000</v>
      </c>
      <c r="AY28" s="722"/>
      <c r="AZ28" s="719">
        <v>1320000</v>
      </c>
      <c r="BA28" s="721"/>
      <c r="BB28" s="719">
        <v>1320000</v>
      </c>
      <c r="BC28" s="721"/>
      <c r="BD28" s="719">
        <v>600000</v>
      </c>
      <c r="BE28" s="721"/>
      <c r="BF28" s="719">
        <v>1680000</v>
      </c>
      <c r="BG28" s="721"/>
      <c r="BH28" s="719">
        <v>960000</v>
      </c>
      <c r="BI28" s="721">
        <v>0</v>
      </c>
      <c r="BJ28" s="723">
        <f t="shared" si="32"/>
        <v>0</v>
      </c>
      <c r="BK28" s="668">
        <f>AA28+AC28+AE28+AG28+AI28+AK28+AM28+AO28+AQ28+AS28+AU28+AW28+AY28+BA28+BC28+BE28+BG28+BI28</f>
        <v>0</v>
      </c>
      <c r="BL28" s="668">
        <f>AB28+AD28+AF28+AH28+AJ28+AL28+AN28+AP28+AR28+AT28+AV28+AX28+AZ28+BB28+BD28+BF28+BH28+BJ28</f>
        <v>14880000</v>
      </c>
      <c r="BM28" s="724" t="s">
        <v>302</v>
      </c>
      <c r="BO28" s="726"/>
      <c r="BP28" s="726"/>
      <c r="BQ28" s="726"/>
      <c r="BR28" s="726"/>
      <c r="BS28" s="726"/>
      <c r="BT28" s="726"/>
      <c r="BU28" s="726"/>
      <c r="BV28" s="726"/>
      <c r="BW28" s="727"/>
    </row>
    <row r="29" spans="1:75" s="725" customFormat="1" ht="47.25">
      <c r="A29" s="707"/>
      <c r="B29" s="708"/>
      <c r="C29" s="709"/>
      <c r="D29" s="710" t="s">
        <v>568</v>
      </c>
      <c r="E29" s="711" t="s">
        <v>16</v>
      </c>
      <c r="F29" s="712">
        <v>6120000</v>
      </c>
      <c r="G29" s="713">
        <f>BK29</f>
        <v>0</v>
      </c>
      <c r="H29" s="712">
        <f t="shared" ref="H29" si="35">G29*F29</f>
        <v>0</v>
      </c>
      <c r="I29" s="714"/>
      <c r="J29" s="715"/>
      <c r="K29" s="715"/>
      <c r="L29" s="715"/>
      <c r="M29" s="716">
        <f t="shared" si="33"/>
        <v>0</v>
      </c>
      <c r="N29" s="715"/>
      <c r="O29" s="715"/>
      <c r="P29" s="717"/>
      <c r="Q29" s="717"/>
      <c r="R29" s="717"/>
      <c r="S29" s="718"/>
      <c r="T29" s="718"/>
      <c r="U29" s="718"/>
      <c r="V29" s="718">
        <v>0</v>
      </c>
      <c r="W29" s="719">
        <f t="shared" si="11"/>
        <v>0</v>
      </c>
      <c r="X29" s="719">
        <f t="shared" si="12"/>
        <v>0</v>
      </c>
      <c r="Y29" s="719">
        <f t="shared" si="13"/>
        <v>0</v>
      </c>
      <c r="Z29" s="719">
        <f t="shared" si="14"/>
        <v>0</v>
      </c>
      <c r="AA29" s="720">
        <v>0</v>
      </c>
      <c r="AB29" s="719">
        <f t="shared" si="15"/>
        <v>0</v>
      </c>
      <c r="AC29" s="721">
        <v>0</v>
      </c>
      <c r="AD29" s="719">
        <f t="shared" si="16"/>
        <v>0</v>
      </c>
      <c r="AE29" s="721">
        <v>0</v>
      </c>
      <c r="AF29" s="719">
        <f t="shared" si="17"/>
        <v>0</v>
      </c>
      <c r="AG29" s="721">
        <v>0</v>
      </c>
      <c r="AH29" s="719">
        <f t="shared" si="18"/>
        <v>0</v>
      </c>
      <c r="AI29" s="721"/>
      <c r="AJ29" s="719">
        <f t="shared" si="19"/>
        <v>0</v>
      </c>
      <c r="AK29" s="722"/>
      <c r="AL29" s="719">
        <f t="shared" si="20"/>
        <v>0</v>
      </c>
      <c r="AM29" s="721"/>
      <c r="AN29" s="719">
        <f t="shared" si="21"/>
        <v>0</v>
      </c>
      <c r="AO29" s="722"/>
      <c r="AP29" s="719">
        <f t="shared" si="22"/>
        <v>0</v>
      </c>
      <c r="AQ29" s="721"/>
      <c r="AR29" s="719">
        <f t="shared" si="23"/>
        <v>0</v>
      </c>
      <c r="AS29" s="721">
        <v>0</v>
      </c>
      <c r="AT29" s="719">
        <f t="shared" si="24"/>
        <v>0</v>
      </c>
      <c r="AU29" s="722">
        <v>0</v>
      </c>
      <c r="AV29" s="719">
        <f t="shared" si="25"/>
        <v>0</v>
      </c>
      <c r="AW29" s="722"/>
      <c r="AX29" s="719">
        <f t="shared" si="26"/>
        <v>0</v>
      </c>
      <c r="AY29" s="722"/>
      <c r="AZ29" s="719">
        <f t="shared" si="27"/>
        <v>0</v>
      </c>
      <c r="BA29" s="721"/>
      <c r="BB29" s="719">
        <f t="shared" si="28"/>
        <v>0</v>
      </c>
      <c r="BC29" s="721"/>
      <c r="BD29" s="719">
        <f t="shared" si="29"/>
        <v>0</v>
      </c>
      <c r="BE29" s="721"/>
      <c r="BF29" s="719">
        <f t="shared" si="30"/>
        <v>0</v>
      </c>
      <c r="BG29" s="721">
        <v>0</v>
      </c>
      <c r="BH29" s="719">
        <f t="shared" si="31"/>
        <v>0</v>
      </c>
      <c r="BI29" s="721">
        <v>0</v>
      </c>
      <c r="BJ29" s="723">
        <v>0</v>
      </c>
      <c r="BK29" s="668">
        <f t="shared" si="4"/>
        <v>0</v>
      </c>
      <c r="BL29" s="668">
        <f t="shared" si="5"/>
        <v>0</v>
      </c>
      <c r="BM29" s="724" t="s">
        <v>302</v>
      </c>
      <c r="BO29" s="726"/>
      <c r="BP29" s="726"/>
      <c r="BQ29" s="726"/>
      <c r="BR29" s="726"/>
      <c r="BS29" s="726">
        <f t="shared" si="6"/>
        <v>0</v>
      </c>
      <c r="BT29" s="726">
        <f>BL29</f>
        <v>0</v>
      </c>
      <c r="BU29" s="726"/>
      <c r="BV29" s="726">
        <f t="shared" si="7"/>
        <v>0</v>
      </c>
      <c r="BW29" s="727">
        <f t="shared" si="8"/>
        <v>0</v>
      </c>
    </row>
    <row r="30" spans="1:75" ht="31.5">
      <c r="A30" s="256"/>
      <c r="B30" s="210"/>
      <c r="C30" s="272" t="s">
        <v>844</v>
      </c>
      <c r="D30" s="134" t="s">
        <v>716</v>
      </c>
      <c r="E30" s="135" t="s">
        <v>527</v>
      </c>
      <c r="F30" s="286">
        <v>250000</v>
      </c>
      <c r="G30" s="262">
        <f t="shared" si="9"/>
        <v>0</v>
      </c>
      <c r="H30" s="286">
        <f>G30*F30</f>
        <v>0</v>
      </c>
      <c r="I30" s="257">
        <f>H30*0.2</f>
        <v>0</v>
      </c>
      <c r="J30" s="229">
        <f>H30*0.8</f>
        <v>0</v>
      </c>
      <c r="K30" s="229"/>
      <c r="L30" s="229"/>
      <c r="M30" s="229"/>
      <c r="N30" s="229"/>
      <c r="O30" s="229"/>
      <c r="P30" s="261"/>
      <c r="Q30" s="261"/>
      <c r="R30" s="261"/>
      <c r="S30" s="259"/>
      <c r="T30" s="259">
        <f>G30</f>
        <v>0</v>
      </c>
      <c r="U30" s="259"/>
      <c r="V30" s="259"/>
      <c r="W30" s="260">
        <f>S30*F30</f>
        <v>0</v>
      </c>
      <c r="X30" s="260">
        <f>T30*F30</f>
        <v>0</v>
      </c>
      <c r="Y30" s="260">
        <f>U30*F30</f>
        <v>0</v>
      </c>
      <c r="Z30" s="260">
        <f>V30*F30</f>
        <v>0</v>
      </c>
      <c r="AA30" s="287">
        <v>0</v>
      </c>
      <c r="AB30" s="260">
        <f>AA30*F30</f>
        <v>0</v>
      </c>
      <c r="AC30" s="258"/>
      <c r="AD30" s="260">
        <f>AC30*F30</f>
        <v>0</v>
      </c>
      <c r="AE30" s="258"/>
      <c r="AF30" s="260">
        <f>AE30*F30</f>
        <v>0</v>
      </c>
      <c r="AG30" s="258"/>
      <c r="AH30" s="260">
        <f>AG30*F30</f>
        <v>0</v>
      </c>
      <c r="AI30" s="258"/>
      <c r="AJ30" s="260">
        <f>AI30*F30</f>
        <v>0</v>
      </c>
      <c r="AK30" s="253">
        <v>0</v>
      </c>
      <c r="AL30" s="260">
        <f>AK30*F30</f>
        <v>0</v>
      </c>
      <c r="AM30" s="258"/>
      <c r="AN30" s="260">
        <f>AM30*F30</f>
        <v>0</v>
      </c>
      <c r="AO30" s="253"/>
      <c r="AP30" s="260">
        <f>AO30*F30</f>
        <v>0</v>
      </c>
      <c r="AQ30" s="258"/>
      <c r="AR30" s="260">
        <f>AQ30*F30</f>
        <v>0</v>
      </c>
      <c r="AS30" s="258"/>
      <c r="AT30" s="260">
        <f>AS30*F30</f>
        <v>0</v>
      </c>
      <c r="AU30" s="253"/>
      <c r="AV30" s="260">
        <f>AU30*F30</f>
        <v>0</v>
      </c>
      <c r="AW30" s="253"/>
      <c r="AX30" s="260">
        <f>AW30*F30</f>
        <v>0</v>
      </c>
      <c r="AY30" s="253"/>
      <c r="AZ30" s="260">
        <f>AY30*F30</f>
        <v>0</v>
      </c>
      <c r="BA30" s="258"/>
      <c r="BB30" s="260">
        <f>BA30*F30</f>
        <v>0</v>
      </c>
      <c r="BC30" s="258"/>
      <c r="BD30" s="260">
        <f>BC30*F30</f>
        <v>0</v>
      </c>
      <c r="BE30" s="258"/>
      <c r="BF30" s="260">
        <f>BE30*F30</f>
        <v>0</v>
      </c>
      <c r="BG30" s="258"/>
      <c r="BH30" s="260">
        <f>BG30*F30</f>
        <v>0</v>
      </c>
      <c r="BI30" s="258">
        <v>0</v>
      </c>
      <c r="BJ30" s="260">
        <f>BI30*F30</f>
        <v>0</v>
      </c>
      <c r="BK30" s="202">
        <f t="shared" si="4"/>
        <v>0</v>
      </c>
      <c r="BL30" s="202">
        <f t="shared" si="5"/>
        <v>0</v>
      </c>
      <c r="BM30" s="159" t="s">
        <v>216</v>
      </c>
      <c r="BO30" s="254"/>
      <c r="BP30" s="254"/>
      <c r="BQ30" s="254"/>
      <c r="BR30" s="254"/>
      <c r="BS30" s="254">
        <f t="shared" si="6"/>
        <v>0</v>
      </c>
      <c r="BT30" s="254"/>
      <c r="BU30" s="254"/>
      <c r="BV30" s="254">
        <f t="shared" si="7"/>
        <v>0</v>
      </c>
      <c r="BW30" s="255">
        <f t="shared" si="8"/>
        <v>0</v>
      </c>
    </row>
    <row r="31" spans="1:75" s="524" customFormat="1" ht="31.5">
      <c r="A31" s="288"/>
      <c r="B31" s="519"/>
      <c r="C31" s="272" t="s">
        <v>845</v>
      </c>
      <c r="D31" s="520" t="s">
        <v>969</v>
      </c>
      <c r="E31" s="274" t="s">
        <v>79</v>
      </c>
      <c r="F31" s="274">
        <v>5000</v>
      </c>
      <c r="G31" s="211">
        <f t="shared" ref="G31:H33" si="36">BK31</f>
        <v>2010</v>
      </c>
      <c r="H31" s="211">
        <f t="shared" si="36"/>
        <v>10074000</v>
      </c>
      <c r="I31" s="519">
        <f>H31*0.1</f>
        <v>1007400</v>
      </c>
      <c r="J31" s="521">
        <f>H31*0.8</f>
        <v>8059200</v>
      </c>
      <c r="K31" s="521"/>
      <c r="L31" s="521"/>
      <c r="M31" s="521"/>
      <c r="N31" s="521"/>
      <c r="O31" s="521"/>
      <c r="P31" s="522"/>
      <c r="Q31" s="522">
        <f>H31*0.1</f>
        <v>1007400</v>
      </c>
      <c r="R31" s="522"/>
      <c r="S31" s="212">
        <f>G31*0.25</f>
        <v>502.5</v>
      </c>
      <c r="T31" s="212">
        <f>G31*0.25</f>
        <v>502.5</v>
      </c>
      <c r="U31" s="212">
        <f>G31*0.25</f>
        <v>502.5</v>
      </c>
      <c r="V31" s="212">
        <f>G31*0.25</f>
        <v>502.5</v>
      </c>
      <c r="W31" s="211">
        <f>S31*F31</f>
        <v>2512500</v>
      </c>
      <c r="X31" s="211">
        <f>T31*F31</f>
        <v>2512500</v>
      </c>
      <c r="Y31" s="211">
        <f>U31*F31</f>
        <v>2512500</v>
      </c>
      <c r="Z31" s="211">
        <f>V31*F31</f>
        <v>2512500</v>
      </c>
      <c r="AA31" s="287">
        <v>100</v>
      </c>
      <c r="AB31" s="211">
        <f>AA31*F31</f>
        <v>500000</v>
      </c>
      <c r="AC31" s="539">
        <v>80</v>
      </c>
      <c r="AD31" s="211">
        <f>AC31*F31</f>
        <v>400000</v>
      </c>
      <c r="AE31" s="523">
        <v>110</v>
      </c>
      <c r="AF31" s="211">
        <f>AE31*F31</f>
        <v>550000</v>
      </c>
      <c r="AG31" s="523">
        <v>140</v>
      </c>
      <c r="AH31" s="211">
        <f>AG31*F31</f>
        <v>700000</v>
      </c>
      <c r="AI31" s="523">
        <v>90</v>
      </c>
      <c r="AJ31" s="211">
        <f>AI31*F31</f>
        <v>450000</v>
      </c>
      <c r="AK31" s="519">
        <v>100</v>
      </c>
      <c r="AL31" s="211">
        <f>AK31*F31</f>
        <v>500000</v>
      </c>
      <c r="AM31" s="523">
        <v>110</v>
      </c>
      <c r="AN31" s="211">
        <f>AM31*F31</f>
        <v>550000</v>
      </c>
      <c r="AO31" s="519">
        <v>130</v>
      </c>
      <c r="AP31" s="211">
        <f>AO31*F31</f>
        <v>650000</v>
      </c>
      <c r="AQ31" s="523">
        <v>50</v>
      </c>
      <c r="AR31" s="211">
        <f>AQ31*F31</f>
        <v>250000</v>
      </c>
      <c r="AS31" s="523">
        <v>120</v>
      </c>
      <c r="AT31" s="510">
        <f>(AS31*F31)+24000</f>
        <v>624000</v>
      </c>
      <c r="AU31" s="519">
        <v>130</v>
      </c>
      <c r="AV31" s="211">
        <f>AU31*F31</f>
        <v>650000</v>
      </c>
      <c r="AW31" s="519">
        <v>120</v>
      </c>
      <c r="AX31" s="211">
        <f>AW31*F31</f>
        <v>600000</v>
      </c>
      <c r="AY31" s="519">
        <v>130</v>
      </c>
      <c r="AZ31" s="211">
        <f>AY31*F31</f>
        <v>650000</v>
      </c>
      <c r="BA31" s="523">
        <v>150</v>
      </c>
      <c r="BB31" s="211">
        <f>BA31*F31</f>
        <v>750000</v>
      </c>
      <c r="BC31" s="523">
        <v>150</v>
      </c>
      <c r="BD31" s="211">
        <f>BC31*F31</f>
        <v>750000</v>
      </c>
      <c r="BE31" s="523">
        <v>130</v>
      </c>
      <c r="BF31" s="211">
        <f>BE31*F31</f>
        <v>650000</v>
      </c>
      <c r="BG31" s="523">
        <v>170</v>
      </c>
      <c r="BH31" s="211">
        <f>BG31*F31</f>
        <v>850000</v>
      </c>
      <c r="BI31" s="523"/>
      <c r="BJ31" s="211">
        <f>BI31*F31</f>
        <v>0</v>
      </c>
      <c r="BK31" s="211">
        <f t="shared" si="4"/>
        <v>2010</v>
      </c>
      <c r="BL31" s="211">
        <f t="shared" si="5"/>
        <v>10074000</v>
      </c>
      <c r="BM31" s="274" t="s">
        <v>219</v>
      </c>
      <c r="BO31" s="525"/>
      <c r="BP31" s="525"/>
      <c r="BQ31" s="525">
        <f>BL31</f>
        <v>10074000</v>
      </c>
      <c r="BR31" s="525"/>
      <c r="BS31" s="525">
        <f t="shared" si="6"/>
        <v>10074000</v>
      </c>
      <c r="BT31" s="525"/>
      <c r="BU31" s="525"/>
      <c r="BV31" s="525">
        <f t="shared" si="7"/>
        <v>0</v>
      </c>
      <c r="BW31" s="526">
        <f t="shared" si="8"/>
        <v>10074000</v>
      </c>
    </row>
    <row r="32" spans="1:75" s="524" customFormat="1" ht="45.75" customHeight="1">
      <c r="A32" s="288"/>
      <c r="B32" s="519"/>
      <c r="C32" s="272"/>
      <c r="D32" s="520" t="s">
        <v>1015</v>
      </c>
      <c r="E32" s="274" t="s">
        <v>991</v>
      </c>
      <c r="F32" s="274">
        <v>6000</v>
      </c>
      <c r="G32" s="211">
        <f t="shared" si="36"/>
        <v>1020</v>
      </c>
      <c r="H32" s="211">
        <f t="shared" si="36"/>
        <v>7130000</v>
      </c>
      <c r="I32" s="519"/>
      <c r="J32" s="521"/>
      <c r="K32" s="521"/>
      <c r="L32" s="521"/>
      <c r="M32" s="521">
        <f>H32</f>
        <v>7130000</v>
      </c>
      <c r="N32" s="521"/>
      <c r="O32" s="521"/>
      <c r="P32" s="522"/>
      <c r="Q32" s="522"/>
      <c r="R32" s="522"/>
      <c r="S32" s="212"/>
      <c r="T32" s="212"/>
      <c r="U32" s="212"/>
      <c r="V32" s="212"/>
      <c r="W32" s="211"/>
      <c r="X32" s="211"/>
      <c r="Y32" s="211"/>
      <c r="Z32" s="211"/>
      <c r="AA32" s="287">
        <v>60</v>
      </c>
      <c r="AB32" s="211">
        <f>AA32*F32</f>
        <v>360000</v>
      </c>
      <c r="AC32" s="539">
        <v>60</v>
      </c>
      <c r="AD32" s="211">
        <f>AC32*F32</f>
        <v>360000</v>
      </c>
      <c r="AE32" s="523">
        <v>60</v>
      </c>
      <c r="AF32" s="211">
        <f>AE32*F32</f>
        <v>360000</v>
      </c>
      <c r="AG32" s="523">
        <v>60</v>
      </c>
      <c r="AH32" s="211">
        <f>AG32*F32</f>
        <v>360000</v>
      </c>
      <c r="AI32" s="523">
        <v>60</v>
      </c>
      <c r="AJ32" s="211">
        <f>AI32*F32</f>
        <v>360000</v>
      </c>
      <c r="AK32" s="519">
        <v>60</v>
      </c>
      <c r="AL32" s="211">
        <f>AK32*F32</f>
        <v>360000</v>
      </c>
      <c r="AM32" s="523">
        <v>60</v>
      </c>
      <c r="AN32" s="211">
        <f>AM32*F32</f>
        <v>360000</v>
      </c>
      <c r="AO32" s="519">
        <v>60</v>
      </c>
      <c r="AP32" s="211">
        <f>AO32*F32</f>
        <v>360000</v>
      </c>
      <c r="AQ32" s="523">
        <v>60</v>
      </c>
      <c r="AR32" s="211">
        <f>AQ32*F32</f>
        <v>360000</v>
      </c>
      <c r="AS32" s="523">
        <v>60</v>
      </c>
      <c r="AT32" s="510">
        <f>(AS32*F32)</f>
        <v>360000</v>
      </c>
      <c r="AU32" s="519">
        <v>60</v>
      </c>
      <c r="AV32" s="211">
        <f>AU32*F32+1010000</f>
        <v>1370000</v>
      </c>
      <c r="AW32" s="519">
        <v>60</v>
      </c>
      <c r="AX32" s="211">
        <f>AW32*F32</f>
        <v>360000</v>
      </c>
      <c r="AY32" s="519">
        <v>60</v>
      </c>
      <c r="AZ32" s="211">
        <f>AY32*F32</f>
        <v>360000</v>
      </c>
      <c r="BA32" s="523">
        <v>60</v>
      </c>
      <c r="BB32" s="211">
        <f>BA32*F32</f>
        <v>360000</v>
      </c>
      <c r="BC32" s="523">
        <v>60</v>
      </c>
      <c r="BD32" s="211">
        <f>BC32*F32</f>
        <v>360000</v>
      </c>
      <c r="BE32" s="523">
        <v>60</v>
      </c>
      <c r="BF32" s="211">
        <f>BE32*F32</f>
        <v>360000</v>
      </c>
      <c r="BG32" s="523">
        <v>60</v>
      </c>
      <c r="BH32" s="211">
        <f>BG32*F32</f>
        <v>360000</v>
      </c>
      <c r="BI32" s="523"/>
      <c r="BJ32" s="211">
        <f>BI32*F32</f>
        <v>0</v>
      </c>
      <c r="BK32" s="211">
        <f t="shared" si="4"/>
        <v>1020</v>
      </c>
      <c r="BL32" s="211">
        <f t="shared" si="5"/>
        <v>7130000</v>
      </c>
      <c r="BM32" s="274" t="s">
        <v>302</v>
      </c>
      <c r="BO32" s="525"/>
      <c r="BP32" s="525"/>
      <c r="BQ32" s="525"/>
      <c r="BR32" s="525"/>
      <c r="BS32" s="525"/>
      <c r="BT32" s="525"/>
      <c r="BU32" s="525"/>
      <c r="BV32" s="525"/>
      <c r="BW32" s="526"/>
    </row>
    <row r="33" spans="1:75" s="524" customFormat="1" ht="36.75" customHeight="1">
      <c r="A33" s="288"/>
      <c r="B33" s="519"/>
      <c r="C33" s="272"/>
      <c r="D33" s="520" t="s">
        <v>1016</v>
      </c>
      <c r="E33" s="274"/>
      <c r="F33" s="274">
        <v>248000</v>
      </c>
      <c r="G33" s="211">
        <f t="shared" si="36"/>
        <v>3</v>
      </c>
      <c r="H33" s="211">
        <f t="shared" si="36"/>
        <v>1248000</v>
      </c>
      <c r="I33" s="519"/>
      <c r="J33" s="521"/>
      <c r="K33" s="521">
        <f>H33</f>
        <v>1248000</v>
      </c>
      <c r="L33" s="521"/>
      <c r="M33" s="521"/>
      <c r="N33" s="521"/>
      <c r="O33" s="521"/>
      <c r="P33" s="522"/>
      <c r="Q33" s="522"/>
      <c r="R33" s="522"/>
      <c r="S33" s="212"/>
      <c r="T33" s="212"/>
      <c r="U33" s="212"/>
      <c r="V33" s="212">
        <f>G33</f>
        <v>3</v>
      </c>
      <c r="W33" s="211"/>
      <c r="X33" s="211"/>
      <c r="Y33" s="211"/>
      <c r="Z33" s="211">
        <f>H33</f>
        <v>1248000</v>
      </c>
      <c r="AA33" s="287"/>
      <c r="AB33" s="211"/>
      <c r="AC33" s="539"/>
      <c r="AD33" s="211"/>
      <c r="AE33" s="523"/>
      <c r="AF33" s="211"/>
      <c r="AG33" s="523"/>
      <c r="AH33" s="211"/>
      <c r="AI33" s="523"/>
      <c r="AJ33" s="211"/>
      <c r="AK33" s="519"/>
      <c r="AL33" s="211"/>
      <c r="AM33" s="523">
        <v>3</v>
      </c>
      <c r="AN33" s="211">
        <f>548000+700000</f>
        <v>1248000</v>
      </c>
      <c r="AO33" s="519"/>
      <c r="AP33" s="211"/>
      <c r="AQ33" s="523"/>
      <c r="AR33" s="211"/>
      <c r="AS33" s="523"/>
      <c r="AT33" s="510"/>
      <c r="AU33" s="519"/>
      <c r="AV33" s="211"/>
      <c r="AW33" s="519"/>
      <c r="AX33" s="211"/>
      <c r="AY33" s="519"/>
      <c r="AZ33" s="211"/>
      <c r="BA33" s="523"/>
      <c r="BB33" s="211"/>
      <c r="BC33" s="523"/>
      <c r="BD33" s="211"/>
      <c r="BE33" s="523"/>
      <c r="BF33" s="211"/>
      <c r="BG33" s="523"/>
      <c r="BH33" s="211"/>
      <c r="BI33" s="523"/>
      <c r="BJ33" s="211"/>
      <c r="BK33" s="211">
        <f t="shared" ref="BK33" si="37">AA33+AC33+AE33+AG33+AI33+AK33+AM33+AO33+AQ33+AS33+AU33+AW33+AY33+BA33+BC33+BE33+BG33+BI33</f>
        <v>3</v>
      </c>
      <c r="BL33" s="211">
        <f t="shared" ref="BL33" si="38">AB33+AD33+AF33+AH33+AJ33+AL33+AN33+AP33+AR33+AT33+AV33+AX33+AZ33+BB33+BD33+BF33+BH33+BJ33</f>
        <v>1248000</v>
      </c>
      <c r="BM33" s="274" t="s">
        <v>1008</v>
      </c>
      <c r="BO33" s="525"/>
      <c r="BP33" s="525"/>
      <c r="BQ33" s="525"/>
      <c r="BR33" s="525"/>
      <c r="BS33" s="525"/>
      <c r="BT33" s="525"/>
      <c r="BU33" s="525"/>
      <c r="BV33" s="525"/>
      <c r="BW33" s="526"/>
    </row>
    <row r="34" spans="1:75" s="265" customFormat="1">
      <c r="A34" s="263"/>
      <c r="B34" s="213"/>
      <c r="C34" s="473"/>
      <c r="D34" s="158" t="s">
        <v>3</v>
      </c>
      <c r="E34" s="177"/>
      <c r="F34" s="177"/>
      <c r="G34" s="245">
        <f>SUM(G19:G33)</f>
        <v>3103</v>
      </c>
      <c r="H34" s="245">
        <f t="shared" ref="H34:BJ34" si="39">SUM(H19:H33)</f>
        <v>90097644</v>
      </c>
      <c r="I34" s="245">
        <f t="shared" si="39"/>
        <v>3786528.8000000003</v>
      </c>
      <c r="J34" s="245">
        <f t="shared" si="39"/>
        <v>19175715.200000003</v>
      </c>
      <c r="K34" s="245">
        <f t="shared" si="39"/>
        <v>1248000</v>
      </c>
      <c r="L34" s="245">
        <f t="shared" si="39"/>
        <v>0</v>
      </c>
      <c r="M34" s="245">
        <f t="shared" si="39"/>
        <v>64880000</v>
      </c>
      <c r="N34" s="245">
        <f t="shared" si="39"/>
        <v>0</v>
      </c>
      <c r="O34" s="245">
        <f t="shared" si="39"/>
        <v>0</v>
      </c>
      <c r="P34" s="245">
        <f t="shared" si="39"/>
        <v>0</v>
      </c>
      <c r="Q34" s="245">
        <f t="shared" si="39"/>
        <v>1007400</v>
      </c>
      <c r="R34" s="245">
        <f t="shared" si="39"/>
        <v>0</v>
      </c>
      <c r="S34" s="245">
        <f t="shared" si="39"/>
        <v>507.75</v>
      </c>
      <c r="T34" s="245">
        <f t="shared" si="39"/>
        <v>507.75</v>
      </c>
      <c r="U34" s="245">
        <f t="shared" si="39"/>
        <v>507.75</v>
      </c>
      <c r="V34" s="245">
        <f t="shared" si="39"/>
        <v>750.75</v>
      </c>
      <c r="W34" s="245">
        <f t="shared" si="39"/>
        <v>4875000</v>
      </c>
      <c r="X34" s="245">
        <f t="shared" si="39"/>
        <v>4875000</v>
      </c>
      <c r="Y34" s="245">
        <f t="shared" si="39"/>
        <v>4875000</v>
      </c>
      <c r="Z34" s="245">
        <f t="shared" si="39"/>
        <v>10568644</v>
      </c>
      <c r="AA34" s="245">
        <f t="shared" si="39"/>
        <v>164</v>
      </c>
      <c r="AB34" s="245">
        <f t="shared" si="39"/>
        <v>7982000</v>
      </c>
      <c r="AC34" s="245">
        <f t="shared" si="39"/>
        <v>144</v>
      </c>
      <c r="AD34" s="245">
        <f t="shared" si="39"/>
        <v>4690644</v>
      </c>
      <c r="AE34" s="245">
        <f t="shared" si="39"/>
        <v>174</v>
      </c>
      <c r="AF34" s="245">
        <f t="shared" si="39"/>
        <v>7034000</v>
      </c>
      <c r="AG34" s="245">
        <f t="shared" si="39"/>
        <v>204</v>
      </c>
      <c r="AH34" s="245">
        <f t="shared" si="39"/>
        <v>8916000</v>
      </c>
      <c r="AI34" s="245">
        <f t="shared" si="39"/>
        <v>154</v>
      </c>
      <c r="AJ34" s="245">
        <f t="shared" si="39"/>
        <v>4127000</v>
      </c>
      <c r="AK34" s="245">
        <f t="shared" si="39"/>
        <v>168</v>
      </c>
      <c r="AL34" s="245">
        <f t="shared" si="39"/>
        <v>4828000</v>
      </c>
      <c r="AM34" s="245">
        <f t="shared" si="39"/>
        <v>177</v>
      </c>
      <c r="AN34" s="245">
        <f t="shared" si="39"/>
        <v>8198000</v>
      </c>
      <c r="AO34" s="245">
        <f t="shared" si="39"/>
        <v>193</v>
      </c>
      <c r="AP34" s="245">
        <f t="shared" si="39"/>
        <v>3810000</v>
      </c>
      <c r="AQ34" s="245">
        <f t="shared" si="39"/>
        <v>114</v>
      </c>
      <c r="AR34" s="245">
        <f t="shared" si="39"/>
        <v>3601000</v>
      </c>
      <c r="AS34" s="245">
        <f t="shared" si="39"/>
        <v>184</v>
      </c>
      <c r="AT34" s="245">
        <f t="shared" si="39"/>
        <v>4422000</v>
      </c>
      <c r="AU34" s="245">
        <f t="shared" si="39"/>
        <v>194</v>
      </c>
      <c r="AV34" s="245">
        <f t="shared" si="39"/>
        <v>6842000</v>
      </c>
      <c r="AW34" s="245">
        <f t="shared" si="39"/>
        <v>184</v>
      </c>
      <c r="AX34" s="245">
        <f t="shared" si="39"/>
        <v>3364000</v>
      </c>
      <c r="AY34" s="245">
        <f t="shared" si="39"/>
        <v>194</v>
      </c>
      <c r="AZ34" s="245">
        <f t="shared" si="39"/>
        <v>3972000</v>
      </c>
      <c r="BA34" s="245">
        <f t="shared" si="39"/>
        <v>214</v>
      </c>
      <c r="BB34" s="245">
        <f t="shared" si="39"/>
        <v>5165000</v>
      </c>
      <c r="BC34" s="245">
        <f t="shared" si="39"/>
        <v>214</v>
      </c>
      <c r="BD34" s="245">
        <f t="shared" si="39"/>
        <v>5080000</v>
      </c>
      <c r="BE34" s="245">
        <f t="shared" si="39"/>
        <v>193</v>
      </c>
      <c r="BF34" s="245">
        <f t="shared" si="39"/>
        <v>4410000</v>
      </c>
      <c r="BG34" s="245">
        <f t="shared" si="39"/>
        <v>234</v>
      </c>
      <c r="BH34" s="245">
        <f t="shared" si="39"/>
        <v>3656000</v>
      </c>
      <c r="BI34" s="245">
        <f t="shared" si="39"/>
        <v>0</v>
      </c>
      <c r="BJ34" s="245">
        <f t="shared" si="39"/>
        <v>0</v>
      </c>
      <c r="BK34" s="307">
        <f>SUM(BK19:BK33)</f>
        <v>3103</v>
      </c>
      <c r="BL34" s="307">
        <f>SUM(BL19:BL33)</f>
        <v>90097644</v>
      </c>
      <c r="BM34" s="245"/>
      <c r="BN34" s="245"/>
      <c r="BO34" s="245">
        <f t="shared" ref="BO34:BW34" si="40">SUM(BO19:BO31)</f>
        <v>13895644</v>
      </c>
      <c r="BP34" s="245">
        <f t="shared" si="40"/>
        <v>0</v>
      </c>
      <c r="BQ34" s="245">
        <f t="shared" si="40"/>
        <v>10074000</v>
      </c>
      <c r="BR34" s="245">
        <f t="shared" si="40"/>
        <v>0</v>
      </c>
      <c r="BS34" s="245">
        <f t="shared" si="40"/>
        <v>23969644</v>
      </c>
      <c r="BT34" s="245">
        <f t="shared" si="40"/>
        <v>0</v>
      </c>
      <c r="BU34" s="245">
        <f t="shared" si="40"/>
        <v>42870000</v>
      </c>
      <c r="BV34" s="245">
        <f t="shared" si="40"/>
        <v>42870000</v>
      </c>
      <c r="BW34" s="245">
        <f t="shared" si="40"/>
        <v>66839644</v>
      </c>
    </row>
    <row r="35" spans="1:75" s="139" customFormat="1" ht="31.5">
      <c r="A35" s="204"/>
      <c r="B35" s="196">
        <v>21340</v>
      </c>
      <c r="C35" s="191"/>
      <c r="D35" s="228" t="s">
        <v>717</v>
      </c>
      <c r="E35" s="258"/>
      <c r="F35" s="229"/>
      <c r="G35" s="206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180"/>
      <c r="T35" s="180"/>
      <c r="U35" s="180"/>
      <c r="V35" s="180"/>
      <c r="W35" s="202"/>
      <c r="X35" s="202"/>
      <c r="Y35" s="202"/>
      <c r="Z35" s="202"/>
      <c r="AA35" s="180"/>
      <c r="AB35" s="202"/>
      <c r="AC35" s="180"/>
      <c r="AD35" s="202"/>
      <c r="AE35" s="180"/>
      <c r="AF35" s="202"/>
      <c r="AG35" s="180"/>
      <c r="AH35" s="202"/>
      <c r="AI35" s="180"/>
      <c r="AJ35" s="202"/>
      <c r="AK35" s="180"/>
      <c r="AL35" s="202"/>
      <c r="AM35" s="180"/>
      <c r="AN35" s="202"/>
      <c r="AO35" s="180"/>
      <c r="AP35" s="202"/>
      <c r="AQ35" s="180"/>
      <c r="AR35" s="202"/>
      <c r="AS35" s="180"/>
      <c r="AT35" s="202"/>
      <c r="AU35" s="180"/>
      <c r="AV35" s="202"/>
      <c r="AW35" s="180"/>
      <c r="AX35" s="202"/>
      <c r="AY35" s="202"/>
      <c r="AZ35" s="202"/>
      <c r="BA35" s="180"/>
      <c r="BB35" s="202"/>
      <c r="BC35" s="180"/>
      <c r="BD35" s="202"/>
      <c r="BE35" s="180"/>
      <c r="BF35" s="202"/>
      <c r="BG35" s="180"/>
      <c r="BH35" s="202"/>
      <c r="BI35" s="180"/>
      <c r="BJ35" s="202"/>
      <c r="BK35" s="180"/>
      <c r="BL35" s="202"/>
      <c r="BM35" s="470"/>
      <c r="BN35" s="219"/>
      <c r="BO35" s="207">
        <f>H35</f>
        <v>0</v>
      </c>
      <c r="BP35" s="163"/>
      <c r="BQ35" s="163"/>
      <c r="BR35" s="163"/>
      <c r="BS35" s="163">
        <f>BO35+BP35+BQ35+BR35</f>
        <v>0</v>
      </c>
      <c r="BT35" s="163"/>
      <c r="BU35" s="163"/>
      <c r="BV35" s="163">
        <f>BT35+BU35</f>
        <v>0</v>
      </c>
      <c r="BW35" s="203">
        <f>BS35+BV35</f>
        <v>0</v>
      </c>
    </row>
    <row r="36" spans="1:75" s="139" customFormat="1">
      <c r="A36" s="204"/>
      <c r="B36" s="196"/>
      <c r="C36" s="272" t="s">
        <v>846</v>
      </c>
      <c r="D36" s="196" t="s">
        <v>826</v>
      </c>
      <c r="E36" s="258" t="s">
        <v>76</v>
      </c>
      <c r="F36" s="229">
        <v>6000</v>
      </c>
      <c r="G36" s="211">
        <f>BK36</f>
        <v>100</v>
      </c>
      <c r="H36" s="207">
        <f>G36*F36</f>
        <v>600000</v>
      </c>
      <c r="I36" s="207">
        <f>H36*0.1</f>
        <v>60000</v>
      </c>
      <c r="J36" s="207">
        <f>H36*0.8</f>
        <v>480000</v>
      </c>
      <c r="K36" s="207"/>
      <c r="L36" s="207"/>
      <c r="M36" s="207"/>
      <c r="N36" s="207"/>
      <c r="O36" s="207"/>
      <c r="P36" s="207"/>
      <c r="Q36" s="207">
        <f>H36*0.1</f>
        <v>60000</v>
      </c>
      <c r="R36" s="207"/>
      <c r="S36" s="212">
        <f>G36*0.15</f>
        <v>15</v>
      </c>
      <c r="T36" s="212">
        <f>G36*0.7</f>
        <v>70</v>
      </c>
      <c r="U36" s="212">
        <f>G36:G36*0.15</f>
        <v>15</v>
      </c>
      <c r="V36" s="212"/>
      <c r="W36" s="211">
        <f>S36*F36</f>
        <v>90000</v>
      </c>
      <c r="X36" s="211">
        <f>T36*F36</f>
        <v>420000</v>
      </c>
      <c r="Y36" s="211">
        <f>U36*F36</f>
        <v>90000</v>
      </c>
      <c r="Z36" s="211">
        <f>V36*F36</f>
        <v>0</v>
      </c>
      <c r="AA36" s="180">
        <v>3</v>
      </c>
      <c r="AB36" s="202">
        <f>AA36*F36</f>
        <v>18000</v>
      </c>
      <c r="AC36" s="180">
        <v>6</v>
      </c>
      <c r="AD36" s="202">
        <f>AC36*F36</f>
        <v>36000</v>
      </c>
      <c r="AE36" s="180">
        <v>7</v>
      </c>
      <c r="AF36" s="202">
        <f>AE36*F36</f>
        <v>42000</v>
      </c>
      <c r="AG36" s="180">
        <v>7</v>
      </c>
      <c r="AH36" s="202">
        <f>AG36*F36</f>
        <v>42000</v>
      </c>
      <c r="AI36" s="180">
        <v>4</v>
      </c>
      <c r="AJ36" s="202">
        <f>AI36*F36</f>
        <v>24000</v>
      </c>
      <c r="AK36" s="180">
        <v>2</v>
      </c>
      <c r="AL36" s="202">
        <f>AK36*F36</f>
        <v>12000</v>
      </c>
      <c r="AM36" s="180">
        <v>7</v>
      </c>
      <c r="AN36" s="202">
        <f>AM36*F36</f>
        <v>42000</v>
      </c>
      <c r="AO36" s="180">
        <v>6</v>
      </c>
      <c r="AP36" s="202">
        <f>AO36*F36</f>
        <v>36000</v>
      </c>
      <c r="AQ36" s="180">
        <v>2</v>
      </c>
      <c r="AR36" s="202">
        <f>AQ36*F36</f>
        <v>12000</v>
      </c>
      <c r="AS36" s="180">
        <v>2</v>
      </c>
      <c r="AT36" s="202">
        <f>AS36*F36</f>
        <v>12000</v>
      </c>
      <c r="AU36" s="180">
        <v>6</v>
      </c>
      <c r="AV36" s="202">
        <f>AU36*F36</f>
        <v>36000</v>
      </c>
      <c r="AW36" s="180">
        <v>3</v>
      </c>
      <c r="AX36" s="202">
        <f>AW36*F36</f>
        <v>18000</v>
      </c>
      <c r="AY36" s="202">
        <v>0</v>
      </c>
      <c r="AZ36" s="202">
        <f>AY36*F36</f>
        <v>0</v>
      </c>
      <c r="BA36" s="180">
        <v>18</v>
      </c>
      <c r="BB36" s="202">
        <f>BA36*F36</f>
        <v>108000</v>
      </c>
      <c r="BC36" s="180">
        <v>7</v>
      </c>
      <c r="BD36" s="202">
        <f>BC36*F36</f>
        <v>42000</v>
      </c>
      <c r="BE36" s="180">
        <v>12</v>
      </c>
      <c r="BF36" s="202">
        <f>BE36*F36</f>
        <v>72000</v>
      </c>
      <c r="BG36" s="180">
        <v>8</v>
      </c>
      <c r="BH36" s="202">
        <f>BG36*F36</f>
        <v>48000</v>
      </c>
      <c r="BI36" s="180"/>
      <c r="BJ36" s="202">
        <f>BI36*F36</f>
        <v>0</v>
      </c>
      <c r="BK36" s="202">
        <f t="shared" ref="BK36:BL40" si="41">AA36+AC36+AE36+AG36+AI36+AK36+AM36+AO36+AQ36+AS36+AU36+AW36+AY36+BA36+BC36+BE36+BG36+BI36</f>
        <v>100</v>
      </c>
      <c r="BL36" s="202">
        <f t="shared" si="41"/>
        <v>600000</v>
      </c>
      <c r="BM36" s="236" t="s">
        <v>222</v>
      </c>
      <c r="BN36" s="219"/>
      <c r="BO36" s="207"/>
      <c r="BP36" s="163"/>
      <c r="BQ36" s="163">
        <f>H36</f>
        <v>600000</v>
      </c>
      <c r="BR36" s="163"/>
      <c r="BS36" s="163">
        <f>BO36+BP36+BQ36+BR36</f>
        <v>600000</v>
      </c>
      <c r="BT36" s="163"/>
      <c r="BU36" s="163"/>
      <c r="BV36" s="163"/>
      <c r="BW36" s="203">
        <f>BS36+BV36</f>
        <v>600000</v>
      </c>
    </row>
    <row r="37" spans="1:75" s="140" customFormat="1" ht="31.5">
      <c r="A37" s="288"/>
      <c r="B37" s="258"/>
      <c r="C37" s="272" t="s">
        <v>847</v>
      </c>
      <c r="D37" s="289" t="s">
        <v>828</v>
      </c>
      <c r="E37" s="258" t="s">
        <v>76</v>
      </c>
      <c r="F37" s="229">
        <v>9000</v>
      </c>
      <c r="G37" s="211">
        <f>BK37</f>
        <v>97</v>
      </c>
      <c r="H37" s="207">
        <f>G37*F37</f>
        <v>873000</v>
      </c>
      <c r="I37" s="207">
        <f>H37*0.1</f>
        <v>87300</v>
      </c>
      <c r="J37" s="207">
        <f>H37*0.8</f>
        <v>698400</v>
      </c>
      <c r="K37" s="207"/>
      <c r="L37" s="207"/>
      <c r="M37" s="207"/>
      <c r="N37" s="207"/>
      <c r="O37" s="207"/>
      <c r="P37" s="207"/>
      <c r="Q37" s="207">
        <f>H37*0.1</f>
        <v>87300</v>
      </c>
      <c r="R37" s="207"/>
      <c r="S37" s="212">
        <f>G37*0.15</f>
        <v>14.549999999999999</v>
      </c>
      <c r="T37" s="212">
        <f>G37*0.7</f>
        <v>67.899999999999991</v>
      </c>
      <c r="U37" s="212">
        <f>G37:G37*0.15</f>
        <v>14.549999999999999</v>
      </c>
      <c r="V37" s="212"/>
      <c r="W37" s="211">
        <f>S37*F37</f>
        <v>130949.99999999999</v>
      </c>
      <c r="X37" s="211">
        <f>T37*F37</f>
        <v>611099.99999999988</v>
      </c>
      <c r="Y37" s="211">
        <f>U37*F37</f>
        <v>130949.99999999999</v>
      </c>
      <c r="Z37" s="211">
        <f>V37*F37</f>
        <v>0</v>
      </c>
      <c r="AA37" s="180">
        <v>3</v>
      </c>
      <c r="AB37" s="202">
        <f>AA37*F37</f>
        <v>27000</v>
      </c>
      <c r="AC37" s="180">
        <v>5</v>
      </c>
      <c r="AD37" s="202">
        <f>AC37*F37</f>
        <v>45000</v>
      </c>
      <c r="AE37" s="180">
        <v>8</v>
      </c>
      <c r="AF37" s="202">
        <f>AE37*F37</f>
        <v>72000</v>
      </c>
      <c r="AG37" s="180">
        <v>12</v>
      </c>
      <c r="AH37" s="202">
        <f>AG37*F37</f>
        <v>108000</v>
      </c>
      <c r="AI37" s="180">
        <v>5</v>
      </c>
      <c r="AJ37" s="202">
        <f>AI37*F37</f>
        <v>45000</v>
      </c>
      <c r="AK37" s="180">
        <v>3</v>
      </c>
      <c r="AL37" s="202">
        <f>AK37*F37</f>
        <v>27000</v>
      </c>
      <c r="AM37" s="180">
        <v>5</v>
      </c>
      <c r="AN37" s="202">
        <f>AM37*F37</f>
        <v>45000</v>
      </c>
      <c r="AO37" s="180">
        <v>5</v>
      </c>
      <c r="AP37" s="202">
        <f>AO37*F37</f>
        <v>45000</v>
      </c>
      <c r="AQ37" s="180">
        <v>4</v>
      </c>
      <c r="AR37" s="202">
        <f>AQ37*F37</f>
        <v>36000</v>
      </c>
      <c r="AS37" s="180">
        <v>5</v>
      </c>
      <c r="AT37" s="202">
        <f>AS37*F37</f>
        <v>45000</v>
      </c>
      <c r="AU37" s="180">
        <v>7</v>
      </c>
      <c r="AV37" s="202">
        <f>AU37*F37</f>
        <v>63000</v>
      </c>
      <c r="AW37" s="180">
        <v>8</v>
      </c>
      <c r="AX37" s="202">
        <f>AW37*F37</f>
        <v>72000</v>
      </c>
      <c r="AY37" s="202">
        <v>7</v>
      </c>
      <c r="AZ37" s="202">
        <f>AY37*F37</f>
        <v>63000</v>
      </c>
      <c r="BA37" s="180">
        <v>8</v>
      </c>
      <c r="BB37" s="202">
        <f>BA37*F37</f>
        <v>72000</v>
      </c>
      <c r="BC37" s="180">
        <v>5</v>
      </c>
      <c r="BD37" s="202">
        <f>BC37*F37</f>
        <v>45000</v>
      </c>
      <c r="BE37" s="180">
        <v>3</v>
      </c>
      <c r="BF37" s="202">
        <f>BE37*F37</f>
        <v>27000</v>
      </c>
      <c r="BG37" s="180">
        <v>4</v>
      </c>
      <c r="BH37" s="202">
        <f>BG37*F37</f>
        <v>36000</v>
      </c>
      <c r="BI37" s="180"/>
      <c r="BJ37" s="202">
        <f>BI37*F37</f>
        <v>0</v>
      </c>
      <c r="BK37" s="202">
        <f t="shared" si="41"/>
        <v>97</v>
      </c>
      <c r="BL37" s="202">
        <f t="shared" si="41"/>
        <v>873000</v>
      </c>
      <c r="BM37" s="290" t="s">
        <v>222</v>
      </c>
      <c r="BN37" s="182"/>
      <c r="BO37" s="207"/>
      <c r="BP37" s="291"/>
      <c r="BQ37" s="291">
        <f>H37</f>
        <v>873000</v>
      </c>
      <c r="BR37" s="291"/>
      <c r="BS37" s="291">
        <f>BO37+BP37+BQ37+BR37</f>
        <v>873000</v>
      </c>
      <c r="BT37" s="291"/>
      <c r="BU37" s="291"/>
      <c r="BV37" s="291"/>
      <c r="BW37" s="292">
        <f>BS37+BV37</f>
        <v>873000</v>
      </c>
    </row>
    <row r="38" spans="1:75" s="140" customFormat="1">
      <c r="A38" s="288"/>
      <c r="B38" s="258"/>
      <c r="C38" s="272" t="s">
        <v>848</v>
      </c>
      <c r="D38" s="289" t="s">
        <v>660</v>
      </c>
      <c r="E38" s="258" t="s">
        <v>76</v>
      </c>
      <c r="F38" s="229">
        <v>9000</v>
      </c>
      <c r="G38" s="206">
        <f>BK38</f>
        <v>5</v>
      </c>
      <c r="H38" s="207">
        <f>G38*F38</f>
        <v>45000</v>
      </c>
      <c r="I38" s="207">
        <f>H38*0.1</f>
        <v>4500</v>
      </c>
      <c r="J38" s="207">
        <f>H38*0.8</f>
        <v>36000</v>
      </c>
      <c r="K38" s="207"/>
      <c r="L38" s="207"/>
      <c r="M38" s="207"/>
      <c r="N38" s="207"/>
      <c r="O38" s="207"/>
      <c r="P38" s="207"/>
      <c r="Q38" s="207">
        <f>H38*0.1</f>
        <v>4500</v>
      </c>
      <c r="R38" s="207"/>
      <c r="S38" s="212">
        <f>G38*0.15</f>
        <v>0.75</v>
      </c>
      <c r="T38" s="212">
        <f>G38*0.7</f>
        <v>3.5</v>
      </c>
      <c r="U38" s="212">
        <f>G38:G38*0.15</f>
        <v>0.75</v>
      </c>
      <c r="V38" s="212"/>
      <c r="W38" s="211">
        <f>S38*F38</f>
        <v>6750</v>
      </c>
      <c r="X38" s="211">
        <f>T38*F38</f>
        <v>31500</v>
      </c>
      <c r="Y38" s="211">
        <f>U38*F38</f>
        <v>6750</v>
      </c>
      <c r="Z38" s="211">
        <f>V38*F38</f>
        <v>0</v>
      </c>
      <c r="AA38" s="180">
        <v>0</v>
      </c>
      <c r="AB38" s="202"/>
      <c r="AC38" s="180"/>
      <c r="AD38" s="202"/>
      <c r="AE38" s="180"/>
      <c r="AF38" s="202"/>
      <c r="AG38" s="180">
        <v>0</v>
      </c>
      <c r="AH38" s="202"/>
      <c r="AI38" s="180"/>
      <c r="AJ38" s="202"/>
      <c r="AK38" s="180"/>
      <c r="AL38" s="202"/>
      <c r="AM38" s="180"/>
      <c r="AN38" s="202"/>
      <c r="AO38" s="180"/>
      <c r="AP38" s="202"/>
      <c r="AQ38" s="180"/>
      <c r="AR38" s="202"/>
      <c r="AS38" s="180"/>
      <c r="AT38" s="202"/>
      <c r="AU38" s="180"/>
      <c r="AV38" s="202"/>
      <c r="AW38" s="180">
        <v>5</v>
      </c>
      <c r="AX38" s="202">
        <f>AW38*F38</f>
        <v>45000</v>
      </c>
      <c r="AY38" s="202"/>
      <c r="AZ38" s="202"/>
      <c r="BA38" s="180"/>
      <c r="BB38" s="202"/>
      <c r="BC38" s="180"/>
      <c r="BD38" s="202"/>
      <c r="BE38" s="180"/>
      <c r="BF38" s="202"/>
      <c r="BG38" s="180"/>
      <c r="BH38" s="202"/>
      <c r="BI38" s="180"/>
      <c r="BJ38" s="202"/>
      <c r="BK38" s="202">
        <f>AA38+AC38+AE38+AG38+AI38+AK38+AM38+AO38+AQ38+AS38+AU38+AW38+AY38+BA38+BC38+BE38+BG38+BI38</f>
        <v>5</v>
      </c>
      <c r="BL38" s="202">
        <f>AB38+AD38+AF38+AH38+AJ38+AL38+AN38+AP38+AR38+AT38+AV38+AX38+AZ38+BB38+BD38+BF38+BH38+BJ38</f>
        <v>45000</v>
      </c>
      <c r="BM38" s="290" t="s">
        <v>222</v>
      </c>
      <c r="BN38" s="182"/>
      <c r="BO38" s="207"/>
      <c r="BP38" s="291"/>
      <c r="BQ38" s="291"/>
      <c r="BR38" s="291"/>
      <c r="BS38" s="291"/>
      <c r="BT38" s="291"/>
      <c r="BU38" s="291"/>
      <c r="BV38" s="291"/>
      <c r="BW38" s="292"/>
    </row>
    <row r="39" spans="1:75" s="140" customFormat="1" ht="27.75" customHeight="1">
      <c r="A39" s="288"/>
      <c r="B39" s="258"/>
      <c r="C39" s="272" t="s">
        <v>849</v>
      </c>
      <c r="D39" s="289" t="s">
        <v>827</v>
      </c>
      <c r="E39" s="258" t="s">
        <v>76</v>
      </c>
      <c r="F39" s="229">
        <v>600</v>
      </c>
      <c r="G39" s="206">
        <f>BK39</f>
        <v>1327</v>
      </c>
      <c r="H39" s="206">
        <f>BL39</f>
        <v>814200</v>
      </c>
      <c r="I39" s="207">
        <f>H39*0.1</f>
        <v>81420</v>
      </c>
      <c r="J39" s="207">
        <f>H39*0.8</f>
        <v>651360</v>
      </c>
      <c r="K39" s="207"/>
      <c r="L39" s="207"/>
      <c r="M39" s="207"/>
      <c r="N39" s="207"/>
      <c r="O39" s="207"/>
      <c r="P39" s="207"/>
      <c r="Q39" s="207">
        <f>H39*0.1</f>
        <v>81420</v>
      </c>
      <c r="R39" s="207"/>
      <c r="S39" s="212">
        <f>G39*0.15</f>
        <v>199.04999999999998</v>
      </c>
      <c r="T39" s="212">
        <f>G39*0.7</f>
        <v>928.9</v>
      </c>
      <c r="U39" s="212">
        <f>G39:G39*0.15</f>
        <v>199.04999999999998</v>
      </c>
      <c r="V39" s="212"/>
      <c r="W39" s="211">
        <f>S39*F39</f>
        <v>119429.99999999999</v>
      </c>
      <c r="X39" s="211">
        <f>T39*F39</f>
        <v>557340</v>
      </c>
      <c r="Y39" s="211">
        <f>U39*F39</f>
        <v>119429.99999999999</v>
      </c>
      <c r="Z39" s="211">
        <f>V39*F39</f>
        <v>0</v>
      </c>
      <c r="AA39" s="180">
        <v>100</v>
      </c>
      <c r="AB39" s="202">
        <f>AA39*F39</f>
        <v>60000</v>
      </c>
      <c r="AC39" s="180">
        <v>115</v>
      </c>
      <c r="AD39" s="202">
        <f>AC39*F39</f>
        <v>69000</v>
      </c>
      <c r="AE39" s="180">
        <v>120</v>
      </c>
      <c r="AF39" s="202">
        <f>AE39*F39</f>
        <v>72000</v>
      </c>
      <c r="AG39" s="180">
        <v>100</v>
      </c>
      <c r="AH39" s="202">
        <f>AG39*F39</f>
        <v>60000</v>
      </c>
      <c r="AI39" s="180">
        <v>60</v>
      </c>
      <c r="AJ39" s="202">
        <f>AI39*F39</f>
        <v>36000</v>
      </c>
      <c r="AK39" s="180">
        <v>100</v>
      </c>
      <c r="AL39" s="202">
        <f>AK39*F39</f>
        <v>60000</v>
      </c>
      <c r="AM39" s="180">
        <v>100</v>
      </c>
      <c r="AN39" s="202">
        <f>AM39*F39</f>
        <v>60000</v>
      </c>
      <c r="AO39" s="512">
        <v>0</v>
      </c>
      <c r="AP39" s="511">
        <f>AO39*F39</f>
        <v>0</v>
      </c>
      <c r="AQ39" s="180">
        <v>40</v>
      </c>
      <c r="AR39" s="202">
        <f>AQ39*F39</f>
        <v>24000</v>
      </c>
      <c r="AS39" s="180">
        <v>100</v>
      </c>
      <c r="AT39" s="511">
        <f>(AS39*F39)+18000</f>
        <v>78000</v>
      </c>
      <c r="AU39" s="512">
        <v>9</v>
      </c>
      <c r="AV39" s="511">
        <f>AU39*F39</f>
        <v>5400</v>
      </c>
      <c r="AW39" s="180">
        <v>25</v>
      </c>
      <c r="AX39" s="202">
        <f>AW39*F39</f>
        <v>15000</v>
      </c>
      <c r="AY39" s="511">
        <v>0</v>
      </c>
      <c r="AZ39" s="202">
        <f>AY39*F39</f>
        <v>0</v>
      </c>
      <c r="BA39" s="180">
        <v>200</v>
      </c>
      <c r="BB39" s="202">
        <f>BA39*F39</f>
        <v>120000</v>
      </c>
      <c r="BC39" s="180">
        <v>180</v>
      </c>
      <c r="BD39" s="202">
        <f>BC39*F39</f>
        <v>108000</v>
      </c>
      <c r="BE39" s="512">
        <v>18</v>
      </c>
      <c r="BF39" s="511">
        <f>BE39*F39</f>
        <v>10800</v>
      </c>
      <c r="BG39" s="180">
        <v>60</v>
      </c>
      <c r="BH39" s="202">
        <f>BG39*F39</f>
        <v>36000</v>
      </c>
      <c r="BI39" s="180"/>
      <c r="BJ39" s="202">
        <f>BI39*F39</f>
        <v>0</v>
      </c>
      <c r="BK39" s="202">
        <f t="shared" si="41"/>
        <v>1327</v>
      </c>
      <c r="BL39" s="202">
        <f t="shared" si="41"/>
        <v>814200</v>
      </c>
      <c r="BM39" s="290" t="s">
        <v>222</v>
      </c>
      <c r="BN39" s="182"/>
      <c r="BO39" s="207"/>
      <c r="BP39" s="291"/>
      <c r="BQ39" s="291">
        <f>H39</f>
        <v>814200</v>
      </c>
      <c r="BR39" s="291"/>
      <c r="BS39" s="291">
        <f>BO39+BP39+BQ39+BR39</f>
        <v>814200</v>
      </c>
      <c r="BT39" s="291"/>
      <c r="BU39" s="291"/>
      <c r="BV39" s="291"/>
      <c r="BW39" s="292">
        <f>BS39+BV39</f>
        <v>814200</v>
      </c>
    </row>
    <row r="40" spans="1:75" s="140" customFormat="1" ht="33.6" customHeight="1">
      <c r="A40" s="288"/>
      <c r="B40" s="258"/>
      <c r="C40" s="272" t="s">
        <v>850</v>
      </c>
      <c r="D40" s="289" t="s">
        <v>829</v>
      </c>
      <c r="E40" s="258" t="s">
        <v>76</v>
      </c>
      <c r="F40" s="229">
        <v>9000</v>
      </c>
      <c r="G40" s="206">
        <f>BK40</f>
        <v>49</v>
      </c>
      <c r="H40" s="206">
        <f>BL40</f>
        <v>486000</v>
      </c>
      <c r="I40" s="207">
        <f>H40*0.1</f>
        <v>48600</v>
      </c>
      <c r="J40" s="207">
        <f>H40*0.8</f>
        <v>388800</v>
      </c>
      <c r="K40" s="207"/>
      <c r="L40" s="207"/>
      <c r="M40" s="207"/>
      <c r="N40" s="207"/>
      <c r="O40" s="207"/>
      <c r="P40" s="207"/>
      <c r="Q40" s="207">
        <f>H40*0.1</f>
        <v>48600</v>
      </c>
      <c r="R40" s="207"/>
      <c r="S40" s="212">
        <f>G40*0.15</f>
        <v>7.35</v>
      </c>
      <c r="T40" s="212">
        <f>G40*0.7</f>
        <v>34.299999999999997</v>
      </c>
      <c r="U40" s="212">
        <f>G40:G40*0.15</f>
        <v>7.35</v>
      </c>
      <c r="V40" s="212"/>
      <c r="W40" s="211">
        <f>S40*F40</f>
        <v>66150</v>
      </c>
      <c r="X40" s="211">
        <f>T40*F40</f>
        <v>308700</v>
      </c>
      <c r="Y40" s="211">
        <f>U40*F40</f>
        <v>66150</v>
      </c>
      <c r="Z40" s="211">
        <f>V40*F40</f>
        <v>0</v>
      </c>
      <c r="AA40" s="180">
        <v>5</v>
      </c>
      <c r="AB40" s="202">
        <f>AA40*F40</f>
        <v>45000</v>
      </c>
      <c r="AC40" s="180">
        <v>0</v>
      </c>
      <c r="AD40" s="202">
        <f>AC40*F40</f>
        <v>0</v>
      </c>
      <c r="AE40" s="512">
        <v>0</v>
      </c>
      <c r="AF40" s="202">
        <f>AE40*F40</f>
        <v>0</v>
      </c>
      <c r="AG40" s="180">
        <v>5</v>
      </c>
      <c r="AH40" s="202">
        <f>AG40*F40</f>
        <v>45000</v>
      </c>
      <c r="AI40" s="180">
        <v>0</v>
      </c>
      <c r="AJ40" s="202">
        <f>AI40*F40</f>
        <v>0</v>
      </c>
      <c r="AK40" s="180">
        <v>0</v>
      </c>
      <c r="AL40" s="202">
        <f>AK40*F40</f>
        <v>0</v>
      </c>
      <c r="AM40" s="180">
        <v>10</v>
      </c>
      <c r="AN40" s="202">
        <f>AM40*F40</f>
        <v>90000</v>
      </c>
      <c r="AO40" s="180">
        <v>10</v>
      </c>
      <c r="AP40" s="202">
        <f>AO40*F40</f>
        <v>90000</v>
      </c>
      <c r="AQ40" s="180">
        <v>2</v>
      </c>
      <c r="AR40" s="202">
        <f>AQ40*F40</f>
        <v>18000</v>
      </c>
      <c r="AS40" s="180">
        <v>8</v>
      </c>
      <c r="AT40" s="511">
        <f>(AS40*F40)+45000</f>
        <v>117000</v>
      </c>
      <c r="AU40" s="180">
        <v>5</v>
      </c>
      <c r="AV40" s="202">
        <f>AU40*F40</f>
        <v>45000</v>
      </c>
      <c r="AW40" s="180">
        <v>0</v>
      </c>
      <c r="AX40" s="202">
        <f>AW40*F40</f>
        <v>0</v>
      </c>
      <c r="AY40" s="202">
        <v>0</v>
      </c>
      <c r="AZ40" s="202">
        <f>AY40*F40</f>
        <v>0</v>
      </c>
      <c r="BA40" s="180">
        <v>0</v>
      </c>
      <c r="BB40" s="202">
        <f>BA40*F40</f>
        <v>0</v>
      </c>
      <c r="BC40" s="180">
        <v>2</v>
      </c>
      <c r="BD40" s="202">
        <f>BC40*F40</f>
        <v>18000</v>
      </c>
      <c r="BE40" s="180">
        <v>0</v>
      </c>
      <c r="BF40" s="202">
        <f>BE40*F40</f>
        <v>0</v>
      </c>
      <c r="BG40" s="180">
        <v>2</v>
      </c>
      <c r="BH40" s="202">
        <f>BG40*F40</f>
        <v>18000</v>
      </c>
      <c r="BI40" s="180"/>
      <c r="BJ40" s="202">
        <f>BI40*F40</f>
        <v>0</v>
      </c>
      <c r="BK40" s="202">
        <f t="shared" si="41"/>
        <v>49</v>
      </c>
      <c r="BL40" s="202">
        <f t="shared" si="41"/>
        <v>486000</v>
      </c>
      <c r="BM40" s="290" t="s">
        <v>222</v>
      </c>
      <c r="BN40" s="182"/>
      <c r="BO40" s="207"/>
      <c r="BP40" s="291"/>
      <c r="BQ40" s="291">
        <f>H40</f>
        <v>486000</v>
      </c>
      <c r="BR40" s="291"/>
      <c r="BS40" s="291">
        <f>BO40+BP40+BQ40+BR40</f>
        <v>486000</v>
      </c>
      <c r="BT40" s="291"/>
      <c r="BU40" s="291"/>
      <c r="BV40" s="291"/>
      <c r="BW40" s="292">
        <f>BS40+BV40</f>
        <v>486000</v>
      </c>
    </row>
    <row r="41" spans="1:75" s="23" customFormat="1" ht="18" customHeight="1">
      <c r="A41" s="223"/>
      <c r="B41" s="228"/>
      <c r="C41" s="190"/>
      <c r="D41" s="230" t="s">
        <v>3</v>
      </c>
      <c r="E41" s="232"/>
      <c r="F41" s="231"/>
      <c r="G41" s="194">
        <f>SUM(G36:G40)</f>
        <v>1578</v>
      </c>
      <c r="H41" s="194">
        <f>SUM(H36:H40)</f>
        <v>2818200</v>
      </c>
      <c r="I41" s="194">
        <f t="shared" ref="I41:BL41" si="42">SUM(I36:I40)</f>
        <v>281820</v>
      </c>
      <c r="J41" s="194">
        <f t="shared" si="42"/>
        <v>2254560</v>
      </c>
      <c r="K41" s="194">
        <f t="shared" si="42"/>
        <v>0</v>
      </c>
      <c r="L41" s="194">
        <f t="shared" si="42"/>
        <v>0</v>
      </c>
      <c r="M41" s="194">
        <f t="shared" si="42"/>
        <v>0</v>
      </c>
      <c r="N41" s="194">
        <f t="shared" si="42"/>
        <v>0</v>
      </c>
      <c r="O41" s="194">
        <f t="shared" si="42"/>
        <v>0</v>
      </c>
      <c r="P41" s="194">
        <f t="shared" si="42"/>
        <v>0</v>
      </c>
      <c r="Q41" s="194">
        <f t="shared" si="42"/>
        <v>281820</v>
      </c>
      <c r="R41" s="194">
        <f t="shared" si="42"/>
        <v>0</v>
      </c>
      <c r="S41" s="194">
        <f t="shared" si="42"/>
        <v>236.69999999999996</v>
      </c>
      <c r="T41" s="194">
        <f t="shared" si="42"/>
        <v>1104.5999999999999</v>
      </c>
      <c r="U41" s="194">
        <f t="shared" si="42"/>
        <v>236.69999999999996</v>
      </c>
      <c r="V41" s="194">
        <f t="shared" si="42"/>
        <v>0</v>
      </c>
      <c r="W41" s="194">
        <f t="shared" si="42"/>
        <v>413280</v>
      </c>
      <c r="X41" s="194">
        <f t="shared" si="42"/>
        <v>1928640</v>
      </c>
      <c r="Y41" s="194">
        <f t="shared" si="42"/>
        <v>413280</v>
      </c>
      <c r="Z41" s="194">
        <f t="shared" si="42"/>
        <v>0</v>
      </c>
      <c r="AA41" s="194">
        <f t="shared" si="42"/>
        <v>111</v>
      </c>
      <c r="AB41" s="194">
        <f t="shared" si="42"/>
        <v>150000</v>
      </c>
      <c r="AC41" s="194">
        <f t="shared" si="42"/>
        <v>126</v>
      </c>
      <c r="AD41" s="194">
        <f t="shared" si="42"/>
        <v>150000</v>
      </c>
      <c r="AE41" s="194">
        <f t="shared" si="42"/>
        <v>135</v>
      </c>
      <c r="AF41" s="194">
        <f t="shared" si="42"/>
        <v>186000</v>
      </c>
      <c r="AG41" s="194">
        <f t="shared" si="42"/>
        <v>124</v>
      </c>
      <c r="AH41" s="194">
        <f t="shared" si="42"/>
        <v>255000</v>
      </c>
      <c r="AI41" s="194">
        <f t="shared" si="42"/>
        <v>69</v>
      </c>
      <c r="AJ41" s="194">
        <f t="shared" si="42"/>
        <v>105000</v>
      </c>
      <c r="AK41" s="194">
        <f t="shared" si="42"/>
        <v>105</v>
      </c>
      <c r="AL41" s="194">
        <f t="shared" si="42"/>
        <v>99000</v>
      </c>
      <c r="AM41" s="194">
        <f t="shared" si="42"/>
        <v>122</v>
      </c>
      <c r="AN41" s="194">
        <f t="shared" si="42"/>
        <v>237000</v>
      </c>
      <c r="AO41" s="194">
        <f t="shared" si="42"/>
        <v>21</v>
      </c>
      <c r="AP41" s="194">
        <f t="shared" si="42"/>
        <v>171000</v>
      </c>
      <c r="AQ41" s="194">
        <f t="shared" si="42"/>
        <v>48</v>
      </c>
      <c r="AR41" s="194">
        <f t="shared" si="42"/>
        <v>90000</v>
      </c>
      <c r="AS41" s="194">
        <f t="shared" si="42"/>
        <v>115</v>
      </c>
      <c r="AT41" s="194">
        <f t="shared" si="42"/>
        <v>252000</v>
      </c>
      <c r="AU41" s="194">
        <f t="shared" si="42"/>
        <v>27</v>
      </c>
      <c r="AV41" s="194">
        <f t="shared" si="42"/>
        <v>149400</v>
      </c>
      <c r="AW41" s="194">
        <f t="shared" si="42"/>
        <v>41</v>
      </c>
      <c r="AX41" s="194">
        <f t="shared" si="42"/>
        <v>150000</v>
      </c>
      <c r="AY41" s="194">
        <f t="shared" si="42"/>
        <v>7</v>
      </c>
      <c r="AZ41" s="194">
        <f t="shared" si="42"/>
        <v>63000</v>
      </c>
      <c r="BA41" s="194">
        <f t="shared" si="42"/>
        <v>226</v>
      </c>
      <c r="BB41" s="194">
        <f t="shared" si="42"/>
        <v>300000</v>
      </c>
      <c r="BC41" s="194">
        <f t="shared" si="42"/>
        <v>194</v>
      </c>
      <c r="BD41" s="194">
        <f t="shared" si="42"/>
        <v>213000</v>
      </c>
      <c r="BE41" s="194">
        <f t="shared" si="42"/>
        <v>33</v>
      </c>
      <c r="BF41" s="194">
        <f t="shared" si="42"/>
        <v>109800</v>
      </c>
      <c r="BG41" s="194">
        <f t="shared" si="42"/>
        <v>74</v>
      </c>
      <c r="BH41" s="194">
        <f t="shared" si="42"/>
        <v>138000</v>
      </c>
      <c r="BI41" s="194">
        <f t="shared" si="42"/>
        <v>0</v>
      </c>
      <c r="BJ41" s="194">
        <f t="shared" si="42"/>
        <v>0</v>
      </c>
      <c r="BK41" s="194">
        <f t="shared" si="42"/>
        <v>1578</v>
      </c>
      <c r="BL41" s="194">
        <f t="shared" si="42"/>
        <v>2818200</v>
      </c>
      <c r="BM41" s="293">
        <f t="shared" ref="BM41:BW41" si="43">SUM(BM36:BM40)</f>
        <v>0</v>
      </c>
      <c r="BN41" s="293">
        <f t="shared" si="43"/>
        <v>0</v>
      </c>
      <c r="BO41" s="293">
        <f t="shared" si="43"/>
        <v>0</v>
      </c>
      <c r="BP41" s="293">
        <f t="shared" si="43"/>
        <v>0</v>
      </c>
      <c r="BQ41" s="293">
        <f t="shared" si="43"/>
        <v>2773200</v>
      </c>
      <c r="BR41" s="293">
        <f t="shared" si="43"/>
        <v>0</v>
      </c>
      <c r="BS41" s="293">
        <f t="shared" si="43"/>
        <v>2773200</v>
      </c>
      <c r="BT41" s="293">
        <f t="shared" si="43"/>
        <v>0</v>
      </c>
      <c r="BU41" s="293">
        <f t="shared" si="43"/>
        <v>0</v>
      </c>
      <c r="BV41" s="293">
        <f t="shared" si="43"/>
        <v>0</v>
      </c>
      <c r="BW41" s="293">
        <f t="shared" si="43"/>
        <v>2773200</v>
      </c>
    </row>
    <row r="42" spans="1:75" s="265" customFormat="1" ht="39.75" customHeight="1">
      <c r="A42" s="204"/>
      <c r="B42" s="196">
        <v>21350</v>
      </c>
      <c r="C42" s="191"/>
      <c r="D42" s="228" t="s">
        <v>718</v>
      </c>
      <c r="E42" s="258"/>
      <c r="F42" s="229"/>
      <c r="G42" s="206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59"/>
      <c r="T42" s="259"/>
      <c r="U42" s="259"/>
      <c r="V42" s="259"/>
      <c r="W42" s="260"/>
      <c r="X42" s="260"/>
      <c r="Y42" s="260"/>
      <c r="Z42" s="260"/>
      <c r="AA42" s="259"/>
      <c r="AB42" s="202"/>
      <c r="AC42" s="259"/>
      <c r="AD42" s="202"/>
      <c r="AE42" s="259"/>
      <c r="AF42" s="202"/>
      <c r="AG42" s="259"/>
      <c r="AH42" s="202"/>
      <c r="AI42" s="259"/>
      <c r="AJ42" s="202"/>
      <c r="AK42" s="259"/>
      <c r="AL42" s="202"/>
      <c r="AM42" s="259"/>
      <c r="AN42" s="202"/>
      <c r="AO42" s="259"/>
      <c r="AP42" s="202"/>
      <c r="AQ42" s="259"/>
      <c r="AR42" s="202"/>
      <c r="AS42" s="259"/>
      <c r="AT42" s="202"/>
      <c r="AU42" s="259"/>
      <c r="AV42" s="202"/>
      <c r="AW42" s="259"/>
      <c r="AX42" s="202"/>
      <c r="AY42" s="260"/>
      <c r="AZ42" s="202"/>
      <c r="BA42" s="259"/>
      <c r="BB42" s="202"/>
      <c r="BC42" s="259"/>
      <c r="BD42" s="202"/>
      <c r="BE42" s="259"/>
      <c r="BF42" s="202"/>
      <c r="BG42" s="259"/>
      <c r="BH42" s="202"/>
      <c r="BI42" s="259"/>
      <c r="BJ42" s="202"/>
      <c r="BK42" s="180"/>
      <c r="BL42" s="202"/>
      <c r="BM42" s="294"/>
      <c r="BN42" s="219"/>
      <c r="BO42" s="207">
        <f>H42</f>
        <v>0</v>
      </c>
      <c r="BP42" s="295"/>
      <c r="BQ42" s="295"/>
      <c r="BR42" s="295"/>
      <c r="BS42" s="163">
        <f t="shared" ref="BS42:BS54" si="44">BO42+BP42+BQ42+BR42</f>
        <v>0</v>
      </c>
      <c r="BT42" s="295"/>
      <c r="BU42" s="295"/>
      <c r="BV42" s="163">
        <f>BT42+BU42</f>
        <v>0</v>
      </c>
      <c r="BW42" s="203">
        <f>BS42+BV42</f>
        <v>0</v>
      </c>
    </row>
    <row r="43" spans="1:75" s="265" customFormat="1" ht="36" customHeight="1">
      <c r="A43" s="204"/>
      <c r="B43" s="196"/>
      <c r="C43" s="272" t="s">
        <v>851</v>
      </c>
      <c r="D43" s="196" t="s">
        <v>968</v>
      </c>
      <c r="E43" s="258" t="s">
        <v>76</v>
      </c>
      <c r="F43" s="229">
        <v>3000</v>
      </c>
      <c r="G43" s="206">
        <f t="shared" ref="G43:H64" si="45">BK43</f>
        <v>156</v>
      </c>
      <c r="H43" s="207">
        <f>BL43</f>
        <v>468000</v>
      </c>
      <c r="I43" s="207">
        <f t="shared" ref="I43:I64" si="46">H43*0.1</f>
        <v>46800</v>
      </c>
      <c r="J43" s="207">
        <f t="shared" ref="J43:J64" si="47">H43*0.8</f>
        <v>374400</v>
      </c>
      <c r="K43" s="207"/>
      <c r="L43" s="207"/>
      <c r="M43" s="207"/>
      <c r="N43" s="207"/>
      <c r="O43" s="207"/>
      <c r="P43" s="207"/>
      <c r="Q43" s="207">
        <f t="shared" ref="Q43:Q64" si="48">H43*0.1</f>
        <v>46800</v>
      </c>
      <c r="R43" s="207"/>
      <c r="S43" s="212">
        <f>G43*0.15</f>
        <v>23.4</v>
      </c>
      <c r="T43" s="212">
        <f>G43*0.7</f>
        <v>109.19999999999999</v>
      </c>
      <c r="U43" s="212">
        <f>G43:G43*0.15</f>
        <v>23.4</v>
      </c>
      <c r="V43" s="259"/>
      <c r="W43" s="211">
        <f t="shared" ref="W43:W56" si="49">S43*F43</f>
        <v>70200</v>
      </c>
      <c r="X43" s="211">
        <f t="shared" ref="X43:X56" si="50">T43*F43</f>
        <v>327599.99999999994</v>
      </c>
      <c r="Y43" s="211">
        <f t="shared" ref="Y43:Y56" si="51">U43*F43</f>
        <v>70200</v>
      </c>
      <c r="Z43" s="211">
        <f t="shared" ref="Z43:Z56" si="52">V43*F43</f>
        <v>0</v>
      </c>
      <c r="AA43" s="296">
        <v>30</v>
      </c>
      <c r="AB43" s="202">
        <f t="shared" ref="AB43:AB64" si="53">AA43*F43</f>
        <v>90000</v>
      </c>
      <c r="AC43" s="259">
        <v>3</v>
      </c>
      <c r="AD43" s="202">
        <f t="shared" ref="AD43:AD64" si="54">AC43*F43</f>
        <v>9000</v>
      </c>
      <c r="AE43" s="259">
        <v>25</v>
      </c>
      <c r="AF43" s="202">
        <f t="shared" ref="AF43:AF64" si="55">AE43*F43</f>
        <v>75000</v>
      </c>
      <c r="AG43" s="259">
        <v>8</v>
      </c>
      <c r="AH43" s="202">
        <f t="shared" ref="AH43:AH64" si="56">AG43*F43</f>
        <v>24000</v>
      </c>
      <c r="AI43" s="516">
        <v>0</v>
      </c>
      <c r="AJ43" s="511">
        <f t="shared" ref="AJ43:AJ64" si="57">AI43*F43</f>
        <v>0</v>
      </c>
      <c r="AK43" s="259">
        <v>4</v>
      </c>
      <c r="AL43" s="202">
        <f t="shared" ref="AL43:AL64" si="58">AK43*F43</f>
        <v>12000</v>
      </c>
      <c r="AM43" s="259">
        <v>5</v>
      </c>
      <c r="AN43" s="202">
        <f t="shared" ref="AN43:AN64" si="59">AM43*F43</f>
        <v>15000</v>
      </c>
      <c r="AO43" s="516">
        <v>0</v>
      </c>
      <c r="AP43" s="511">
        <f t="shared" ref="AP43:AP64" si="60">AO43*F43</f>
        <v>0</v>
      </c>
      <c r="AQ43" s="259">
        <v>2</v>
      </c>
      <c r="AR43" s="202">
        <f t="shared" ref="AR43:AR64" si="61">AQ43*F43</f>
        <v>6000</v>
      </c>
      <c r="AS43" s="516">
        <v>0</v>
      </c>
      <c r="AT43" s="202">
        <f t="shared" ref="AT43:AT64" si="62">AS43*F43</f>
        <v>0</v>
      </c>
      <c r="AU43" s="516">
        <v>4</v>
      </c>
      <c r="AV43" s="511">
        <f>AU43*F43</f>
        <v>12000</v>
      </c>
      <c r="AW43" s="129">
        <v>30</v>
      </c>
      <c r="AX43" s="202">
        <f t="shared" ref="AX43:AX64" si="63">AW43*F43</f>
        <v>90000</v>
      </c>
      <c r="AY43" s="518">
        <v>0</v>
      </c>
      <c r="AZ43" s="202">
        <f t="shared" ref="AZ43:AZ64" si="64">AY43*F43</f>
        <v>0</v>
      </c>
      <c r="BA43" s="259">
        <v>15</v>
      </c>
      <c r="BB43" s="202">
        <f t="shared" ref="BB43:BB64" si="65">BA43*F43</f>
        <v>45000</v>
      </c>
      <c r="BC43" s="297">
        <v>5</v>
      </c>
      <c r="BD43" s="202">
        <f t="shared" ref="BD43:BD64" si="66">BC43*F43</f>
        <v>15000</v>
      </c>
      <c r="BE43" s="259">
        <v>20</v>
      </c>
      <c r="BF43" s="202">
        <f t="shared" ref="BF43:BF63" si="67">BE43*F43</f>
        <v>60000</v>
      </c>
      <c r="BG43" s="259">
        <v>5</v>
      </c>
      <c r="BH43" s="202">
        <f t="shared" ref="BH43:BH64" si="68">BG43*F43</f>
        <v>15000</v>
      </c>
      <c r="BI43" s="259"/>
      <c r="BJ43" s="202">
        <f t="shared" ref="BJ43:BJ64" si="69">BI43*F43</f>
        <v>0</v>
      </c>
      <c r="BK43" s="202">
        <f t="shared" ref="BK43:BK64" si="70">AA43+AC43+AE43+AG43+AI43+AK43+AM43+AO43+AQ43+AS43+AU43+AW43+AY43+BA43+BC43+BE43+BG43+BI43</f>
        <v>156</v>
      </c>
      <c r="BL43" s="202">
        <f t="shared" ref="BL43:BL64" si="71">AB43+AD43+AF43+AH43+AJ43+AL43+AN43+AP43+AR43+AT43+AV43+AX43+AZ43+BB43+BD43+BF43+BH43+BJ43</f>
        <v>468000</v>
      </c>
      <c r="BM43" s="236" t="s">
        <v>222</v>
      </c>
      <c r="BN43" s="219"/>
      <c r="BO43" s="207"/>
      <c r="BP43" s="295"/>
      <c r="BQ43" s="254">
        <f t="shared" ref="BQ43:BQ54" si="72">H43</f>
        <v>468000</v>
      </c>
      <c r="BR43" s="295"/>
      <c r="BS43" s="163">
        <f t="shared" si="44"/>
        <v>468000</v>
      </c>
      <c r="BT43" s="295"/>
      <c r="BU43" s="295"/>
      <c r="BV43" s="163"/>
      <c r="BW43" s="203">
        <f t="shared" ref="BW43:BW54" si="73">BS43+BT43+BU43+BV43</f>
        <v>468000</v>
      </c>
    </row>
    <row r="44" spans="1:75" s="265" customFormat="1" ht="18" customHeight="1">
      <c r="A44" s="204"/>
      <c r="B44" s="196"/>
      <c r="C44" s="272" t="s">
        <v>853</v>
      </c>
      <c r="D44" s="196" t="s">
        <v>830</v>
      </c>
      <c r="E44" s="258" t="s">
        <v>76</v>
      </c>
      <c r="F44" s="229">
        <v>3000</v>
      </c>
      <c r="G44" s="206">
        <f t="shared" si="45"/>
        <v>253</v>
      </c>
      <c r="H44" s="207">
        <f t="shared" ref="H44:H63" si="74">G44*F44</f>
        <v>759000</v>
      </c>
      <c r="I44" s="207">
        <f t="shared" si="46"/>
        <v>75900</v>
      </c>
      <c r="J44" s="207">
        <f t="shared" si="47"/>
        <v>607200</v>
      </c>
      <c r="K44" s="207"/>
      <c r="L44" s="207"/>
      <c r="M44" s="207"/>
      <c r="N44" s="207"/>
      <c r="O44" s="207"/>
      <c r="P44" s="207"/>
      <c r="Q44" s="207">
        <f t="shared" si="48"/>
        <v>75900</v>
      </c>
      <c r="R44" s="207"/>
      <c r="S44" s="259"/>
      <c r="T44" s="259">
        <f>G44*0.2</f>
        <v>50.6</v>
      </c>
      <c r="U44" s="259">
        <f>G44*0.8</f>
        <v>202.4</v>
      </c>
      <c r="V44" s="259"/>
      <c r="W44" s="211">
        <f t="shared" si="49"/>
        <v>0</v>
      </c>
      <c r="X44" s="211">
        <f t="shared" si="50"/>
        <v>151800</v>
      </c>
      <c r="Y44" s="211">
        <f t="shared" si="51"/>
        <v>607200</v>
      </c>
      <c r="Z44" s="211">
        <f t="shared" si="52"/>
        <v>0</v>
      </c>
      <c r="AA44" s="296">
        <v>3</v>
      </c>
      <c r="AB44" s="202">
        <f t="shared" si="53"/>
        <v>9000</v>
      </c>
      <c r="AC44" s="259">
        <v>5</v>
      </c>
      <c r="AD44" s="202">
        <f t="shared" si="54"/>
        <v>15000</v>
      </c>
      <c r="AE44" s="516">
        <v>0</v>
      </c>
      <c r="AF44" s="202">
        <f t="shared" si="55"/>
        <v>0</v>
      </c>
      <c r="AG44" s="259">
        <v>8</v>
      </c>
      <c r="AH44" s="202">
        <f t="shared" si="56"/>
        <v>24000</v>
      </c>
      <c r="AI44" s="516">
        <v>0</v>
      </c>
      <c r="AJ44" s="511">
        <f t="shared" si="57"/>
        <v>0</v>
      </c>
      <c r="AK44" s="516">
        <v>3</v>
      </c>
      <c r="AL44" s="511">
        <f t="shared" si="58"/>
        <v>9000</v>
      </c>
      <c r="AM44" s="259">
        <v>20</v>
      </c>
      <c r="AN44" s="202">
        <f t="shared" si="59"/>
        <v>60000</v>
      </c>
      <c r="AO44" s="259">
        <v>16</v>
      </c>
      <c r="AP44" s="202">
        <f t="shared" si="60"/>
        <v>48000</v>
      </c>
      <c r="AQ44" s="259">
        <v>5</v>
      </c>
      <c r="AR44" s="202">
        <f t="shared" si="61"/>
        <v>15000</v>
      </c>
      <c r="AS44" s="516">
        <v>0</v>
      </c>
      <c r="AT44" s="202">
        <f t="shared" si="62"/>
        <v>0</v>
      </c>
      <c r="AU44" s="259">
        <v>10</v>
      </c>
      <c r="AV44" s="202">
        <f t="shared" ref="AV44:AV64" si="75">AU44*F44</f>
        <v>30000</v>
      </c>
      <c r="AW44" s="129">
        <v>25</v>
      </c>
      <c r="AX44" s="202">
        <f t="shared" si="63"/>
        <v>75000</v>
      </c>
      <c r="AY44" s="518">
        <v>22</v>
      </c>
      <c r="AZ44" s="202">
        <f t="shared" si="64"/>
        <v>66000</v>
      </c>
      <c r="BA44" s="259">
        <v>15</v>
      </c>
      <c r="BB44" s="202">
        <f t="shared" si="65"/>
        <v>45000</v>
      </c>
      <c r="BC44" s="297">
        <v>15</v>
      </c>
      <c r="BD44" s="202">
        <f t="shared" si="66"/>
        <v>45000</v>
      </c>
      <c r="BE44" s="516">
        <v>46</v>
      </c>
      <c r="BF44" s="511">
        <f t="shared" si="67"/>
        <v>138000</v>
      </c>
      <c r="BG44" s="259">
        <v>60</v>
      </c>
      <c r="BH44" s="202">
        <f t="shared" si="68"/>
        <v>180000</v>
      </c>
      <c r="BI44" s="259"/>
      <c r="BJ44" s="202">
        <f t="shared" si="69"/>
        <v>0</v>
      </c>
      <c r="BK44" s="202">
        <f t="shared" si="70"/>
        <v>253</v>
      </c>
      <c r="BL44" s="202">
        <f t="shared" si="71"/>
        <v>759000</v>
      </c>
      <c r="BM44" s="236" t="s">
        <v>222</v>
      </c>
      <c r="BN44" s="219"/>
      <c r="BO44" s="207"/>
      <c r="BP44" s="295"/>
      <c r="BQ44" s="254">
        <f t="shared" si="72"/>
        <v>759000</v>
      </c>
      <c r="BR44" s="295"/>
      <c r="BS44" s="163">
        <f t="shared" si="44"/>
        <v>759000</v>
      </c>
      <c r="BT44" s="295"/>
      <c r="BU44" s="295"/>
      <c r="BV44" s="163"/>
      <c r="BW44" s="203">
        <f t="shared" si="73"/>
        <v>759000</v>
      </c>
    </row>
    <row r="45" spans="1:75" s="265" customFormat="1" ht="18" customHeight="1">
      <c r="A45" s="204"/>
      <c r="B45" s="196"/>
      <c r="C45" s="272" t="s">
        <v>852</v>
      </c>
      <c r="D45" s="196" t="s">
        <v>831</v>
      </c>
      <c r="E45" s="258" t="s">
        <v>76</v>
      </c>
      <c r="F45" s="551">
        <v>19000</v>
      </c>
      <c r="G45" s="206">
        <f>BK45</f>
        <v>97</v>
      </c>
      <c r="H45" s="207">
        <f t="shared" si="74"/>
        <v>1843000</v>
      </c>
      <c r="I45" s="207">
        <f t="shared" si="46"/>
        <v>184300</v>
      </c>
      <c r="J45" s="207">
        <f t="shared" si="47"/>
        <v>1474400</v>
      </c>
      <c r="K45" s="207"/>
      <c r="L45" s="207"/>
      <c r="M45" s="207"/>
      <c r="N45" s="207"/>
      <c r="O45" s="207"/>
      <c r="P45" s="207"/>
      <c r="Q45" s="207">
        <f t="shared" si="48"/>
        <v>184300</v>
      </c>
      <c r="R45" s="207"/>
      <c r="S45" s="212">
        <f>G45*0.15</f>
        <v>14.549999999999999</v>
      </c>
      <c r="T45" s="212">
        <f>G45*0.7</f>
        <v>67.899999999999991</v>
      </c>
      <c r="U45" s="212">
        <f>G45:G45*0.15</f>
        <v>14.549999999999999</v>
      </c>
      <c r="V45" s="259"/>
      <c r="W45" s="211">
        <f t="shared" si="49"/>
        <v>276450</v>
      </c>
      <c r="X45" s="211">
        <f t="shared" si="50"/>
        <v>1290099.9999999998</v>
      </c>
      <c r="Y45" s="211">
        <f t="shared" si="51"/>
        <v>276450</v>
      </c>
      <c r="Z45" s="211">
        <f t="shared" si="52"/>
        <v>0</v>
      </c>
      <c r="AA45" s="296">
        <v>5</v>
      </c>
      <c r="AB45" s="202">
        <f t="shared" si="53"/>
        <v>95000</v>
      </c>
      <c r="AC45" s="259">
        <v>5</v>
      </c>
      <c r="AD45" s="202">
        <f t="shared" si="54"/>
        <v>95000</v>
      </c>
      <c r="AE45" s="259">
        <v>18</v>
      </c>
      <c r="AF45" s="202">
        <f t="shared" si="55"/>
        <v>342000</v>
      </c>
      <c r="AG45" s="259">
        <v>5</v>
      </c>
      <c r="AH45" s="202">
        <f t="shared" si="56"/>
        <v>95000</v>
      </c>
      <c r="AI45" s="516">
        <v>0</v>
      </c>
      <c r="AJ45" s="511">
        <f t="shared" si="57"/>
        <v>0</v>
      </c>
      <c r="AK45" s="259">
        <v>3</v>
      </c>
      <c r="AL45" s="202">
        <f t="shared" si="58"/>
        <v>57000</v>
      </c>
      <c r="AM45" s="259">
        <v>5</v>
      </c>
      <c r="AN45" s="202">
        <f t="shared" si="59"/>
        <v>95000</v>
      </c>
      <c r="AO45" s="259">
        <v>10</v>
      </c>
      <c r="AP45" s="202">
        <f t="shared" si="60"/>
        <v>190000</v>
      </c>
      <c r="AQ45" s="259">
        <v>4</v>
      </c>
      <c r="AR45" s="202">
        <f t="shared" si="61"/>
        <v>76000</v>
      </c>
      <c r="AS45" s="259">
        <v>3</v>
      </c>
      <c r="AT45" s="202">
        <f t="shared" si="62"/>
        <v>57000</v>
      </c>
      <c r="AU45" s="259">
        <v>6</v>
      </c>
      <c r="AV45" s="202">
        <f t="shared" si="75"/>
        <v>114000</v>
      </c>
      <c r="AW45" s="129">
        <v>4</v>
      </c>
      <c r="AX45" s="202">
        <f t="shared" si="63"/>
        <v>76000</v>
      </c>
      <c r="AY45" s="260">
        <v>10</v>
      </c>
      <c r="AZ45" s="202">
        <f t="shared" si="64"/>
        <v>190000</v>
      </c>
      <c r="BA45" s="259">
        <v>5</v>
      </c>
      <c r="BB45" s="202">
        <f t="shared" si="65"/>
        <v>95000</v>
      </c>
      <c r="BC45" s="550">
        <v>3</v>
      </c>
      <c r="BD45" s="202">
        <f t="shared" si="66"/>
        <v>57000</v>
      </c>
      <c r="BE45" s="259">
        <v>8</v>
      </c>
      <c r="BF45" s="202">
        <f t="shared" si="67"/>
        <v>152000</v>
      </c>
      <c r="BG45" s="259">
        <v>3</v>
      </c>
      <c r="BH45" s="202">
        <f t="shared" si="68"/>
        <v>57000</v>
      </c>
      <c r="BI45" s="259"/>
      <c r="BJ45" s="202">
        <f t="shared" si="69"/>
        <v>0</v>
      </c>
      <c r="BK45" s="202">
        <f t="shared" si="70"/>
        <v>97</v>
      </c>
      <c r="BL45" s="202">
        <f t="shared" si="71"/>
        <v>1843000</v>
      </c>
      <c r="BM45" s="236" t="s">
        <v>222</v>
      </c>
      <c r="BN45" s="219"/>
      <c r="BO45" s="207"/>
      <c r="BP45" s="295"/>
      <c r="BQ45" s="254">
        <f t="shared" si="72"/>
        <v>1843000</v>
      </c>
      <c r="BR45" s="295"/>
      <c r="BS45" s="163">
        <f t="shared" si="44"/>
        <v>1843000</v>
      </c>
      <c r="BT45" s="295"/>
      <c r="BU45" s="295"/>
      <c r="BV45" s="163"/>
      <c r="BW45" s="203">
        <f t="shared" si="73"/>
        <v>1843000</v>
      </c>
    </row>
    <row r="46" spans="1:75" s="265" customFormat="1" ht="19.149999999999999" customHeight="1">
      <c r="A46" s="204"/>
      <c r="B46" s="196"/>
      <c r="C46" s="272" t="s">
        <v>854</v>
      </c>
      <c r="D46" s="196" t="s">
        <v>832</v>
      </c>
      <c r="E46" s="258" t="s">
        <v>76</v>
      </c>
      <c r="F46" s="551">
        <v>6000</v>
      </c>
      <c r="G46" s="206">
        <f t="shared" si="45"/>
        <v>323</v>
      </c>
      <c r="H46" s="206">
        <f t="shared" si="45"/>
        <v>1922000</v>
      </c>
      <c r="I46" s="207">
        <f t="shared" si="46"/>
        <v>192200</v>
      </c>
      <c r="J46" s="207">
        <f t="shared" si="47"/>
        <v>1537600</v>
      </c>
      <c r="K46" s="207"/>
      <c r="L46" s="207"/>
      <c r="M46" s="207"/>
      <c r="N46" s="207"/>
      <c r="O46" s="207"/>
      <c r="P46" s="207"/>
      <c r="Q46" s="207">
        <f t="shared" si="48"/>
        <v>192200</v>
      </c>
      <c r="R46" s="207"/>
      <c r="S46" s="259"/>
      <c r="T46" s="259">
        <f>G46*0.2</f>
        <v>64.600000000000009</v>
      </c>
      <c r="U46" s="259">
        <f>G46*0.8</f>
        <v>258.40000000000003</v>
      </c>
      <c r="V46" s="259"/>
      <c r="W46" s="211">
        <f t="shared" si="49"/>
        <v>0</v>
      </c>
      <c r="X46" s="211">
        <f t="shared" si="50"/>
        <v>387600.00000000006</v>
      </c>
      <c r="Y46" s="211">
        <f t="shared" si="51"/>
        <v>1550400.0000000002</v>
      </c>
      <c r="Z46" s="211">
        <f t="shared" si="52"/>
        <v>0</v>
      </c>
      <c r="AA46" s="296">
        <v>5</v>
      </c>
      <c r="AB46" s="202">
        <f t="shared" si="53"/>
        <v>30000</v>
      </c>
      <c r="AC46" s="259">
        <v>10</v>
      </c>
      <c r="AD46" s="202">
        <f t="shared" si="54"/>
        <v>60000</v>
      </c>
      <c r="AE46" s="259">
        <v>0</v>
      </c>
      <c r="AF46" s="202">
        <f t="shared" si="55"/>
        <v>0</v>
      </c>
      <c r="AG46" s="259">
        <v>70</v>
      </c>
      <c r="AH46" s="202">
        <f t="shared" si="56"/>
        <v>420000</v>
      </c>
      <c r="AI46" s="259">
        <v>70</v>
      </c>
      <c r="AJ46" s="202">
        <f t="shared" si="57"/>
        <v>420000</v>
      </c>
      <c r="AK46" s="259">
        <v>20</v>
      </c>
      <c r="AL46" s="202">
        <f t="shared" si="58"/>
        <v>120000</v>
      </c>
      <c r="AM46" s="259">
        <v>30</v>
      </c>
      <c r="AN46" s="202">
        <f t="shared" si="59"/>
        <v>180000</v>
      </c>
      <c r="AO46" s="259">
        <v>20</v>
      </c>
      <c r="AP46" s="202">
        <f t="shared" si="60"/>
        <v>120000</v>
      </c>
      <c r="AQ46" s="516">
        <v>40</v>
      </c>
      <c r="AR46" s="202">
        <f t="shared" si="61"/>
        <v>240000</v>
      </c>
      <c r="AS46" s="259">
        <v>5</v>
      </c>
      <c r="AT46" s="202">
        <f t="shared" si="62"/>
        <v>30000</v>
      </c>
      <c r="AU46" s="259">
        <v>20</v>
      </c>
      <c r="AV46" s="202">
        <f t="shared" si="75"/>
        <v>120000</v>
      </c>
      <c r="AW46" s="129">
        <v>5</v>
      </c>
      <c r="AX46" s="202">
        <f t="shared" si="63"/>
        <v>30000</v>
      </c>
      <c r="AY46" s="518">
        <v>8</v>
      </c>
      <c r="AZ46" s="202">
        <v>32000</v>
      </c>
      <c r="BA46" s="259">
        <v>5</v>
      </c>
      <c r="BB46" s="202">
        <f t="shared" si="65"/>
        <v>30000</v>
      </c>
      <c r="BC46" s="550">
        <v>10</v>
      </c>
      <c r="BD46" s="202">
        <f t="shared" si="66"/>
        <v>60000</v>
      </c>
      <c r="BE46" s="259">
        <v>0</v>
      </c>
      <c r="BF46" s="202">
        <f t="shared" si="67"/>
        <v>0</v>
      </c>
      <c r="BG46" s="259">
        <v>5</v>
      </c>
      <c r="BH46" s="202">
        <f t="shared" si="68"/>
        <v>30000</v>
      </c>
      <c r="BI46" s="259"/>
      <c r="BJ46" s="202">
        <f t="shared" si="69"/>
        <v>0</v>
      </c>
      <c r="BK46" s="202">
        <f t="shared" si="70"/>
        <v>323</v>
      </c>
      <c r="BL46" s="202">
        <f t="shared" si="71"/>
        <v>1922000</v>
      </c>
      <c r="BM46" s="236" t="s">
        <v>222</v>
      </c>
      <c r="BN46" s="219"/>
      <c r="BO46" s="207"/>
      <c r="BP46" s="295"/>
      <c r="BQ46" s="254">
        <f t="shared" si="72"/>
        <v>1922000</v>
      </c>
      <c r="BR46" s="295"/>
      <c r="BS46" s="163">
        <f t="shared" si="44"/>
        <v>1922000</v>
      </c>
      <c r="BT46" s="295"/>
      <c r="BU46" s="295"/>
      <c r="BV46" s="163"/>
      <c r="BW46" s="203">
        <f t="shared" si="73"/>
        <v>1922000</v>
      </c>
    </row>
    <row r="47" spans="1:75" s="265" customFormat="1" ht="18" customHeight="1">
      <c r="A47" s="204"/>
      <c r="B47" s="196"/>
      <c r="C47" s="272" t="s">
        <v>855</v>
      </c>
      <c r="D47" s="196" t="s">
        <v>833</v>
      </c>
      <c r="E47" s="258" t="s">
        <v>76</v>
      </c>
      <c r="F47" s="229">
        <v>9000</v>
      </c>
      <c r="G47" s="206">
        <f t="shared" si="45"/>
        <v>94</v>
      </c>
      <c r="H47" s="207">
        <f t="shared" si="74"/>
        <v>846000</v>
      </c>
      <c r="I47" s="207">
        <f t="shared" si="46"/>
        <v>84600</v>
      </c>
      <c r="J47" s="207">
        <f t="shared" si="47"/>
        <v>676800</v>
      </c>
      <c r="K47" s="207"/>
      <c r="L47" s="207"/>
      <c r="M47" s="207"/>
      <c r="N47" s="207"/>
      <c r="O47" s="207"/>
      <c r="P47" s="207"/>
      <c r="Q47" s="207">
        <f t="shared" si="48"/>
        <v>84600</v>
      </c>
      <c r="R47" s="207"/>
      <c r="S47" s="212">
        <f>G47*0.15</f>
        <v>14.1</v>
      </c>
      <c r="T47" s="212">
        <f>G47*0.85</f>
        <v>79.899999999999991</v>
      </c>
      <c r="U47" s="259"/>
      <c r="V47" s="259"/>
      <c r="W47" s="211">
        <f t="shared" si="49"/>
        <v>126900</v>
      </c>
      <c r="X47" s="211">
        <f t="shared" si="50"/>
        <v>719099.99999999988</v>
      </c>
      <c r="Y47" s="211">
        <f t="shared" si="51"/>
        <v>0</v>
      </c>
      <c r="Z47" s="211">
        <f t="shared" si="52"/>
        <v>0</v>
      </c>
      <c r="AA47" s="296">
        <v>0</v>
      </c>
      <c r="AB47" s="202">
        <f t="shared" si="53"/>
        <v>0</v>
      </c>
      <c r="AC47" s="259">
        <v>5</v>
      </c>
      <c r="AD47" s="202">
        <f t="shared" si="54"/>
        <v>45000</v>
      </c>
      <c r="AE47" s="516">
        <v>0</v>
      </c>
      <c r="AF47" s="202">
        <f t="shared" si="55"/>
        <v>0</v>
      </c>
      <c r="AG47" s="259">
        <v>10</v>
      </c>
      <c r="AH47" s="202">
        <f t="shared" si="56"/>
        <v>90000</v>
      </c>
      <c r="AI47" s="259">
        <v>10</v>
      </c>
      <c r="AJ47" s="202">
        <f t="shared" si="57"/>
        <v>90000</v>
      </c>
      <c r="AK47" s="259">
        <v>4</v>
      </c>
      <c r="AL47" s="202">
        <f t="shared" si="58"/>
        <v>36000</v>
      </c>
      <c r="AM47" s="259">
        <v>15</v>
      </c>
      <c r="AN47" s="202">
        <f t="shared" si="59"/>
        <v>135000</v>
      </c>
      <c r="AO47" s="516">
        <v>0</v>
      </c>
      <c r="AP47" s="511">
        <f t="shared" si="60"/>
        <v>0</v>
      </c>
      <c r="AQ47" s="259">
        <v>5</v>
      </c>
      <c r="AR47" s="202">
        <f t="shared" si="61"/>
        <v>45000</v>
      </c>
      <c r="AS47" s="259">
        <v>8</v>
      </c>
      <c r="AT47" s="202">
        <f t="shared" si="62"/>
        <v>72000</v>
      </c>
      <c r="AU47" s="259">
        <v>0</v>
      </c>
      <c r="AV47" s="202">
        <f t="shared" si="75"/>
        <v>0</v>
      </c>
      <c r="AW47" s="129">
        <v>4</v>
      </c>
      <c r="AX47" s="202">
        <f t="shared" si="63"/>
        <v>36000</v>
      </c>
      <c r="AY47" s="260">
        <v>0</v>
      </c>
      <c r="AZ47" s="202">
        <f t="shared" si="64"/>
        <v>0</v>
      </c>
      <c r="BA47" s="259">
        <v>5</v>
      </c>
      <c r="BB47" s="202">
        <f t="shared" si="65"/>
        <v>45000</v>
      </c>
      <c r="BC47" s="297">
        <v>6</v>
      </c>
      <c r="BD47" s="202">
        <f t="shared" si="66"/>
        <v>54000</v>
      </c>
      <c r="BE47" s="259">
        <v>20</v>
      </c>
      <c r="BF47" s="202">
        <f t="shared" si="67"/>
        <v>180000</v>
      </c>
      <c r="BG47" s="259">
        <v>2</v>
      </c>
      <c r="BH47" s="202">
        <f t="shared" si="68"/>
        <v>18000</v>
      </c>
      <c r="BI47" s="259"/>
      <c r="BJ47" s="202">
        <f t="shared" si="69"/>
        <v>0</v>
      </c>
      <c r="BK47" s="202">
        <f t="shared" si="70"/>
        <v>94</v>
      </c>
      <c r="BL47" s="202">
        <f t="shared" si="71"/>
        <v>846000</v>
      </c>
      <c r="BM47" s="236" t="s">
        <v>222</v>
      </c>
      <c r="BN47" s="219"/>
      <c r="BO47" s="207"/>
      <c r="BP47" s="295"/>
      <c r="BQ47" s="254">
        <f t="shared" si="72"/>
        <v>846000</v>
      </c>
      <c r="BR47" s="295"/>
      <c r="BS47" s="163">
        <f t="shared" si="44"/>
        <v>846000</v>
      </c>
      <c r="BT47" s="295"/>
      <c r="BU47" s="295"/>
      <c r="BV47" s="163"/>
      <c r="BW47" s="203">
        <f t="shared" si="73"/>
        <v>846000</v>
      </c>
    </row>
    <row r="48" spans="1:75" s="265" customFormat="1" ht="18" customHeight="1">
      <c r="A48" s="204"/>
      <c r="B48" s="196"/>
      <c r="C48" s="272" t="s">
        <v>856</v>
      </c>
      <c r="D48" s="196" t="s">
        <v>834</v>
      </c>
      <c r="E48" s="258" t="s">
        <v>76</v>
      </c>
      <c r="F48" s="229">
        <v>9000</v>
      </c>
      <c r="G48" s="206">
        <f>BK48</f>
        <v>183</v>
      </c>
      <c r="H48" s="207">
        <f t="shared" si="74"/>
        <v>1647000</v>
      </c>
      <c r="I48" s="207">
        <f t="shared" si="46"/>
        <v>164700</v>
      </c>
      <c r="J48" s="207">
        <f t="shared" si="47"/>
        <v>1317600</v>
      </c>
      <c r="K48" s="207"/>
      <c r="L48" s="207"/>
      <c r="M48" s="207"/>
      <c r="N48" s="207"/>
      <c r="O48" s="207"/>
      <c r="P48" s="207"/>
      <c r="Q48" s="207">
        <f t="shared" si="48"/>
        <v>164700</v>
      </c>
      <c r="R48" s="207"/>
      <c r="S48" s="259"/>
      <c r="T48" s="259">
        <f>G48*0.6</f>
        <v>109.8</v>
      </c>
      <c r="U48" s="259">
        <f>G48*0.4</f>
        <v>73.2</v>
      </c>
      <c r="V48" s="259"/>
      <c r="W48" s="211">
        <f t="shared" si="49"/>
        <v>0</v>
      </c>
      <c r="X48" s="211">
        <f t="shared" si="50"/>
        <v>988200</v>
      </c>
      <c r="Y48" s="211">
        <f t="shared" si="51"/>
        <v>658800</v>
      </c>
      <c r="Z48" s="211">
        <f t="shared" si="52"/>
        <v>0</v>
      </c>
      <c r="AA48" s="296">
        <v>0</v>
      </c>
      <c r="AB48" s="202">
        <f t="shared" si="53"/>
        <v>0</v>
      </c>
      <c r="AC48" s="516">
        <f>6+3</f>
        <v>9</v>
      </c>
      <c r="AD48" s="202">
        <f t="shared" si="54"/>
        <v>81000</v>
      </c>
      <c r="AE48" s="259">
        <v>12</v>
      </c>
      <c r="AF48" s="202">
        <f t="shared" si="55"/>
        <v>108000</v>
      </c>
      <c r="AG48" s="259">
        <v>8</v>
      </c>
      <c r="AH48" s="202">
        <f t="shared" si="56"/>
        <v>72000</v>
      </c>
      <c r="AI48" s="259">
        <v>10</v>
      </c>
      <c r="AJ48" s="202">
        <f t="shared" si="57"/>
        <v>90000</v>
      </c>
      <c r="AK48" s="259">
        <v>4</v>
      </c>
      <c r="AL48" s="202">
        <f t="shared" si="58"/>
        <v>36000</v>
      </c>
      <c r="AM48" s="259">
        <v>14</v>
      </c>
      <c r="AN48" s="202">
        <f t="shared" si="59"/>
        <v>126000</v>
      </c>
      <c r="AO48" s="516">
        <v>20</v>
      </c>
      <c r="AP48" s="511">
        <f t="shared" si="60"/>
        <v>180000</v>
      </c>
      <c r="AQ48" s="259">
        <v>0</v>
      </c>
      <c r="AR48" s="202">
        <f t="shared" si="61"/>
        <v>0</v>
      </c>
      <c r="AS48" s="259">
        <v>10</v>
      </c>
      <c r="AT48" s="202">
        <f t="shared" si="62"/>
        <v>90000</v>
      </c>
      <c r="AU48" s="259">
        <v>21</v>
      </c>
      <c r="AV48" s="202">
        <f t="shared" si="75"/>
        <v>189000</v>
      </c>
      <c r="AW48" s="129">
        <v>25</v>
      </c>
      <c r="AX48" s="202">
        <f t="shared" si="63"/>
        <v>225000</v>
      </c>
      <c r="AY48" s="518">
        <v>4</v>
      </c>
      <c r="AZ48" s="202">
        <f t="shared" si="64"/>
        <v>36000</v>
      </c>
      <c r="BA48" s="259">
        <v>2</v>
      </c>
      <c r="BB48" s="202">
        <f t="shared" si="65"/>
        <v>18000</v>
      </c>
      <c r="BC48" s="297">
        <v>11</v>
      </c>
      <c r="BD48" s="202">
        <f t="shared" si="66"/>
        <v>99000</v>
      </c>
      <c r="BE48" s="259">
        <v>30</v>
      </c>
      <c r="BF48" s="202">
        <f t="shared" si="67"/>
        <v>270000</v>
      </c>
      <c r="BG48" s="259">
        <v>3</v>
      </c>
      <c r="BH48" s="202">
        <f t="shared" si="68"/>
        <v>27000</v>
      </c>
      <c r="BI48" s="259"/>
      <c r="BJ48" s="202">
        <f t="shared" si="69"/>
        <v>0</v>
      </c>
      <c r="BK48" s="202">
        <f t="shared" si="70"/>
        <v>183</v>
      </c>
      <c r="BL48" s="202">
        <f t="shared" si="71"/>
        <v>1647000</v>
      </c>
      <c r="BM48" s="236" t="s">
        <v>222</v>
      </c>
      <c r="BN48" s="219"/>
      <c r="BO48" s="207"/>
      <c r="BP48" s="295"/>
      <c r="BQ48" s="254">
        <f t="shared" si="72"/>
        <v>1647000</v>
      </c>
      <c r="BR48" s="295"/>
      <c r="BS48" s="163">
        <f t="shared" si="44"/>
        <v>1647000</v>
      </c>
      <c r="BT48" s="295"/>
      <c r="BU48" s="295"/>
      <c r="BV48" s="163"/>
      <c r="BW48" s="203">
        <f t="shared" si="73"/>
        <v>1647000</v>
      </c>
    </row>
    <row r="49" spans="1:75" s="265" customFormat="1" ht="18" customHeight="1">
      <c r="A49" s="204"/>
      <c r="B49" s="196"/>
      <c r="C49" s="272" t="s">
        <v>857</v>
      </c>
      <c r="D49" s="196" t="s">
        <v>835</v>
      </c>
      <c r="E49" s="258" t="s">
        <v>76</v>
      </c>
      <c r="F49" s="229">
        <v>9000</v>
      </c>
      <c r="G49" s="206">
        <f t="shared" si="45"/>
        <v>94</v>
      </c>
      <c r="H49" s="207">
        <f t="shared" si="74"/>
        <v>846000</v>
      </c>
      <c r="I49" s="207">
        <f t="shared" si="46"/>
        <v>84600</v>
      </c>
      <c r="J49" s="207">
        <f t="shared" si="47"/>
        <v>676800</v>
      </c>
      <c r="K49" s="207"/>
      <c r="L49" s="207"/>
      <c r="M49" s="207"/>
      <c r="N49" s="207"/>
      <c r="O49" s="207"/>
      <c r="P49" s="207"/>
      <c r="Q49" s="207">
        <f t="shared" si="48"/>
        <v>84600</v>
      </c>
      <c r="R49" s="207"/>
      <c r="S49" s="259"/>
      <c r="T49" s="259">
        <f>G49*0.6</f>
        <v>56.4</v>
      </c>
      <c r="U49" s="259">
        <f>G49*0.4</f>
        <v>37.6</v>
      </c>
      <c r="V49" s="259"/>
      <c r="W49" s="211">
        <f t="shared" si="49"/>
        <v>0</v>
      </c>
      <c r="X49" s="211">
        <f t="shared" si="50"/>
        <v>507600</v>
      </c>
      <c r="Y49" s="211">
        <f t="shared" si="51"/>
        <v>338400</v>
      </c>
      <c r="Z49" s="211">
        <f t="shared" si="52"/>
        <v>0</v>
      </c>
      <c r="AA49" s="296">
        <v>0</v>
      </c>
      <c r="AB49" s="202">
        <f t="shared" si="53"/>
        <v>0</v>
      </c>
      <c r="AC49" s="259">
        <v>15</v>
      </c>
      <c r="AD49" s="202">
        <f t="shared" si="54"/>
        <v>135000</v>
      </c>
      <c r="AE49" s="259">
        <v>15</v>
      </c>
      <c r="AF49" s="202">
        <f t="shared" si="55"/>
        <v>135000</v>
      </c>
      <c r="AG49" s="259">
        <v>10</v>
      </c>
      <c r="AH49" s="202">
        <f t="shared" si="56"/>
        <v>90000</v>
      </c>
      <c r="AI49" s="259">
        <v>0</v>
      </c>
      <c r="AJ49" s="202">
        <f t="shared" si="57"/>
        <v>0</v>
      </c>
      <c r="AK49" s="259">
        <v>4</v>
      </c>
      <c r="AL49" s="202">
        <f t="shared" si="58"/>
        <v>36000</v>
      </c>
      <c r="AM49" s="259">
        <v>0</v>
      </c>
      <c r="AN49" s="202">
        <f t="shared" si="59"/>
        <v>0</v>
      </c>
      <c r="AO49" s="259">
        <v>10</v>
      </c>
      <c r="AP49" s="202">
        <f t="shared" si="60"/>
        <v>90000</v>
      </c>
      <c r="AQ49" s="259">
        <v>0</v>
      </c>
      <c r="AR49" s="202">
        <f t="shared" si="61"/>
        <v>0</v>
      </c>
      <c r="AS49" s="259">
        <v>0</v>
      </c>
      <c r="AT49" s="202">
        <f t="shared" si="62"/>
        <v>0</v>
      </c>
      <c r="AU49" s="259">
        <v>10</v>
      </c>
      <c r="AV49" s="202">
        <f t="shared" si="75"/>
        <v>90000</v>
      </c>
      <c r="AW49" s="129">
        <v>0</v>
      </c>
      <c r="AX49" s="202">
        <f t="shared" si="63"/>
        <v>0</v>
      </c>
      <c r="AY49" s="518">
        <v>10</v>
      </c>
      <c r="AZ49" s="202">
        <f t="shared" si="64"/>
        <v>90000</v>
      </c>
      <c r="BA49" s="259">
        <v>2</v>
      </c>
      <c r="BB49" s="202">
        <f t="shared" si="65"/>
        <v>18000</v>
      </c>
      <c r="BC49" s="297">
        <v>15</v>
      </c>
      <c r="BD49" s="202">
        <f t="shared" si="66"/>
        <v>135000</v>
      </c>
      <c r="BE49" s="259">
        <v>0</v>
      </c>
      <c r="BF49" s="202">
        <f t="shared" si="67"/>
        <v>0</v>
      </c>
      <c r="BG49" s="259">
        <v>3</v>
      </c>
      <c r="BH49" s="202">
        <f t="shared" si="68"/>
        <v>27000</v>
      </c>
      <c r="BI49" s="259"/>
      <c r="BJ49" s="202">
        <f t="shared" si="69"/>
        <v>0</v>
      </c>
      <c r="BK49" s="202">
        <f t="shared" si="70"/>
        <v>94</v>
      </c>
      <c r="BL49" s="202">
        <f t="shared" si="71"/>
        <v>846000</v>
      </c>
      <c r="BM49" s="236" t="s">
        <v>222</v>
      </c>
      <c r="BN49" s="219"/>
      <c r="BO49" s="207"/>
      <c r="BP49" s="295"/>
      <c r="BQ49" s="254">
        <f t="shared" si="72"/>
        <v>846000</v>
      </c>
      <c r="BR49" s="295"/>
      <c r="BS49" s="163">
        <f t="shared" si="44"/>
        <v>846000</v>
      </c>
      <c r="BT49" s="295"/>
      <c r="BU49" s="295"/>
      <c r="BV49" s="163"/>
      <c r="BW49" s="203">
        <f t="shared" si="73"/>
        <v>846000</v>
      </c>
    </row>
    <row r="50" spans="1:75" s="265" customFormat="1" ht="17.25" customHeight="1">
      <c r="A50" s="204"/>
      <c r="B50" s="196"/>
      <c r="C50" s="272" t="s">
        <v>858</v>
      </c>
      <c r="D50" s="298" t="s">
        <v>260</v>
      </c>
      <c r="E50" s="258" t="s">
        <v>76</v>
      </c>
      <c r="F50" s="229">
        <v>9000</v>
      </c>
      <c r="G50" s="206">
        <f t="shared" si="45"/>
        <v>129</v>
      </c>
      <c r="H50" s="207">
        <f t="shared" si="74"/>
        <v>1161000</v>
      </c>
      <c r="I50" s="207">
        <f t="shared" si="46"/>
        <v>116100</v>
      </c>
      <c r="J50" s="207">
        <f t="shared" si="47"/>
        <v>928800</v>
      </c>
      <c r="K50" s="207"/>
      <c r="L50" s="207"/>
      <c r="M50" s="207"/>
      <c r="N50" s="207"/>
      <c r="O50" s="207"/>
      <c r="P50" s="207"/>
      <c r="Q50" s="207">
        <f t="shared" si="48"/>
        <v>116100</v>
      </c>
      <c r="R50" s="207"/>
      <c r="S50" s="259"/>
      <c r="T50" s="259"/>
      <c r="U50" s="259">
        <f t="shared" ref="U50:U55" si="76">G50</f>
        <v>129</v>
      </c>
      <c r="V50" s="259"/>
      <c r="W50" s="211">
        <f t="shared" si="49"/>
        <v>0</v>
      </c>
      <c r="X50" s="211">
        <f t="shared" si="50"/>
        <v>0</v>
      </c>
      <c r="Y50" s="211">
        <f t="shared" si="51"/>
        <v>1161000</v>
      </c>
      <c r="Z50" s="211">
        <f t="shared" si="52"/>
        <v>0</v>
      </c>
      <c r="AA50" s="296">
        <v>0</v>
      </c>
      <c r="AB50" s="202">
        <f t="shared" si="53"/>
        <v>0</v>
      </c>
      <c r="AC50" s="259"/>
      <c r="AD50" s="202">
        <f t="shared" si="54"/>
        <v>0</v>
      </c>
      <c r="AE50" s="259">
        <v>30</v>
      </c>
      <c r="AF50" s="202">
        <f t="shared" si="55"/>
        <v>270000</v>
      </c>
      <c r="AG50" s="259">
        <v>20</v>
      </c>
      <c r="AH50" s="202">
        <f t="shared" si="56"/>
        <v>180000</v>
      </c>
      <c r="AI50" s="259">
        <v>0</v>
      </c>
      <c r="AJ50" s="202">
        <f t="shared" si="57"/>
        <v>0</v>
      </c>
      <c r="AK50" s="259">
        <v>4</v>
      </c>
      <c r="AL50" s="202">
        <f t="shared" si="58"/>
        <v>36000</v>
      </c>
      <c r="AM50" s="259">
        <v>10</v>
      </c>
      <c r="AN50" s="202">
        <f t="shared" si="59"/>
        <v>90000</v>
      </c>
      <c r="AO50" s="259">
        <v>5</v>
      </c>
      <c r="AP50" s="202">
        <f t="shared" si="60"/>
        <v>45000</v>
      </c>
      <c r="AQ50" s="259">
        <v>0</v>
      </c>
      <c r="AR50" s="202">
        <f t="shared" si="61"/>
        <v>0</v>
      </c>
      <c r="AS50" s="259">
        <v>0</v>
      </c>
      <c r="AT50" s="202">
        <f t="shared" si="62"/>
        <v>0</v>
      </c>
      <c r="AU50" s="516">
        <v>0</v>
      </c>
      <c r="AV50" s="511">
        <f t="shared" si="75"/>
        <v>0</v>
      </c>
      <c r="AW50" s="129">
        <v>40</v>
      </c>
      <c r="AX50" s="202">
        <f t="shared" si="63"/>
        <v>360000</v>
      </c>
      <c r="AY50" s="260">
        <v>0</v>
      </c>
      <c r="AZ50" s="202">
        <f t="shared" si="64"/>
        <v>0</v>
      </c>
      <c r="BA50" s="259">
        <v>0</v>
      </c>
      <c r="BB50" s="202">
        <f t="shared" si="65"/>
        <v>0</v>
      </c>
      <c r="BC50" s="297">
        <v>20</v>
      </c>
      <c r="BD50" s="202">
        <f t="shared" si="66"/>
        <v>180000</v>
      </c>
      <c r="BE50" s="259">
        <v>0</v>
      </c>
      <c r="BF50" s="202">
        <f t="shared" si="67"/>
        <v>0</v>
      </c>
      <c r="BG50" s="259">
        <v>0</v>
      </c>
      <c r="BH50" s="202">
        <f t="shared" si="68"/>
        <v>0</v>
      </c>
      <c r="BI50" s="259"/>
      <c r="BJ50" s="202">
        <f t="shared" si="69"/>
        <v>0</v>
      </c>
      <c r="BK50" s="202">
        <f t="shared" si="70"/>
        <v>129</v>
      </c>
      <c r="BL50" s="202">
        <f t="shared" si="71"/>
        <v>1161000</v>
      </c>
      <c r="BM50" s="236" t="s">
        <v>222</v>
      </c>
      <c r="BN50" s="219"/>
      <c r="BO50" s="207"/>
      <c r="BP50" s="295"/>
      <c r="BQ50" s="254">
        <f t="shared" si="72"/>
        <v>1161000</v>
      </c>
      <c r="BR50" s="295"/>
      <c r="BS50" s="163">
        <f t="shared" si="44"/>
        <v>1161000</v>
      </c>
      <c r="BT50" s="295"/>
      <c r="BU50" s="295"/>
      <c r="BV50" s="163"/>
      <c r="BW50" s="203">
        <f t="shared" si="73"/>
        <v>1161000</v>
      </c>
    </row>
    <row r="51" spans="1:75" s="265" customFormat="1" ht="18" customHeight="1">
      <c r="A51" s="204"/>
      <c r="B51" s="196"/>
      <c r="C51" s="272" t="s">
        <v>859</v>
      </c>
      <c r="D51" s="196" t="s">
        <v>836</v>
      </c>
      <c r="E51" s="258" t="s">
        <v>76</v>
      </c>
      <c r="F51" s="229">
        <v>80000</v>
      </c>
      <c r="G51" s="206">
        <f>BK51</f>
        <v>96.6</v>
      </c>
      <c r="H51" s="206">
        <f>BL51</f>
        <v>7320960</v>
      </c>
      <c r="I51" s="207">
        <f t="shared" si="46"/>
        <v>732096</v>
      </c>
      <c r="J51" s="207">
        <f t="shared" si="47"/>
        <v>5856768</v>
      </c>
      <c r="K51" s="207"/>
      <c r="L51" s="207"/>
      <c r="M51" s="207"/>
      <c r="N51" s="207"/>
      <c r="O51" s="207"/>
      <c r="P51" s="207"/>
      <c r="Q51" s="207">
        <f t="shared" si="48"/>
        <v>732096</v>
      </c>
      <c r="R51" s="207"/>
      <c r="S51" s="259"/>
      <c r="T51" s="259"/>
      <c r="U51" s="259">
        <f t="shared" si="76"/>
        <v>96.6</v>
      </c>
      <c r="V51" s="259"/>
      <c r="W51" s="211">
        <f t="shared" si="49"/>
        <v>0</v>
      </c>
      <c r="X51" s="211">
        <f t="shared" si="50"/>
        <v>0</v>
      </c>
      <c r="Y51" s="211">
        <f t="shared" si="51"/>
        <v>7728000</v>
      </c>
      <c r="Z51" s="211">
        <f t="shared" si="52"/>
        <v>0</v>
      </c>
      <c r="AA51" s="296">
        <v>0</v>
      </c>
      <c r="AB51" s="202">
        <f t="shared" si="53"/>
        <v>0</v>
      </c>
      <c r="AC51" s="259">
        <v>4</v>
      </c>
      <c r="AD51" s="202">
        <f t="shared" si="54"/>
        <v>320000</v>
      </c>
      <c r="AE51" s="259">
        <v>2</v>
      </c>
      <c r="AF51" s="202">
        <f t="shared" si="55"/>
        <v>160000</v>
      </c>
      <c r="AG51" s="259">
        <v>3</v>
      </c>
      <c r="AH51" s="202">
        <f t="shared" si="56"/>
        <v>240000</v>
      </c>
      <c r="AI51" s="259">
        <v>2</v>
      </c>
      <c r="AJ51" s="202">
        <f t="shared" si="57"/>
        <v>160000</v>
      </c>
      <c r="AK51" s="259">
        <v>4</v>
      </c>
      <c r="AL51" s="202">
        <f t="shared" si="58"/>
        <v>320000</v>
      </c>
      <c r="AM51" s="612">
        <v>10.6</v>
      </c>
      <c r="AN51" s="511">
        <v>440960</v>
      </c>
      <c r="AO51" s="259">
        <v>5</v>
      </c>
      <c r="AP51" s="202">
        <f t="shared" si="60"/>
        <v>400000</v>
      </c>
      <c r="AQ51" s="259">
        <v>0</v>
      </c>
      <c r="AR51" s="202">
        <f t="shared" si="61"/>
        <v>0</v>
      </c>
      <c r="AS51" s="259">
        <v>0</v>
      </c>
      <c r="AT51" s="202">
        <f t="shared" si="62"/>
        <v>0</v>
      </c>
      <c r="AU51" s="259">
        <v>9</v>
      </c>
      <c r="AV51" s="202">
        <f t="shared" si="75"/>
        <v>720000</v>
      </c>
      <c r="AW51" s="129">
        <v>10</v>
      </c>
      <c r="AX51" s="202">
        <f t="shared" si="63"/>
        <v>800000</v>
      </c>
      <c r="AY51" s="260">
        <v>12</v>
      </c>
      <c r="AZ51" s="202">
        <f t="shared" si="64"/>
        <v>960000</v>
      </c>
      <c r="BA51" s="259">
        <v>8</v>
      </c>
      <c r="BB51" s="202">
        <f t="shared" si="65"/>
        <v>640000</v>
      </c>
      <c r="BC51" s="297">
        <v>8</v>
      </c>
      <c r="BD51" s="202">
        <f t="shared" si="66"/>
        <v>640000</v>
      </c>
      <c r="BE51" s="259">
        <v>9</v>
      </c>
      <c r="BF51" s="202">
        <f t="shared" si="67"/>
        <v>720000</v>
      </c>
      <c r="BG51" s="259">
        <v>10</v>
      </c>
      <c r="BH51" s="202">
        <f t="shared" si="68"/>
        <v>800000</v>
      </c>
      <c r="BI51" s="259"/>
      <c r="BJ51" s="202">
        <f t="shared" si="69"/>
        <v>0</v>
      </c>
      <c r="BK51" s="202">
        <f t="shared" si="70"/>
        <v>96.6</v>
      </c>
      <c r="BL51" s="202">
        <f t="shared" si="71"/>
        <v>7320960</v>
      </c>
      <c r="BM51" s="236" t="s">
        <v>222</v>
      </c>
      <c r="BN51" s="219"/>
      <c r="BO51" s="207"/>
      <c r="BP51" s="295"/>
      <c r="BQ51" s="254">
        <f t="shared" si="72"/>
        <v>7320960</v>
      </c>
      <c r="BR51" s="295"/>
      <c r="BS51" s="163">
        <f t="shared" si="44"/>
        <v>7320960</v>
      </c>
      <c r="BT51" s="295"/>
      <c r="BU51" s="295"/>
      <c r="BV51" s="163"/>
      <c r="BW51" s="203">
        <f t="shared" si="73"/>
        <v>7320960</v>
      </c>
    </row>
    <row r="52" spans="1:75" s="265" customFormat="1" ht="20.25" customHeight="1">
      <c r="A52" s="204"/>
      <c r="B52" s="196"/>
      <c r="C52" s="272" t="s">
        <v>860</v>
      </c>
      <c r="D52" s="196" t="s">
        <v>257</v>
      </c>
      <c r="E52" s="258" t="s">
        <v>76</v>
      </c>
      <c r="F52" s="551">
        <v>70000</v>
      </c>
      <c r="G52" s="206">
        <f t="shared" si="45"/>
        <v>8.5</v>
      </c>
      <c r="H52" s="206">
        <f t="shared" si="45"/>
        <v>547000</v>
      </c>
      <c r="I52" s="207">
        <f t="shared" si="46"/>
        <v>54700</v>
      </c>
      <c r="J52" s="207">
        <f t="shared" si="47"/>
        <v>437600</v>
      </c>
      <c r="K52" s="207"/>
      <c r="L52" s="207"/>
      <c r="M52" s="207"/>
      <c r="N52" s="207"/>
      <c r="O52" s="207"/>
      <c r="P52" s="207"/>
      <c r="Q52" s="207">
        <f t="shared" si="48"/>
        <v>54700</v>
      </c>
      <c r="R52" s="207"/>
      <c r="S52" s="259"/>
      <c r="T52" s="259"/>
      <c r="U52" s="259">
        <f t="shared" si="76"/>
        <v>8.5</v>
      </c>
      <c r="V52" s="259"/>
      <c r="W52" s="211">
        <f t="shared" si="49"/>
        <v>0</v>
      </c>
      <c r="X52" s="211">
        <f t="shared" si="50"/>
        <v>0</v>
      </c>
      <c r="Y52" s="211">
        <f t="shared" si="51"/>
        <v>595000</v>
      </c>
      <c r="Z52" s="211">
        <f t="shared" si="52"/>
        <v>0</v>
      </c>
      <c r="AA52" s="296">
        <v>0</v>
      </c>
      <c r="AB52" s="202">
        <f t="shared" si="53"/>
        <v>0</v>
      </c>
      <c r="AC52" s="259">
        <v>1</v>
      </c>
      <c r="AD52" s="202">
        <v>22000</v>
      </c>
      <c r="AE52" s="259">
        <v>0</v>
      </c>
      <c r="AF52" s="202">
        <f t="shared" si="55"/>
        <v>0</v>
      </c>
      <c r="AG52" s="259">
        <v>0</v>
      </c>
      <c r="AH52" s="202">
        <f t="shared" si="56"/>
        <v>0</v>
      </c>
      <c r="AI52" s="259"/>
      <c r="AJ52" s="202">
        <f t="shared" si="57"/>
        <v>0</v>
      </c>
      <c r="AK52" s="259">
        <v>0</v>
      </c>
      <c r="AL52" s="202">
        <f t="shared" si="58"/>
        <v>0</v>
      </c>
      <c r="AM52" s="516">
        <v>0</v>
      </c>
      <c r="AN52" s="511">
        <f t="shared" si="59"/>
        <v>0</v>
      </c>
      <c r="AO52" s="259">
        <v>0</v>
      </c>
      <c r="AP52" s="202">
        <f t="shared" si="60"/>
        <v>0</v>
      </c>
      <c r="AQ52" s="259">
        <v>0</v>
      </c>
      <c r="AR52" s="202">
        <f t="shared" si="61"/>
        <v>0</v>
      </c>
      <c r="AS52" s="259">
        <v>0</v>
      </c>
      <c r="AT52" s="202">
        <f t="shared" si="62"/>
        <v>0</v>
      </c>
      <c r="AU52" s="259">
        <v>5</v>
      </c>
      <c r="AV52" s="202">
        <f t="shared" si="75"/>
        <v>350000</v>
      </c>
      <c r="AW52" s="129">
        <v>0</v>
      </c>
      <c r="AX52" s="202">
        <f t="shared" si="63"/>
        <v>0</v>
      </c>
      <c r="AY52" s="260">
        <v>0</v>
      </c>
      <c r="AZ52" s="202">
        <f t="shared" si="64"/>
        <v>0</v>
      </c>
      <c r="BA52" s="259">
        <v>0</v>
      </c>
      <c r="BB52" s="202">
        <f t="shared" si="65"/>
        <v>0</v>
      </c>
      <c r="BC52" s="552">
        <v>1.5</v>
      </c>
      <c r="BD52" s="202">
        <f t="shared" si="66"/>
        <v>105000</v>
      </c>
      <c r="BE52" s="259">
        <v>0</v>
      </c>
      <c r="BF52" s="202">
        <f t="shared" si="67"/>
        <v>0</v>
      </c>
      <c r="BG52" s="259">
        <v>1</v>
      </c>
      <c r="BH52" s="202">
        <f t="shared" si="68"/>
        <v>70000</v>
      </c>
      <c r="BI52" s="259"/>
      <c r="BJ52" s="202">
        <f t="shared" si="69"/>
        <v>0</v>
      </c>
      <c r="BK52" s="202">
        <f t="shared" si="70"/>
        <v>8.5</v>
      </c>
      <c r="BL52" s="202">
        <f t="shared" si="71"/>
        <v>547000</v>
      </c>
      <c r="BM52" s="236" t="s">
        <v>222</v>
      </c>
      <c r="BN52" s="219"/>
      <c r="BO52" s="207"/>
      <c r="BP52" s="295"/>
      <c r="BQ52" s="254">
        <f t="shared" si="72"/>
        <v>547000</v>
      </c>
      <c r="BR52" s="295"/>
      <c r="BS52" s="163">
        <f t="shared" si="44"/>
        <v>547000</v>
      </c>
      <c r="BT52" s="295"/>
      <c r="BU52" s="295"/>
      <c r="BV52" s="163"/>
      <c r="BW52" s="203">
        <f t="shared" si="73"/>
        <v>547000</v>
      </c>
    </row>
    <row r="53" spans="1:75" s="265" customFormat="1" ht="18" customHeight="1">
      <c r="A53" s="204"/>
      <c r="B53" s="196"/>
      <c r="C53" s="272" t="s">
        <v>861</v>
      </c>
      <c r="D53" s="298" t="s">
        <v>837</v>
      </c>
      <c r="E53" s="258" t="s">
        <v>76</v>
      </c>
      <c r="F53" s="229">
        <v>9000</v>
      </c>
      <c r="G53" s="206">
        <f t="shared" si="45"/>
        <v>60</v>
      </c>
      <c r="H53" s="207">
        <f t="shared" si="74"/>
        <v>540000</v>
      </c>
      <c r="I53" s="207">
        <f t="shared" si="46"/>
        <v>54000</v>
      </c>
      <c r="J53" s="207">
        <f t="shared" si="47"/>
        <v>432000</v>
      </c>
      <c r="K53" s="207"/>
      <c r="L53" s="207"/>
      <c r="M53" s="207"/>
      <c r="N53" s="207"/>
      <c r="O53" s="207"/>
      <c r="P53" s="207"/>
      <c r="Q53" s="207">
        <f t="shared" si="48"/>
        <v>54000</v>
      </c>
      <c r="R53" s="207"/>
      <c r="S53" s="259"/>
      <c r="T53" s="259"/>
      <c r="U53" s="259">
        <f t="shared" si="76"/>
        <v>60</v>
      </c>
      <c r="V53" s="259"/>
      <c r="W53" s="211">
        <f t="shared" si="49"/>
        <v>0</v>
      </c>
      <c r="X53" s="211">
        <f t="shared" si="50"/>
        <v>0</v>
      </c>
      <c r="Y53" s="211">
        <f t="shared" si="51"/>
        <v>540000</v>
      </c>
      <c r="Z53" s="211">
        <f t="shared" si="52"/>
        <v>0</v>
      </c>
      <c r="AA53" s="296">
        <v>0</v>
      </c>
      <c r="AB53" s="202">
        <f t="shared" si="53"/>
        <v>0</v>
      </c>
      <c r="AC53" s="259">
        <v>0</v>
      </c>
      <c r="AD53" s="202">
        <f t="shared" si="54"/>
        <v>0</v>
      </c>
      <c r="AE53" s="259">
        <v>6</v>
      </c>
      <c r="AF53" s="202">
        <f t="shared" si="55"/>
        <v>54000</v>
      </c>
      <c r="AG53" s="259">
        <v>0</v>
      </c>
      <c r="AH53" s="202">
        <f t="shared" si="56"/>
        <v>0</v>
      </c>
      <c r="AI53" s="516">
        <v>0</v>
      </c>
      <c r="AJ53" s="511">
        <f t="shared" si="57"/>
        <v>0</v>
      </c>
      <c r="AK53" s="259">
        <v>0</v>
      </c>
      <c r="AL53" s="202">
        <f t="shared" si="58"/>
        <v>0</v>
      </c>
      <c r="AM53" s="259">
        <v>10</v>
      </c>
      <c r="AN53" s="202">
        <f t="shared" si="59"/>
        <v>90000</v>
      </c>
      <c r="AO53" s="259">
        <v>0</v>
      </c>
      <c r="AP53" s="202">
        <f t="shared" si="60"/>
        <v>0</v>
      </c>
      <c r="AQ53" s="259">
        <v>0</v>
      </c>
      <c r="AR53" s="202">
        <f t="shared" si="61"/>
        <v>0</v>
      </c>
      <c r="AS53" s="259">
        <v>2</v>
      </c>
      <c r="AT53" s="202">
        <f t="shared" si="62"/>
        <v>18000</v>
      </c>
      <c r="AU53" s="259">
        <v>0</v>
      </c>
      <c r="AV53" s="202">
        <f t="shared" si="75"/>
        <v>0</v>
      </c>
      <c r="AW53" s="129"/>
      <c r="AX53" s="202">
        <f t="shared" si="63"/>
        <v>0</v>
      </c>
      <c r="AY53" s="260">
        <v>0</v>
      </c>
      <c r="AZ53" s="202">
        <f t="shared" si="64"/>
        <v>0</v>
      </c>
      <c r="BA53" s="259">
        <v>0</v>
      </c>
      <c r="BB53" s="202">
        <f t="shared" si="65"/>
        <v>0</v>
      </c>
      <c r="BC53" s="297">
        <v>0</v>
      </c>
      <c r="BD53" s="202">
        <f t="shared" si="66"/>
        <v>0</v>
      </c>
      <c r="BE53" s="259">
        <v>40</v>
      </c>
      <c r="BF53" s="202">
        <f t="shared" si="67"/>
        <v>360000</v>
      </c>
      <c r="BG53" s="259">
        <v>2</v>
      </c>
      <c r="BH53" s="202">
        <f t="shared" si="68"/>
        <v>18000</v>
      </c>
      <c r="BI53" s="259"/>
      <c r="BJ53" s="202">
        <f t="shared" si="69"/>
        <v>0</v>
      </c>
      <c r="BK53" s="202">
        <f t="shared" si="70"/>
        <v>60</v>
      </c>
      <c r="BL53" s="202">
        <f t="shared" si="71"/>
        <v>540000</v>
      </c>
      <c r="BM53" s="236" t="s">
        <v>222</v>
      </c>
      <c r="BN53" s="219"/>
      <c r="BO53" s="207"/>
      <c r="BP53" s="295"/>
      <c r="BQ53" s="254">
        <f t="shared" si="72"/>
        <v>540000</v>
      </c>
      <c r="BR53" s="295"/>
      <c r="BS53" s="163">
        <f t="shared" si="44"/>
        <v>540000</v>
      </c>
      <c r="BT53" s="295"/>
      <c r="BU53" s="295"/>
      <c r="BV53" s="163"/>
      <c r="BW53" s="203">
        <f t="shared" si="73"/>
        <v>540000</v>
      </c>
    </row>
    <row r="54" spans="1:75" s="265" customFormat="1" ht="18" customHeight="1">
      <c r="A54" s="204"/>
      <c r="B54" s="196"/>
      <c r="C54" s="272" t="s">
        <v>862</v>
      </c>
      <c r="D54" s="298" t="s">
        <v>838</v>
      </c>
      <c r="E54" s="258" t="s">
        <v>76</v>
      </c>
      <c r="F54" s="229">
        <v>9000</v>
      </c>
      <c r="G54" s="206">
        <f t="shared" si="45"/>
        <v>60</v>
      </c>
      <c r="H54" s="207">
        <f t="shared" si="74"/>
        <v>540000</v>
      </c>
      <c r="I54" s="207">
        <f t="shared" si="46"/>
        <v>54000</v>
      </c>
      <c r="J54" s="207">
        <f t="shared" si="47"/>
        <v>432000</v>
      </c>
      <c r="K54" s="207"/>
      <c r="L54" s="207"/>
      <c r="M54" s="207"/>
      <c r="N54" s="207"/>
      <c r="O54" s="207"/>
      <c r="P54" s="207"/>
      <c r="Q54" s="207">
        <f t="shared" si="48"/>
        <v>54000</v>
      </c>
      <c r="R54" s="207"/>
      <c r="S54" s="259"/>
      <c r="T54" s="259"/>
      <c r="U54" s="259">
        <f t="shared" si="76"/>
        <v>60</v>
      </c>
      <c r="V54" s="259"/>
      <c r="W54" s="211">
        <f t="shared" si="49"/>
        <v>0</v>
      </c>
      <c r="X54" s="211">
        <f t="shared" si="50"/>
        <v>0</v>
      </c>
      <c r="Y54" s="211">
        <f t="shared" si="51"/>
        <v>540000</v>
      </c>
      <c r="Z54" s="211">
        <f t="shared" si="52"/>
        <v>0</v>
      </c>
      <c r="AA54" s="296">
        <v>5</v>
      </c>
      <c r="AB54" s="202">
        <f t="shared" si="53"/>
        <v>45000</v>
      </c>
      <c r="AC54" s="259"/>
      <c r="AD54" s="202">
        <f t="shared" si="54"/>
        <v>0</v>
      </c>
      <c r="AE54" s="259"/>
      <c r="AF54" s="202">
        <f t="shared" si="55"/>
        <v>0</v>
      </c>
      <c r="AG54" s="259">
        <v>20</v>
      </c>
      <c r="AH54" s="202">
        <f t="shared" si="56"/>
        <v>180000</v>
      </c>
      <c r="AI54" s="259">
        <v>20</v>
      </c>
      <c r="AJ54" s="202">
        <f t="shared" si="57"/>
        <v>180000</v>
      </c>
      <c r="AK54" s="259">
        <v>0</v>
      </c>
      <c r="AL54" s="202">
        <f t="shared" si="58"/>
        <v>0</v>
      </c>
      <c r="AM54" s="259">
        <v>10</v>
      </c>
      <c r="AN54" s="202">
        <f t="shared" si="59"/>
        <v>90000</v>
      </c>
      <c r="AO54" s="259">
        <v>0</v>
      </c>
      <c r="AP54" s="202">
        <f t="shared" si="60"/>
        <v>0</v>
      </c>
      <c r="AQ54" s="259">
        <v>0</v>
      </c>
      <c r="AR54" s="202">
        <f t="shared" si="61"/>
        <v>0</v>
      </c>
      <c r="AS54" s="259">
        <v>0</v>
      </c>
      <c r="AT54" s="202">
        <f t="shared" si="62"/>
        <v>0</v>
      </c>
      <c r="AU54" s="259">
        <v>0</v>
      </c>
      <c r="AV54" s="202">
        <f t="shared" si="75"/>
        <v>0</v>
      </c>
      <c r="AW54" s="129"/>
      <c r="AX54" s="202">
        <f t="shared" si="63"/>
        <v>0</v>
      </c>
      <c r="AY54" s="260"/>
      <c r="AZ54" s="202">
        <f t="shared" si="64"/>
        <v>0</v>
      </c>
      <c r="BA54" s="259">
        <v>0</v>
      </c>
      <c r="BB54" s="202">
        <f t="shared" si="65"/>
        <v>0</v>
      </c>
      <c r="BC54" s="297">
        <v>5</v>
      </c>
      <c r="BD54" s="202">
        <f t="shared" si="66"/>
        <v>45000</v>
      </c>
      <c r="BE54" s="259">
        <v>0</v>
      </c>
      <c r="BF54" s="202">
        <f t="shared" si="67"/>
        <v>0</v>
      </c>
      <c r="BG54" s="259">
        <v>0</v>
      </c>
      <c r="BH54" s="202">
        <f t="shared" si="68"/>
        <v>0</v>
      </c>
      <c r="BI54" s="259"/>
      <c r="BJ54" s="202">
        <f t="shared" si="69"/>
        <v>0</v>
      </c>
      <c r="BK54" s="202">
        <f t="shared" si="70"/>
        <v>60</v>
      </c>
      <c r="BL54" s="202">
        <f t="shared" si="71"/>
        <v>540000</v>
      </c>
      <c r="BM54" s="236" t="s">
        <v>222</v>
      </c>
      <c r="BN54" s="219"/>
      <c r="BO54" s="207"/>
      <c r="BP54" s="295"/>
      <c r="BQ54" s="254">
        <f t="shared" si="72"/>
        <v>540000</v>
      </c>
      <c r="BR54" s="295"/>
      <c r="BS54" s="163">
        <f t="shared" si="44"/>
        <v>540000</v>
      </c>
      <c r="BT54" s="295"/>
      <c r="BU54" s="295"/>
      <c r="BV54" s="163"/>
      <c r="BW54" s="203">
        <f t="shared" si="73"/>
        <v>540000</v>
      </c>
    </row>
    <row r="55" spans="1:75" s="265" customFormat="1" ht="18" customHeight="1">
      <c r="A55" s="204"/>
      <c r="B55" s="196"/>
      <c r="C55" s="272" t="s">
        <v>863</v>
      </c>
      <c r="D55" s="196" t="s">
        <v>678</v>
      </c>
      <c r="E55" s="258" t="s">
        <v>76</v>
      </c>
      <c r="F55" s="229">
        <v>88800</v>
      </c>
      <c r="G55" s="206">
        <f>BK55</f>
        <v>68</v>
      </c>
      <c r="H55" s="206">
        <f>BL55</f>
        <v>6118320</v>
      </c>
      <c r="I55" s="207">
        <f t="shared" si="46"/>
        <v>611832</v>
      </c>
      <c r="J55" s="207">
        <f t="shared" si="47"/>
        <v>4894656</v>
      </c>
      <c r="K55" s="207"/>
      <c r="L55" s="207"/>
      <c r="M55" s="207"/>
      <c r="N55" s="207"/>
      <c r="O55" s="207"/>
      <c r="P55" s="207"/>
      <c r="Q55" s="207">
        <f t="shared" si="48"/>
        <v>611832</v>
      </c>
      <c r="R55" s="207"/>
      <c r="S55" s="212"/>
      <c r="T55" s="212"/>
      <c r="U55" s="259">
        <f t="shared" si="76"/>
        <v>68</v>
      </c>
      <c r="V55" s="259">
        <v>0</v>
      </c>
      <c r="W55" s="211">
        <f t="shared" si="49"/>
        <v>0</v>
      </c>
      <c r="X55" s="211">
        <f t="shared" si="50"/>
        <v>0</v>
      </c>
      <c r="Y55" s="211">
        <f t="shared" si="51"/>
        <v>6038400</v>
      </c>
      <c r="Z55" s="211">
        <f t="shared" si="52"/>
        <v>0</v>
      </c>
      <c r="AA55" s="296">
        <v>2</v>
      </c>
      <c r="AB55" s="202">
        <f t="shared" si="53"/>
        <v>177600</v>
      </c>
      <c r="AC55" s="259">
        <v>0</v>
      </c>
      <c r="AD55" s="202">
        <f t="shared" si="54"/>
        <v>0</v>
      </c>
      <c r="AE55" s="259">
        <v>3</v>
      </c>
      <c r="AF55" s="202">
        <f t="shared" si="55"/>
        <v>266400</v>
      </c>
      <c r="AG55" s="259">
        <v>5</v>
      </c>
      <c r="AH55" s="202">
        <f t="shared" si="56"/>
        <v>444000</v>
      </c>
      <c r="AI55" s="259">
        <v>5</v>
      </c>
      <c r="AJ55" s="202">
        <f t="shared" si="57"/>
        <v>444000</v>
      </c>
      <c r="AK55" s="259">
        <v>0</v>
      </c>
      <c r="AL55" s="202">
        <f t="shared" si="58"/>
        <v>0</v>
      </c>
      <c r="AM55" s="259">
        <v>5</v>
      </c>
      <c r="AN55" s="202">
        <f t="shared" si="59"/>
        <v>444000</v>
      </c>
      <c r="AO55" s="259">
        <v>5</v>
      </c>
      <c r="AP55" s="202">
        <f t="shared" si="60"/>
        <v>444000</v>
      </c>
      <c r="AQ55" s="259">
        <v>3</v>
      </c>
      <c r="AR55" s="202">
        <f t="shared" si="61"/>
        <v>266400</v>
      </c>
      <c r="AS55" s="516">
        <v>15</v>
      </c>
      <c r="AT55" s="511">
        <f>(AS55*F55)+79920</f>
        <v>1411920</v>
      </c>
      <c r="AU55" s="259">
        <v>5</v>
      </c>
      <c r="AV55" s="202">
        <f t="shared" si="75"/>
        <v>444000</v>
      </c>
      <c r="AW55" s="129">
        <v>3</v>
      </c>
      <c r="AX55" s="202">
        <f t="shared" si="63"/>
        <v>266400</v>
      </c>
      <c r="AY55" s="260">
        <v>0</v>
      </c>
      <c r="AZ55" s="202">
        <f t="shared" si="64"/>
        <v>0</v>
      </c>
      <c r="BA55" s="259">
        <v>4</v>
      </c>
      <c r="BB55" s="202">
        <f t="shared" si="65"/>
        <v>355200</v>
      </c>
      <c r="BC55" s="297">
        <v>4</v>
      </c>
      <c r="BD55" s="202">
        <f t="shared" si="66"/>
        <v>355200</v>
      </c>
      <c r="BE55" s="259">
        <v>5</v>
      </c>
      <c r="BF55" s="202">
        <f t="shared" si="67"/>
        <v>444000</v>
      </c>
      <c r="BG55" s="259">
        <v>4</v>
      </c>
      <c r="BH55" s="202">
        <f t="shared" si="68"/>
        <v>355200</v>
      </c>
      <c r="BI55" s="259"/>
      <c r="BJ55" s="202">
        <f t="shared" si="69"/>
        <v>0</v>
      </c>
      <c r="BK55" s="202">
        <f t="shared" si="70"/>
        <v>68</v>
      </c>
      <c r="BL55" s="202">
        <f t="shared" si="71"/>
        <v>6118320</v>
      </c>
      <c r="BM55" s="236" t="s">
        <v>222</v>
      </c>
      <c r="BN55" s="219"/>
      <c r="BO55" s="207"/>
      <c r="BP55" s="295"/>
      <c r="BQ55" s="254">
        <f>H55</f>
        <v>6118320</v>
      </c>
      <c r="BR55" s="295"/>
      <c r="BS55" s="163">
        <f>BO55+BP55+BQ55+BR55</f>
        <v>6118320</v>
      </c>
      <c r="BT55" s="295"/>
      <c r="BU55" s="295"/>
      <c r="BV55" s="163"/>
      <c r="BW55" s="203">
        <f>BS55+BT55+BU55+BV55</f>
        <v>6118320</v>
      </c>
    </row>
    <row r="56" spans="1:75" s="265" customFormat="1" ht="18" customHeight="1">
      <c r="A56" s="204"/>
      <c r="B56" s="196"/>
      <c r="C56" s="272" t="s">
        <v>864</v>
      </c>
      <c r="D56" s="196" t="s">
        <v>839</v>
      </c>
      <c r="E56" s="258"/>
      <c r="F56" s="229">
        <v>30000</v>
      </c>
      <c r="G56" s="206">
        <f t="shared" si="45"/>
        <v>7</v>
      </c>
      <c r="H56" s="206">
        <f t="shared" si="45"/>
        <v>346167</v>
      </c>
      <c r="I56" s="207">
        <f t="shared" si="46"/>
        <v>34616.700000000004</v>
      </c>
      <c r="J56" s="207">
        <f t="shared" si="47"/>
        <v>276933.60000000003</v>
      </c>
      <c r="K56" s="207"/>
      <c r="L56" s="207"/>
      <c r="M56" s="207"/>
      <c r="N56" s="207"/>
      <c r="O56" s="207"/>
      <c r="P56" s="207"/>
      <c r="Q56" s="207">
        <f t="shared" si="48"/>
        <v>34616.700000000004</v>
      </c>
      <c r="R56" s="207"/>
      <c r="S56" s="212"/>
      <c r="T56" s="212"/>
      <c r="U56" s="259">
        <v>20</v>
      </c>
      <c r="V56" s="259">
        <v>10</v>
      </c>
      <c r="W56" s="211">
        <f t="shared" si="49"/>
        <v>0</v>
      </c>
      <c r="X56" s="211">
        <f t="shared" si="50"/>
        <v>0</v>
      </c>
      <c r="Y56" s="211">
        <f t="shared" si="51"/>
        <v>600000</v>
      </c>
      <c r="Z56" s="211">
        <f t="shared" si="52"/>
        <v>300000</v>
      </c>
      <c r="AA56" s="296">
        <v>0</v>
      </c>
      <c r="AB56" s="202">
        <f t="shared" si="53"/>
        <v>0</v>
      </c>
      <c r="AC56" s="259"/>
      <c r="AD56" s="202">
        <f t="shared" si="54"/>
        <v>0</v>
      </c>
      <c r="AE56" s="259"/>
      <c r="AF56" s="202">
        <f t="shared" si="55"/>
        <v>0</v>
      </c>
      <c r="AG56" s="259"/>
      <c r="AH56" s="202">
        <f t="shared" si="56"/>
        <v>0</v>
      </c>
      <c r="AI56" s="259"/>
      <c r="AJ56" s="202">
        <f t="shared" si="57"/>
        <v>0</v>
      </c>
      <c r="AK56" s="259">
        <v>0</v>
      </c>
      <c r="AL56" s="202">
        <f t="shared" si="58"/>
        <v>0</v>
      </c>
      <c r="AM56" s="259"/>
      <c r="AN56" s="202">
        <f t="shared" si="59"/>
        <v>0</v>
      </c>
      <c r="AO56" s="259">
        <v>0</v>
      </c>
      <c r="AP56" s="202">
        <f t="shared" si="60"/>
        <v>0</v>
      </c>
      <c r="AQ56" s="259">
        <v>0</v>
      </c>
      <c r="AR56" s="202">
        <f t="shared" si="61"/>
        <v>0</v>
      </c>
      <c r="AS56" s="516">
        <v>5</v>
      </c>
      <c r="AT56" s="202">
        <v>286167</v>
      </c>
      <c r="AU56" s="259"/>
      <c r="AV56" s="202">
        <f t="shared" si="75"/>
        <v>0</v>
      </c>
      <c r="AW56" s="129"/>
      <c r="AX56" s="202">
        <f t="shared" si="63"/>
        <v>0</v>
      </c>
      <c r="AY56" s="260"/>
      <c r="AZ56" s="202">
        <f t="shared" si="64"/>
        <v>0</v>
      </c>
      <c r="BA56" s="259">
        <v>2</v>
      </c>
      <c r="BB56" s="202">
        <f t="shared" si="65"/>
        <v>60000</v>
      </c>
      <c r="BC56" s="297">
        <v>0</v>
      </c>
      <c r="BD56" s="202">
        <f t="shared" si="66"/>
        <v>0</v>
      </c>
      <c r="BE56" s="259">
        <v>0</v>
      </c>
      <c r="BF56" s="202">
        <f t="shared" si="67"/>
        <v>0</v>
      </c>
      <c r="BG56" s="259">
        <v>0</v>
      </c>
      <c r="BH56" s="202">
        <f t="shared" si="68"/>
        <v>0</v>
      </c>
      <c r="BI56" s="259"/>
      <c r="BJ56" s="202">
        <f t="shared" si="69"/>
        <v>0</v>
      </c>
      <c r="BK56" s="202">
        <f t="shared" si="70"/>
        <v>7</v>
      </c>
      <c r="BL56" s="202">
        <f t="shared" si="71"/>
        <v>346167</v>
      </c>
      <c r="BM56" s="236" t="s">
        <v>222</v>
      </c>
      <c r="BN56" s="219"/>
      <c r="BO56" s="207"/>
      <c r="BP56" s="295"/>
      <c r="BQ56" s="254">
        <f>H56</f>
        <v>346167</v>
      </c>
      <c r="BR56" s="295"/>
      <c r="BS56" s="163">
        <f>BO56+BP56+BQ56+BR56</f>
        <v>346167</v>
      </c>
      <c r="BT56" s="295"/>
      <c r="BU56" s="295"/>
      <c r="BV56" s="163"/>
      <c r="BW56" s="203">
        <f>BS56+BT56+BU56+BV56</f>
        <v>346167</v>
      </c>
    </row>
    <row r="57" spans="1:75" s="265" customFormat="1" ht="18" customHeight="1">
      <c r="A57" s="204"/>
      <c r="B57" s="196"/>
      <c r="C57" s="272" t="s">
        <v>865</v>
      </c>
      <c r="D57" s="196" t="s">
        <v>278</v>
      </c>
      <c r="E57" s="258" t="s">
        <v>76</v>
      </c>
      <c r="F57" s="229">
        <v>48300</v>
      </c>
      <c r="G57" s="206">
        <f>BK57</f>
        <v>40</v>
      </c>
      <c r="H57" s="207">
        <f t="shared" si="74"/>
        <v>1932000</v>
      </c>
      <c r="I57" s="207">
        <f t="shared" si="46"/>
        <v>193200</v>
      </c>
      <c r="J57" s="207">
        <f t="shared" si="47"/>
        <v>1545600</v>
      </c>
      <c r="K57" s="207"/>
      <c r="L57" s="207"/>
      <c r="M57" s="207"/>
      <c r="N57" s="207"/>
      <c r="O57" s="207"/>
      <c r="P57" s="207"/>
      <c r="Q57" s="207">
        <f t="shared" si="48"/>
        <v>193200</v>
      </c>
      <c r="R57" s="207"/>
      <c r="S57" s="259"/>
      <c r="T57" s="259"/>
      <c r="U57" s="259">
        <f>G57</f>
        <v>40</v>
      </c>
      <c r="V57" s="259"/>
      <c r="W57" s="211">
        <f t="shared" ref="W57:W64" si="77">S57*F57</f>
        <v>0</v>
      </c>
      <c r="X57" s="211">
        <f t="shared" ref="X57:X64" si="78">T57*F57</f>
        <v>0</v>
      </c>
      <c r="Y57" s="211">
        <f t="shared" ref="Y57:Y64" si="79">U57*F57</f>
        <v>1932000</v>
      </c>
      <c r="Z57" s="211">
        <f t="shared" ref="Z57:Z64" si="80">V57*F57</f>
        <v>0</v>
      </c>
      <c r="AA57" s="296">
        <v>5</v>
      </c>
      <c r="AB57" s="202">
        <f t="shared" si="53"/>
        <v>241500</v>
      </c>
      <c r="AC57" s="259">
        <v>3</v>
      </c>
      <c r="AD57" s="202">
        <f t="shared" si="54"/>
        <v>144900</v>
      </c>
      <c r="AE57" s="259">
        <v>5</v>
      </c>
      <c r="AF57" s="202">
        <f t="shared" si="55"/>
        <v>241500</v>
      </c>
      <c r="AG57" s="259">
        <v>0</v>
      </c>
      <c r="AH57" s="202">
        <f t="shared" si="56"/>
        <v>0</v>
      </c>
      <c r="AI57" s="259">
        <v>1</v>
      </c>
      <c r="AJ57" s="202">
        <f t="shared" si="57"/>
        <v>48300</v>
      </c>
      <c r="AK57" s="259">
        <v>0</v>
      </c>
      <c r="AL57" s="202">
        <f t="shared" si="58"/>
        <v>0</v>
      </c>
      <c r="AM57" s="259">
        <v>2</v>
      </c>
      <c r="AN57" s="202">
        <f t="shared" si="59"/>
        <v>96600</v>
      </c>
      <c r="AO57" s="259">
        <v>2</v>
      </c>
      <c r="AP57" s="202">
        <f t="shared" si="60"/>
        <v>96600</v>
      </c>
      <c r="AQ57" s="259">
        <v>0</v>
      </c>
      <c r="AR57" s="202">
        <f t="shared" si="61"/>
        <v>0</v>
      </c>
      <c r="AS57" s="259">
        <v>3</v>
      </c>
      <c r="AT57" s="202">
        <f t="shared" si="62"/>
        <v>144900</v>
      </c>
      <c r="AU57" s="259">
        <v>2</v>
      </c>
      <c r="AV57" s="202">
        <f t="shared" si="75"/>
        <v>96600</v>
      </c>
      <c r="AW57" s="129">
        <v>2</v>
      </c>
      <c r="AX57" s="202">
        <f t="shared" si="63"/>
        <v>96600</v>
      </c>
      <c r="AY57" s="260">
        <v>3</v>
      </c>
      <c r="AZ57" s="202">
        <f t="shared" si="64"/>
        <v>144900</v>
      </c>
      <c r="BA57" s="259">
        <v>1</v>
      </c>
      <c r="BB57" s="202">
        <f t="shared" si="65"/>
        <v>48300</v>
      </c>
      <c r="BC57" s="297">
        <v>5</v>
      </c>
      <c r="BD57" s="202">
        <f t="shared" si="66"/>
        <v>241500</v>
      </c>
      <c r="BE57" s="259">
        <v>6</v>
      </c>
      <c r="BF57" s="202">
        <f t="shared" si="67"/>
        <v>289800</v>
      </c>
      <c r="BG57" s="259">
        <v>0</v>
      </c>
      <c r="BH57" s="202">
        <f t="shared" si="68"/>
        <v>0</v>
      </c>
      <c r="BI57" s="259"/>
      <c r="BJ57" s="202">
        <f t="shared" si="69"/>
        <v>0</v>
      </c>
      <c r="BK57" s="202">
        <f t="shared" si="70"/>
        <v>40</v>
      </c>
      <c r="BL57" s="202">
        <f t="shared" si="71"/>
        <v>1932000</v>
      </c>
      <c r="BM57" s="236" t="s">
        <v>222</v>
      </c>
      <c r="BN57" s="219"/>
      <c r="BO57" s="207"/>
      <c r="BP57" s="295"/>
      <c r="BQ57" s="254">
        <f t="shared" ref="BQ57:BQ64" si="81">H57</f>
        <v>1932000</v>
      </c>
      <c r="BR57" s="295"/>
      <c r="BS57" s="163">
        <f t="shared" ref="BS57:BS64" si="82">BO57+BP57+BQ57+BR57</f>
        <v>1932000</v>
      </c>
      <c r="BT57" s="295"/>
      <c r="BU57" s="295"/>
      <c r="BV57" s="163"/>
      <c r="BW57" s="203">
        <f t="shared" ref="BW57:BW64" si="83">BS57+BT57+BU57+BV57</f>
        <v>1932000</v>
      </c>
    </row>
    <row r="58" spans="1:75" s="265" customFormat="1" ht="18" customHeight="1">
      <c r="A58" s="204"/>
      <c r="B58" s="196"/>
      <c r="C58" s="272" t="s">
        <v>866</v>
      </c>
      <c r="D58" s="196" t="s">
        <v>256</v>
      </c>
      <c r="E58" s="258" t="s">
        <v>76</v>
      </c>
      <c r="F58" s="229">
        <v>27500</v>
      </c>
      <c r="G58" s="206">
        <f>BK58</f>
        <v>95</v>
      </c>
      <c r="H58" s="206">
        <f>BL58</f>
        <v>2348500</v>
      </c>
      <c r="I58" s="207">
        <f t="shared" si="46"/>
        <v>234850</v>
      </c>
      <c r="J58" s="207">
        <f t="shared" si="47"/>
        <v>1878800</v>
      </c>
      <c r="K58" s="207"/>
      <c r="L58" s="207"/>
      <c r="M58" s="207"/>
      <c r="N58" s="207"/>
      <c r="O58" s="207"/>
      <c r="P58" s="207"/>
      <c r="Q58" s="207">
        <f t="shared" si="48"/>
        <v>234850</v>
      </c>
      <c r="R58" s="207"/>
      <c r="S58" s="259"/>
      <c r="T58" s="259"/>
      <c r="U58" s="259">
        <f>G58</f>
        <v>95</v>
      </c>
      <c r="V58" s="259"/>
      <c r="W58" s="211">
        <f t="shared" si="77"/>
        <v>0</v>
      </c>
      <c r="X58" s="211">
        <f t="shared" si="78"/>
        <v>0</v>
      </c>
      <c r="Y58" s="211">
        <f t="shared" si="79"/>
        <v>2612500</v>
      </c>
      <c r="Z58" s="211">
        <f t="shared" si="80"/>
        <v>0</v>
      </c>
      <c r="AA58" s="296">
        <v>6</v>
      </c>
      <c r="AB58" s="202">
        <f t="shared" si="53"/>
        <v>165000</v>
      </c>
      <c r="AC58" s="259">
        <v>5</v>
      </c>
      <c r="AD58" s="202">
        <f t="shared" si="54"/>
        <v>137500</v>
      </c>
      <c r="AE58" s="259">
        <v>6</v>
      </c>
      <c r="AF58" s="202">
        <f t="shared" si="55"/>
        <v>165000</v>
      </c>
      <c r="AG58" s="259">
        <v>7</v>
      </c>
      <c r="AH58" s="202">
        <f t="shared" si="56"/>
        <v>192500</v>
      </c>
      <c r="AI58" s="259">
        <v>7</v>
      </c>
      <c r="AJ58" s="202">
        <f t="shared" si="57"/>
        <v>192500</v>
      </c>
      <c r="AK58" s="259">
        <v>7</v>
      </c>
      <c r="AL58" s="202">
        <f t="shared" si="58"/>
        <v>192500</v>
      </c>
      <c r="AM58" s="259">
        <v>5</v>
      </c>
      <c r="AN58" s="202">
        <f t="shared" si="59"/>
        <v>137500</v>
      </c>
      <c r="AO58" s="516">
        <v>2</v>
      </c>
      <c r="AP58" s="511">
        <f t="shared" si="60"/>
        <v>55000</v>
      </c>
      <c r="AQ58" s="259">
        <v>15</v>
      </c>
      <c r="AR58" s="202">
        <v>137500</v>
      </c>
      <c r="AS58" s="259">
        <v>7</v>
      </c>
      <c r="AT58" s="202">
        <f t="shared" si="62"/>
        <v>192500</v>
      </c>
      <c r="AU58" s="259">
        <v>12</v>
      </c>
      <c r="AV58" s="202">
        <f t="shared" si="75"/>
        <v>330000</v>
      </c>
      <c r="AW58" s="630">
        <v>5</v>
      </c>
      <c r="AX58" s="511">
        <f>(AW58*F58)+11000</f>
        <v>148500</v>
      </c>
      <c r="AY58" s="260">
        <v>0</v>
      </c>
      <c r="AZ58" s="202">
        <f t="shared" si="64"/>
        <v>0</v>
      </c>
      <c r="BA58" s="259">
        <v>7</v>
      </c>
      <c r="BB58" s="202">
        <f t="shared" si="65"/>
        <v>192500</v>
      </c>
      <c r="BC58" s="297">
        <v>2</v>
      </c>
      <c r="BD58" s="202">
        <f t="shared" si="66"/>
        <v>55000</v>
      </c>
      <c r="BE58" s="259">
        <v>0</v>
      </c>
      <c r="BF58" s="202">
        <f t="shared" si="67"/>
        <v>0</v>
      </c>
      <c r="BG58" s="259">
        <v>2</v>
      </c>
      <c r="BH58" s="202">
        <f t="shared" si="68"/>
        <v>55000</v>
      </c>
      <c r="BI58" s="259"/>
      <c r="BJ58" s="202">
        <f t="shared" si="69"/>
        <v>0</v>
      </c>
      <c r="BK58" s="202">
        <f t="shared" si="70"/>
        <v>95</v>
      </c>
      <c r="BL58" s="202">
        <f t="shared" si="71"/>
        <v>2348500</v>
      </c>
      <c r="BM58" s="236" t="s">
        <v>222</v>
      </c>
      <c r="BN58" s="219"/>
      <c r="BO58" s="207"/>
      <c r="BP58" s="295"/>
      <c r="BQ58" s="254">
        <f t="shared" si="81"/>
        <v>2348500</v>
      </c>
      <c r="BR58" s="295"/>
      <c r="BS58" s="163">
        <f t="shared" si="82"/>
        <v>2348500</v>
      </c>
      <c r="BT58" s="295"/>
      <c r="BU58" s="295"/>
      <c r="BV58" s="163"/>
      <c r="BW58" s="203">
        <f t="shared" si="83"/>
        <v>2348500</v>
      </c>
    </row>
    <row r="59" spans="1:75" s="265" customFormat="1" ht="20.25" customHeight="1">
      <c r="A59" s="204"/>
      <c r="B59" s="196"/>
      <c r="C59" s="272" t="s">
        <v>867</v>
      </c>
      <c r="D59" s="298" t="s">
        <v>259</v>
      </c>
      <c r="E59" s="258" t="s">
        <v>76</v>
      </c>
      <c r="F59" s="551">
        <v>112500</v>
      </c>
      <c r="G59" s="206">
        <f>BK59</f>
        <v>64</v>
      </c>
      <c r="H59" s="207">
        <f t="shared" si="74"/>
        <v>7200000</v>
      </c>
      <c r="I59" s="207">
        <f t="shared" si="46"/>
        <v>720000</v>
      </c>
      <c r="J59" s="207">
        <f t="shared" si="47"/>
        <v>5760000</v>
      </c>
      <c r="K59" s="207"/>
      <c r="L59" s="207"/>
      <c r="M59" s="207"/>
      <c r="N59" s="207"/>
      <c r="O59" s="207"/>
      <c r="P59" s="207"/>
      <c r="Q59" s="207">
        <f t="shared" si="48"/>
        <v>720000</v>
      </c>
      <c r="R59" s="207"/>
      <c r="S59" s="212">
        <f>G59*0.65</f>
        <v>41.6</v>
      </c>
      <c r="T59" s="212">
        <f>G59*0.35</f>
        <v>22.4</v>
      </c>
      <c r="U59" s="259"/>
      <c r="V59" s="259"/>
      <c r="W59" s="211">
        <f t="shared" si="77"/>
        <v>4680000</v>
      </c>
      <c r="X59" s="211">
        <f t="shared" si="78"/>
        <v>2520000</v>
      </c>
      <c r="Y59" s="211">
        <f t="shared" si="79"/>
        <v>0</v>
      </c>
      <c r="Z59" s="211">
        <f t="shared" si="80"/>
        <v>0</v>
      </c>
      <c r="AA59" s="296">
        <v>3</v>
      </c>
      <c r="AB59" s="202">
        <f t="shared" si="53"/>
        <v>337500</v>
      </c>
      <c r="AC59" s="259">
        <v>2</v>
      </c>
      <c r="AD59" s="202">
        <f t="shared" si="54"/>
        <v>225000</v>
      </c>
      <c r="AE59" s="259">
        <v>2</v>
      </c>
      <c r="AF59" s="202">
        <f t="shared" si="55"/>
        <v>225000</v>
      </c>
      <c r="AG59" s="259">
        <v>6</v>
      </c>
      <c r="AH59" s="202">
        <f t="shared" si="56"/>
        <v>675000</v>
      </c>
      <c r="AI59" s="259">
        <v>5</v>
      </c>
      <c r="AJ59" s="202">
        <f t="shared" si="57"/>
        <v>562500</v>
      </c>
      <c r="AK59" s="259">
        <v>3</v>
      </c>
      <c r="AL59" s="202">
        <f t="shared" si="58"/>
        <v>337500</v>
      </c>
      <c r="AM59" s="259">
        <v>5</v>
      </c>
      <c r="AN59" s="202">
        <f t="shared" si="59"/>
        <v>562500</v>
      </c>
      <c r="AO59" s="259">
        <v>4</v>
      </c>
      <c r="AP59" s="202">
        <f t="shared" si="60"/>
        <v>450000</v>
      </c>
      <c r="AQ59" s="259">
        <v>4</v>
      </c>
      <c r="AR59" s="202">
        <f t="shared" si="61"/>
        <v>450000</v>
      </c>
      <c r="AS59" s="259">
        <v>4</v>
      </c>
      <c r="AT59" s="202">
        <f t="shared" si="62"/>
        <v>450000</v>
      </c>
      <c r="AU59" s="553">
        <v>3.5</v>
      </c>
      <c r="AV59" s="511">
        <f t="shared" si="75"/>
        <v>393750</v>
      </c>
      <c r="AW59" s="129">
        <v>0</v>
      </c>
      <c r="AX59" s="202">
        <f t="shared" si="63"/>
        <v>0</v>
      </c>
      <c r="AY59" s="260">
        <v>5</v>
      </c>
      <c r="AZ59" s="202">
        <f t="shared" si="64"/>
        <v>562500</v>
      </c>
      <c r="BA59" s="259">
        <v>5</v>
      </c>
      <c r="BB59" s="202">
        <f t="shared" si="65"/>
        <v>562500</v>
      </c>
      <c r="BC59" s="552">
        <v>3.5</v>
      </c>
      <c r="BD59" s="202">
        <f t="shared" si="66"/>
        <v>393750</v>
      </c>
      <c r="BE59" s="259">
        <v>5</v>
      </c>
      <c r="BF59" s="202">
        <f t="shared" si="67"/>
        <v>562500</v>
      </c>
      <c r="BG59" s="259">
        <v>4</v>
      </c>
      <c r="BH59" s="202">
        <f t="shared" si="68"/>
        <v>450000</v>
      </c>
      <c r="BI59" s="259"/>
      <c r="BJ59" s="202">
        <f t="shared" si="69"/>
        <v>0</v>
      </c>
      <c r="BK59" s="202">
        <f t="shared" si="70"/>
        <v>64</v>
      </c>
      <c r="BL59" s="202">
        <f t="shared" si="71"/>
        <v>7200000</v>
      </c>
      <c r="BM59" s="236" t="s">
        <v>222</v>
      </c>
      <c r="BN59" s="219"/>
      <c r="BO59" s="207"/>
      <c r="BP59" s="295"/>
      <c r="BQ59" s="254">
        <f t="shared" si="81"/>
        <v>7200000</v>
      </c>
      <c r="BR59" s="295"/>
      <c r="BS59" s="163">
        <f t="shared" si="82"/>
        <v>7200000</v>
      </c>
      <c r="BT59" s="295"/>
      <c r="BU59" s="295"/>
      <c r="BV59" s="163"/>
      <c r="BW59" s="203">
        <f t="shared" si="83"/>
        <v>7200000</v>
      </c>
    </row>
    <row r="60" spans="1:75" s="265" customFormat="1" ht="20.25" customHeight="1">
      <c r="A60" s="204"/>
      <c r="B60" s="196"/>
      <c r="C60" s="272" t="s">
        <v>868</v>
      </c>
      <c r="D60" s="298" t="s">
        <v>258</v>
      </c>
      <c r="E60" s="258" t="s">
        <v>76</v>
      </c>
      <c r="F60" s="551">
        <v>62500</v>
      </c>
      <c r="G60" s="206">
        <f>BK60</f>
        <v>152</v>
      </c>
      <c r="H60" s="206">
        <f>BL60</f>
        <v>9240000</v>
      </c>
      <c r="I60" s="207">
        <f t="shared" si="46"/>
        <v>924000</v>
      </c>
      <c r="J60" s="207">
        <f t="shared" si="47"/>
        <v>7392000</v>
      </c>
      <c r="K60" s="207"/>
      <c r="L60" s="207"/>
      <c r="M60" s="207"/>
      <c r="N60" s="207"/>
      <c r="O60" s="207"/>
      <c r="P60" s="207"/>
      <c r="Q60" s="207">
        <f t="shared" si="48"/>
        <v>924000</v>
      </c>
      <c r="R60" s="207"/>
      <c r="S60" s="212">
        <f>G60*0.65</f>
        <v>98.8</v>
      </c>
      <c r="T60" s="212">
        <f>G60*0.35</f>
        <v>53.199999999999996</v>
      </c>
      <c r="U60" s="259"/>
      <c r="V60" s="259"/>
      <c r="W60" s="211">
        <f t="shared" si="77"/>
        <v>6175000</v>
      </c>
      <c r="X60" s="211">
        <f t="shared" si="78"/>
        <v>3324999.9999999995</v>
      </c>
      <c r="Y60" s="211">
        <f t="shared" si="79"/>
        <v>0</v>
      </c>
      <c r="Z60" s="211">
        <f t="shared" si="80"/>
        <v>0</v>
      </c>
      <c r="AA60" s="296">
        <v>7</v>
      </c>
      <c r="AB60" s="202">
        <f t="shared" si="53"/>
        <v>437500</v>
      </c>
      <c r="AC60" s="259">
        <v>4</v>
      </c>
      <c r="AD60" s="202">
        <v>120000</v>
      </c>
      <c r="AE60" s="259">
        <v>7</v>
      </c>
      <c r="AF60" s="202">
        <f t="shared" si="55"/>
        <v>437500</v>
      </c>
      <c r="AG60" s="516">
        <v>30</v>
      </c>
      <c r="AH60" s="202">
        <f t="shared" si="56"/>
        <v>1875000</v>
      </c>
      <c r="AI60" s="516">
        <v>40</v>
      </c>
      <c r="AJ60" s="511">
        <f t="shared" si="57"/>
        <v>2500000</v>
      </c>
      <c r="AK60" s="259">
        <v>2</v>
      </c>
      <c r="AL60" s="202">
        <f t="shared" si="58"/>
        <v>125000</v>
      </c>
      <c r="AM60" s="259">
        <v>5</v>
      </c>
      <c r="AN60" s="202">
        <f t="shared" si="59"/>
        <v>312500</v>
      </c>
      <c r="AO60" s="259">
        <v>2</v>
      </c>
      <c r="AP60" s="202">
        <f t="shared" si="60"/>
        <v>125000</v>
      </c>
      <c r="AQ60" s="259">
        <v>4</v>
      </c>
      <c r="AR60" s="202">
        <f t="shared" si="61"/>
        <v>250000</v>
      </c>
      <c r="AS60" s="516">
        <v>4</v>
      </c>
      <c r="AT60" s="511">
        <v>120000</v>
      </c>
      <c r="AU60" s="259">
        <v>7</v>
      </c>
      <c r="AV60" s="202">
        <f t="shared" si="75"/>
        <v>437500</v>
      </c>
      <c r="AW60" s="129">
        <v>4</v>
      </c>
      <c r="AX60" s="202">
        <f t="shared" si="63"/>
        <v>250000</v>
      </c>
      <c r="AY60" s="260">
        <v>4</v>
      </c>
      <c r="AZ60" s="202">
        <f t="shared" si="64"/>
        <v>250000</v>
      </c>
      <c r="BA60" s="516">
        <v>30</v>
      </c>
      <c r="BB60" s="511">
        <f t="shared" si="65"/>
        <v>1875000</v>
      </c>
      <c r="BC60" s="550">
        <v>2</v>
      </c>
      <c r="BD60" s="202">
        <f t="shared" si="66"/>
        <v>125000</v>
      </c>
      <c r="BE60" s="259">
        <v>0</v>
      </c>
      <c r="BF60" s="202">
        <f t="shared" si="67"/>
        <v>0</v>
      </c>
      <c r="BG60" s="259">
        <v>0</v>
      </c>
      <c r="BH60" s="202">
        <f t="shared" si="68"/>
        <v>0</v>
      </c>
      <c r="BI60" s="259"/>
      <c r="BJ60" s="202">
        <f t="shared" si="69"/>
        <v>0</v>
      </c>
      <c r="BK60" s="202">
        <f t="shared" si="70"/>
        <v>152</v>
      </c>
      <c r="BL60" s="202">
        <f t="shared" si="71"/>
        <v>9240000</v>
      </c>
      <c r="BM60" s="236" t="s">
        <v>222</v>
      </c>
      <c r="BN60" s="219"/>
      <c r="BO60" s="207"/>
      <c r="BP60" s="295"/>
      <c r="BQ60" s="254">
        <f t="shared" si="81"/>
        <v>9240000</v>
      </c>
      <c r="BR60" s="295"/>
      <c r="BS60" s="163">
        <f t="shared" si="82"/>
        <v>9240000</v>
      </c>
      <c r="BT60" s="295"/>
      <c r="BU60" s="295"/>
      <c r="BV60" s="163"/>
      <c r="BW60" s="203">
        <f t="shared" si="83"/>
        <v>9240000</v>
      </c>
    </row>
    <row r="61" spans="1:75" s="265" customFormat="1" ht="20.25" customHeight="1">
      <c r="A61" s="204"/>
      <c r="B61" s="196"/>
      <c r="C61" s="272" t="s">
        <v>869</v>
      </c>
      <c r="D61" s="298" t="s">
        <v>290</v>
      </c>
      <c r="E61" s="258" t="s">
        <v>76</v>
      </c>
      <c r="F61" s="229">
        <v>50000</v>
      </c>
      <c r="G61" s="206">
        <f>BK61</f>
        <v>47</v>
      </c>
      <c r="H61" s="207">
        <f t="shared" si="74"/>
        <v>2350000</v>
      </c>
      <c r="I61" s="207">
        <f t="shared" si="46"/>
        <v>235000</v>
      </c>
      <c r="J61" s="207">
        <f t="shared" si="47"/>
        <v>1880000</v>
      </c>
      <c r="K61" s="207"/>
      <c r="L61" s="207"/>
      <c r="M61" s="207"/>
      <c r="N61" s="207"/>
      <c r="O61" s="207"/>
      <c r="P61" s="207"/>
      <c r="Q61" s="207">
        <f t="shared" si="48"/>
        <v>235000</v>
      </c>
      <c r="R61" s="207"/>
      <c r="S61" s="259"/>
      <c r="T61" s="259"/>
      <c r="U61" s="259">
        <v>50</v>
      </c>
      <c r="V61" s="259">
        <v>6</v>
      </c>
      <c r="W61" s="211">
        <f t="shared" si="77"/>
        <v>0</v>
      </c>
      <c r="X61" s="211">
        <f t="shared" si="78"/>
        <v>0</v>
      </c>
      <c r="Y61" s="211">
        <f t="shared" si="79"/>
        <v>2500000</v>
      </c>
      <c r="Z61" s="211">
        <f t="shared" si="80"/>
        <v>300000</v>
      </c>
      <c r="AA61" s="296">
        <v>7</v>
      </c>
      <c r="AB61" s="202">
        <f t="shared" si="53"/>
        <v>350000</v>
      </c>
      <c r="AC61" s="259">
        <v>1</v>
      </c>
      <c r="AD61" s="202">
        <f t="shared" si="54"/>
        <v>50000</v>
      </c>
      <c r="AE61" s="259">
        <v>4</v>
      </c>
      <c r="AF61" s="202">
        <f t="shared" si="55"/>
        <v>200000</v>
      </c>
      <c r="AG61" s="259">
        <v>0</v>
      </c>
      <c r="AH61" s="202">
        <f t="shared" si="56"/>
        <v>0</v>
      </c>
      <c r="AI61" s="259"/>
      <c r="AJ61" s="202">
        <f t="shared" si="57"/>
        <v>0</v>
      </c>
      <c r="AK61" s="259">
        <v>3</v>
      </c>
      <c r="AL61" s="202">
        <f t="shared" si="58"/>
        <v>150000</v>
      </c>
      <c r="AM61" s="259">
        <v>7</v>
      </c>
      <c r="AN61" s="202">
        <f t="shared" si="59"/>
        <v>350000</v>
      </c>
      <c r="AO61" s="259">
        <v>3</v>
      </c>
      <c r="AP61" s="202">
        <f t="shared" si="60"/>
        <v>150000</v>
      </c>
      <c r="AQ61" s="259">
        <v>0</v>
      </c>
      <c r="AR61" s="202">
        <f t="shared" si="61"/>
        <v>0</v>
      </c>
      <c r="AS61" s="259">
        <v>3</v>
      </c>
      <c r="AT61" s="202">
        <f t="shared" si="62"/>
        <v>150000</v>
      </c>
      <c r="AU61" s="259">
        <v>3</v>
      </c>
      <c r="AV61" s="202">
        <f t="shared" si="75"/>
        <v>150000</v>
      </c>
      <c r="AW61" s="129">
        <v>0</v>
      </c>
      <c r="AX61" s="202">
        <f t="shared" si="63"/>
        <v>0</v>
      </c>
      <c r="AY61" s="260">
        <v>0</v>
      </c>
      <c r="AZ61" s="202">
        <f t="shared" si="64"/>
        <v>0</v>
      </c>
      <c r="BA61" s="259">
        <v>5</v>
      </c>
      <c r="BB61" s="202">
        <f t="shared" si="65"/>
        <v>250000</v>
      </c>
      <c r="BC61" s="297">
        <v>5</v>
      </c>
      <c r="BD61" s="202">
        <f t="shared" si="66"/>
        <v>250000</v>
      </c>
      <c r="BE61" s="259">
        <v>6</v>
      </c>
      <c r="BF61" s="202">
        <f t="shared" si="67"/>
        <v>300000</v>
      </c>
      <c r="BG61" s="259">
        <v>0</v>
      </c>
      <c r="BH61" s="202">
        <f t="shared" si="68"/>
        <v>0</v>
      </c>
      <c r="BI61" s="259"/>
      <c r="BJ61" s="202">
        <f t="shared" si="69"/>
        <v>0</v>
      </c>
      <c r="BK61" s="202">
        <f t="shared" si="70"/>
        <v>47</v>
      </c>
      <c r="BL61" s="202">
        <f t="shared" si="71"/>
        <v>2350000</v>
      </c>
      <c r="BM61" s="236" t="s">
        <v>222</v>
      </c>
      <c r="BN61" s="219"/>
      <c r="BO61" s="207"/>
      <c r="BP61" s="295"/>
      <c r="BQ61" s="254">
        <f t="shared" si="81"/>
        <v>2350000</v>
      </c>
      <c r="BR61" s="295"/>
      <c r="BS61" s="163">
        <f t="shared" si="82"/>
        <v>2350000</v>
      </c>
      <c r="BT61" s="295"/>
      <c r="BU61" s="295"/>
      <c r="BV61" s="163"/>
      <c r="BW61" s="203">
        <f t="shared" si="83"/>
        <v>2350000</v>
      </c>
    </row>
    <row r="62" spans="1:75" s="265" customFormat="1" ht="20.25" customHeight="1">
      <c r="A62" s="204"/>
      <c r="B62" s="196"/>
      <c r="C62" s="272" t="s">
        <v>870</v>
      </c>
      <c r="D62" s="298" t="s">
        <v>292</v>
      </c>
      <c r="E62" s="258" t="s">
        <v>76</v>
      </c>
      <c r="F62" s="229">
        <v>10000</v>
      </c>
      <c r="G62" s="206">
        <f t="shared" si="45"/>
        <v>54</v>
      </c>
      <c r="H62" s="207">
        <f t="shared" si="74"/>
        <v>540000</v>
      </c>
      <c r="I62" s="207">
        <f t="shared" si="46"/>
        <v>54000</v>
      </c>
      <c r="J62" s="207">
        <f t="shared" si="47"/>
        <v>432000</v>
      </c>
      <c r="K62" s="207"/>
      <c r="L62" s="207"/>
      <c r="M62" s="207"/>
      <c r="N62" s="207"/>
      <c r="O62" s="207"/>
      <c r="P62" s="207"/>
      <c r="Q62" s="207">
        <f t="shared" si="48"/>
        <v>54000</v>
      </c>
      <c r="R62" s="207"/>
      <c r="S62" s="259"/>
      <c r="T62" s="259"/>
      <c r="U62" s="259">
        <v>50</v>
      </c>
      <c r="V62" s="259">
        <v>18</v>
      </c>
      <c r="W62" s="211">
        <f t="shared" si="77"/>
        <v>0</v>
      </c>
      <c r="X62" s="211">
        <f t="shared" si="78"/>
        <v>0</v>
      </c>
      <c r="Y62" s="211">
        <f t="shared" si="79"/>
        <v>500000</v>
      </c>
      <c r="Z62" s="211">
        <f t="shared" si="80"/>
        <v>180000</v>
      </c>
      <c r="AA62" s="296">
        <v>0</v>
      </c>
      <c r="AB62" s="202">
        <f t="shared" si="53"/>
        <v>0</v>
      </c>
      <c r="AC62" s="259">
        <v>0</v>
      </c>
      <c r="AD62" s="202">
        <f t="shared" si="54"/>
        <v>0</v>
      </c>
      <c r="AE62" s="259">
        <v>0</v>
      </c>
      <c r="AF62" s="202">
        <f t="shared" si="55"/>
        <v>0</v>
      </c>
      <c r="AG62" s="259">
        <v>0</v>
      </c>
      <c r="AH62" s="202">
        <f t="shared" si="56"/>
        <v>0</v>
      </c>
      <c r="AI62" s="259">
        <v>0</v>
      </c>
      <c r="AJ62" s="202">
        <f t="shared" si="57"/>
        <v>0</v>
      </c>
      <c r="AK62" s="259">
        <v>0</v>
      </c>
      <c r="AL62" s="202">
        <f t="shared" si="58"/>
        <v>0</v>
      </c>
      <c r="AM62" s="259">
        <v>0</v>
      </c>
      <c r="AN62" s="202">
        <f t="shared" si="59"/>
        <v>0</v>
      </c>
      <c r="AO62" s="259">
        <v>30</v>
      </c>
      <c r="AP62" s="202">
        <f t="shared" si="60"/>
        <v>300000</v>
      </c>
      <c r="AQ62" s="259"/>
      <c r="AR62" s="202">
        <f t="shared" si="61"/>
        <v>0</v>
      </c>
      <c r="AS62" s="259">
        <v>0</v>
      </c>
      <c r="AT62" s="202">
        <f t="shared" si="62"/>
        <v>0</v>
      </c>
      <c r="AU62" s="259">
        <v>0</v>
      </c>
      <c r="AV62" s="202">
        <f t="shared" si="75"/>
        <v>0</v>
      </c>
      <c r="AW62" s="129"/>
      <c r="AX62" s="202">
        <f t="shared" si="63"/>
        <v>0</v>
      </c>
      <c r="AY62" s="518">
        <v>4</v>
      </c>
      <c r="AZ62" s="202">
        <f t="shared" si="64"/>
        <v>40000</v>
      </c>
      <c r="BA62" s="259"/>
      <c r="BB62" s="202">
        <f t="shared" si="65"/>
        <v>0</v>
      </c>
      <c r="BC62" s="297">
        <v>20</v>
      </c>
      <c r="BD62" s="202">
        <f t="shared" si="66"/>
        <v>200000</v>
      </c>
      <c r="BE62" s="259">
        <v>0</v>
      </c>
      <c r="BF62" s="202">
        <f t="shared" si="67"/>
        <v>0</v>
      </c>
      <c r="BG62" s="259">
        <v>0</v>
      </c>
      <c r="BH62" s="202">
        <f t="shared" si="68"/>
        <v>0</v>
      </c>
      <c r="BI62" s="259"/>
      <c r="BJ62" s="202">
        <f t="shared" si="69"/>
        <v>0</v>
      </c>
      <c r="BK62" s="202">
        <f t="shared" si="70"/>
        <v>54</v>
      </c>
      <c r="BL62" s="202">
        <f t="shared" si="71"/>
        <v>540000</v>
      </c>
      <c r="BM62" s="236" t="s">
        <v>222</v>
      </c>
      <c r="BN62" s="219"/>
      <c r="BO62" s="207"/>
      <c r="BP62" s="295"/>
      <c r="BQ62" s="254">
        <f t="shared" si="81"/>
        <v>540000</v>
      </c>
      <c r="BR62" s="295"/>
      <c r="BS62" s="163">
        <f t="shared" si="82"/>
        <v>540000</v>
      </c>
      <c r="BT62" s="295"/>
      <c r="BU62" s="295"/>
      <c r="BV62" s="163"/>
      <c r="BW62" s="203">
        <f t="shared" si="83"/>
        <v>540000</v>
      </c>
    </row>
    <row r="63" spans="1:75" s="265" customFormat="1" ht="20.25" customHeight="1">
      <c r="A63" s="204"/>
      <c r="B63" s="196"/>
      <c r="C63" s="272" t="s">
        <v>871</v>
      </c>
      <c r="D63" s="298" t="s">
        <v>294</v>
      </c>
      <c r="E63" s="258" t="s">
        <v>76</v>
      </c>
      <c r="F63" s="583">
        <v>9000</v>
      </c>
      <c r="G63" s="206">
        <f t="shared" si="45"/>
        <v>20</v>
      </c>
      <c r="H63" s="207">
        <f t="shared" si="74"/>
        <v>180000</v>
      </c>
      <c r="I63" s="207">
        <f t="shared" si="46"/>
        <v>18000</v>
      </c>
      <c r="J63" s="207">
        <f t="shared" si="47"/>
        <v>144000</v>
      </c>
      <c r="K63" s="207"/>
      <c r="L63" s="207"/>
      <c r="M63" s="207"/>
      <c r="N63" s="207"/>
      <c r="O63" s="207"/>
      <c r="P63" s="207"/>
      <c r="Q63" s="207">
        <f t="shared" si="48"/>
        <v>18000</v>
      </c>
      <c r="R63" s="207"/>
      <c r="S63" s="259"/>
      <c r="T63" s="259"/>
      <c r="U63" s="259">
        <v>60</v>
      </c>
      <c r="V63" s="259">
        <v>10</v>
      </c>
      <c r="W63" s="211">
        <f t="shared" si="77"/>
        <v>0</v>
      </c>
      <c r="X63" s="211">
        <f t="shared" si="78"/>
        <v>0</v>
      </c>
      <c r="Y63" s="211">
        <f t="shared" si="79"/>
        <v>540000</v>
      </c>
      <c r="Z63" s="211">
        <f t="shared" si="80"/>
        <v>90000</v>
      </c>
      <c r="AA63" s="296">
        <v>0</v>
      </c>
      <c r="AB63" s="202">
        <f t="shared" si="53"/>
        <v>0</v>
      </c>
      <c r="AC63" s="259">
        <v>0</v>
      </c>
      <c r="AD63" s="202">
        <f t="shared" si="54"/>
        <v>0</v>
      </c>
      <c r="AE63" s="259">
        <v>0</v>
      </c>
      <c r="AF63" s="202">
        <f t="shared" si="55"/>
        <v>0</v>
      </c>
      <c r="AG63" s="259">
        <v>0</v>
      </c>
      <c r="AH63" s="202">
        <f t="shared" si="56"/>
        <v>0</v>
      </c>
      <c r="AI63" s="516">
        <v>0</v>
      </c>
      <c r="AJ63" s="511">
        <f t="shared" si="57"/>
        <v>0</v>
      </c>
      <c r="AK63" s="259">
        <v>0</v>
      </c>
      <c r="AL63" s="202">
        <f t="shared" si="58"/>
        <v>0</v>
      </c>
      <c r="AM63" s="259">
        <v>20</v>
      </c>
      <c r="AN63" s="202">
        <f t="shared" si="59"/>
        <v>180000</v>
      </c>
      <c r="AO63" s="259">
        <v>0</v>
      </c>
      <c r="AP63" s="202">
        <f t="shared" si="60"/>
        <v>0</v>
      </c>
      <c r="AQ63" s="259"/>
      <c r="AR63" s="202">
        <f t="shared" si="61"/>
        <v>0</v>
      </c>
      <c r="AS63" s="259">
        <v>0</v>
      </c>
      <c r="AT63" s="202">
        <f t="shared" si="62"/>
        <v>0</v>
      </c>
      <c r="AU63" s="259">
        <v>0</v>
      </c>
      <c r="AV63" s="202">
        <f t="shared" si="75"/>
        <v>0</v>
      </c>
      <c r="AW63" s="129"/>
      <c r="AX63" s="202">
        <f t="shared" si="63"/>
        <v>0</v>
      </c>
      <c r="AY63" s="260">
        <v>0</v>
      </c>
      <c r="AZ63" s="202">
        <f t="shared" si="64"/>
        <v>0</v>
      </c>
      <c r="BA63" s="259"/>
      <c r="BB63" s="202">
        <f t="shared" si="65"/>
        <v>0</v>
      </c>
      <c r="BC63" s="297">
        <v>0</v>
      </c>
      <c r="BD63" s="202">
        <f t="shared" si="66"/>
        <v>0</v>
      </c>
      <c r="BE63" s="259"/>
      <c r="BF63" s="202">
        <f t="shared" si="67"/>
        <v>0</v>
      </c>
      <c r="BG63" s="259">
        <v>0</v>
      </c>
      <c r="BH63" s="202">
        <f t="shared" si="68"/>
        <v>0</v>
      </c>
      <c r="BI63" s="259"/>
      <c r="BJ63" s="202">
        <f t="shared" si="69"/>
        <v>0</v>
      </c>
      <c r="BK63" s="202">
        <f t="shared" si="70"/>
        <v>20</v>
      </c>
      <c r="BL63" s="202">
        <f t="shared" si="71"/>
        <v>180000</v>
      </c>
      <c r="BM63" s="236" t="s">
        <v>222</v>
      </c>
      <c r="BN63" s="219"/>
      <c r="BO63" s="207"/>
      <c r="BP63" s="295"/>
      <c r="BQ63" s="254">
        <f t="shared" si="81"/>
        <v>180000</v>
      </c>
      <c r="BR63" s="295"/>
      <c r="BS63" s="163">
        <f t="shared" si="82"/>
        <v>180000</v>
      </c>
      <c r="BT63" s="295"/>
      <c r="BU63" s="295"/>
      <c r="BV63" s="163"/>
      <c r="BW63" s="203">
        <f t="shared" si="83"/>
        <v>180000</v>
      </c>
    </row>
    <row r="64" spans="1:75" s="265" customFormat="1" ht="20.25" customHeight="1">
      <c r="A64" s="204"/>
      <c r="B64" s="196"/>
      <c r="C64" s="272" t="s">
        <v>872</v>
      </c>
      <c r="D64" s="298" t="s">
        <v>289</v>
      </c>
      <c r="E64" s="258" t="s">
        <v>76</v>
      </c>
      <c r="F64" s="229">
        <v>30000</v>
      </c>
      <c r="G64" s="206">
        <f t="shared" si="45"/>
        <v>52</v>
      </c>
      <c r="H64" s="633">
        <f t="shared" si="45"/>
        <v>1455000</v>
      </c>
      <c r="I64" s="207">
        <f t="shared" si="46"/>
        <v>145500</v>
      </c>
      <c r="J64" s="207">
        <f t="shared" si="47"/>
        <v>1164000</v>
      </c>
      <c r="K64" s="207"/>
      <c r="L64" s="207"/>
      <c r="M64" s="207"/>
      <c r="N64" s="207"/>
      <c r="O64" s="207"/>
      <c r="P64" s="207"/>
      <c r="Q64" s="207">
        <f t="shared" si="48"/>
        <v>145500</v>
      </c>
      <c r="R64" s="207"/>
      <c r="S64" s="259"/>
      <c r="T64" s="259"/>
      <c r="U64" s="259">
        <v>80</v>
      </c>
      <c r="V64" s="259">
        <v>21</v>
      </c>
      <c r="W64" s="211">
        <f t="shared" si="77"/>
        <v>0</v>
      </c>
      <c r="X64" s="211">
        <f t="shared" si="78"/>
        <v>0</v>
      </c>
      <c r="Y64" s="211">
        <f t="shared" si="79"/>
        <v>2400000</v>
      </c>
      <c r="Z64" s="211">
        <f t="shared" si="80"/>
        <v>630000</v>
      </c>
      <c r="AA64" s="296">
        <v>3</v>
      </c>
      <c r="AB64" s="202">
        <f t="shared" si="53"/>
        <v>90000</v>
      </c>
      <c r="AC64" s="516">
        <v>2</v>
      </c>
      <c r="AD64" s="202">
        <f t="shared" si="54"/>
        <v>60000</v>
      </c>
      <c r="AE64" s="259">
        <v>3</v>
      </c>
      <c r="AF64" s="202">
        <f t="shared" si="55"/>
        <v>90000</v>
      </c>
      <c r="AG64" s="259">
        <v>3</v>
      </c>
      <c r="AH64" s="202">
        <f t="shared" si="56"/>
        <v>90000</v>
      </c>
      <c r="AI64" s="259">
        <v>3</v>
      </c>
      <c r="AJ64" s="202">
        <f t="shared" si="57"/>
        <v>90000</v>
      </c>
      <c r="AK64" s="259">
        <v>3</v>
      </c>
      <c r="AL64" s="202">
        <f t="shared" si="58"/>
        <v>90000</v>
      </c>
      <c r="AM64" s="259">
        <v>3</v>
      </c>
      <c r="AN64" s="202">
        <f t="shared" si="59"/>
        <v>90000</v>
      </c>
      <c r="AO64" s="259">
        <v>3</v>
      </c>
      <c r="AP64" s="202">
        <f t="shared" si="60"/>
        <v>90000</v>
      </c>
      <c r="AQ64" s="259">
        <v>3</v>
      </c>
      <c r="AR64" s="202">
        <f t="shared" si="61"/>
        <v>90000</v>
      </c>
      <c r="AS64" s="259">
        <v>3</v>
      </c>
      <c r="AT64" s="202">
        <f t="shared" si="62"/>
        <v>90000</v>
      </c>
      <c r="AU64" s="259">
        <v>3</v>
      </c>
      <c r="AV64" s="202">
        <f t="shared" si="75"/>
        <v>90000</v>
      </c>
      <c r="AW64" s="129">
        <v>3</v>
      </c>
      <c r="AX64" s="202">
        <f t="shared" si="63"/>
        <v>90000</v>
      </c>
      <c r="AY64" s="260">
        <v>3</v>
      </c>
      <c r="AZ64" s="202">
        <f t="shared" si="64"/>
        <v>90000</v>
      </c>
      <c r="BA64" s="259">
        <v>3</v>
      </c>
      <c r="BB64" s="202">
        <f t="shared" si="65"/>
        <v>90000</v>
      </c>
      <c r="BC64" s="297">
        <v>3</v>
      </c>
      <c r="BD64" s="202">
        <f t="shared" si="66"/>
        <v>90000</v>
      </c>
      <c r="BE64" s="516">
        <v>5</v>
      </c>
      <c r="BF64" s="511">
        <v>45000</v>
      </c>
      <c r="BG64" s="259">
        <v>3</v>
      </c>
      <c r="BH64" s="202">
        <f t="shared" si="68"/>
        <v>90000</v>
      </c>
      <c r="BI64" s="259"/>
      <c r="BJ64" s="202">
        <f t="shared" si="69"/>
        <v>0</v>
      </c>
      <c r="BK64" s="202">
        <f t="shared" si="70"/>
        <v>52</v>
      </c>
      <c r="BL64" s="202">
        <f t="shared" si="71"/>
        <v>1455000</v>
      </c>
      <c r="BM64" s="236" t="s">
        <v>222</v>
      </c>
      <c r="BN64" s="219"/>
      <c r="BO64" s="207"/>
      <c r="BP64" s="295"/>
      <c r="BQ64" s="254">
        <f t="shared" si="81"/>
        <v>1455000</v>
      </c>
      <c r="BR64" s="295"/>
      <c r="BS64" s="163">
        <f t="shared" si="82"/>
        <v>1455000</v>
      </c>
      <c r="BT64" s="295"/>
      <c r="BU64" s="295"/>
      <c r="BV64" s="163"/>
      <c r="BW64" s="203">
        <f t="shared" si="83"/>
        <v>1455000</v>
      </c>
    </row>
    <row r="65" spans="1:75" s="265" customFormat="1" ht="20.25" customHeight="1">
      <c r="A65" s="223"/>
      <c r="B65" s="228"/>
      <c r="C65" s="190"/>
      <c r="D65" s="230" t="s">
        <v>3</v>
      </c>
      <c r="E65" s="232"/>
      <c r="F65" s="231"/>
      <c r="G65" s="194">
        <f t="shared" ref="G65:X65" si="84">SUM(G43:G64)</f>
        <v>2153.1</v>
      </c>
      <c r="H65" s="194">
        <f t="shared" si="84"/>
        <v>50149947</v>
      </c>
      <c r="I65" s="194">
        <f t="shared" si="84"/>
        <v>5014994.7</v>
      </c>
      <c r="J65" s="194">
        <f t="shared" si="84"/>
        <v>40119957.600000001</v>
      </c>
      <c r="K65" s="194">
        <f t="shared" si="84"/>
        <v>0</v>
      </c>
      <c r="L65" s="194">
        <f t="shared" si="84"/>
        <v>0</v>
      </c>
      <c r="M65" s="194">
        <f t="shared" si="84"/>
        <v>0</v>
      </c>
      <c r="N65" s="194">
        <f t="shared" si="84"/>
        <v>0</v>
      </c>
      <c r="O65" s="194">
        <f t="shared" si="84"/>
        <v>0</v>
      </c>
      <c r="P65" s="194">
        <f t="shared" si="84"/>
        <v>0</v>
      </c>
      <c r="Q65" s="194">
        <f t="shared" si="84"/>
        <v>5014994.7</v>
      </c>
      <c r="R65" s="194">
        <f t="shared" si="84"/>
        <v>0</v>
      </c>
      <c r="S65" s="194">
        <f t="shared" si="84"/>
        <v>192.45</v>
      </c>
      <c r="T65" s="194">
        <f t="shared" si="84"/>
        <v>614</v>
      </c>
      <c r="U65" s="194">
        <f t="shared" si="84"/>
        <v>1426.65</v>
      </c>
      <c r="V65" s="194">
        <f t="shared" si="84"/>
        <v>65</v>
      </c>
      <c r="W65" s="194">
        <f t="shared" si="84"/>
        <v>11328550</v>
      </c>
      <c r="X65" s="194">
        <f t="shared" si="84"/>
        <v>10217000</v>
      </c>
      <c r="Y65" s="194">
        <f>SUM(Y43:Y64)-48000</f>
        <v>31140350</v>
      </c>
      <c r="Z65" s="194">
        <f t="shared" ref="Z65:BL65" si="85">SUM(Z43:Z64)</f>
        <v>1500000</v>
      </c>
      <c r="AA65" s="194">
        <f t="shared" si="85"/>
        <v>81</v>
      </c>
      <c r="AB65" s="194">
        <f t="shared" si="85"/>
        <v>2068100</v>
      </c>
      <c r="AC65" s="194">
        <f t="shared" si="85"/>
        <v>74</v>
      </c>
      <c r="AD65" s="194">
        <f t="shared" si="85"/>
        <v>1519400</v>
      </c>
      <c r="AE65" s="194">
        <f t="shared" si="85"/>
        <v>138</v>
      </c>
      <c r="AF65" s="194">
        <f t="shared" si="85"/>
        <v>2769400</v>
      </c>
      <c r="AG65" s="194">
        <f t="shared" si="85"/>
        <v>213</v>
      </c>
      <c r="AH65" s="194">
        <f t="shared" si="85"/>
        <v>4691500</v>
      </c>
      <c r="AI65" s="194">
        <f t="shared" si="85"/>
        <v>173</v>
      </c>
      <c r="AJ65" s="194">
        <f t="shared" si="85"/>
        <v>4777300</v>
      </c>
      <c r="AK65" s="194">
        <f t="shared" si="85"/>
        <v>68</v>
      </c>
      <c r="AL65" s="194">
        <f t="shared" si="85"/>
        <v>1557000</v>
      </c>
      <c r="AM65" s="194">
        <f t="shared" si="85"/>
        <v>181.6</v>
      </c>
      <c r="AN65" s="194">
        <f t="shared" si="85"/>
        <v>3495060</v>
      </c>
      <c r="AO65" s="194">
        <f t="shared" si="85"/>
        <v>137</v>
      </c>
      <c r="AP65" s="194">
        <f t="shared" si="85"/>
        <v>2783600</v>
      </c>
      <c r="AQ65" s="194">
        <f t="shared" si="85"/>
        <v>85</v>
      </c>
      <c r="AR65" s="194">
        <f t="shared" si="85"/>
        <v>1575900</v>
      </c>
      <c r="AS65" s="194">
        <f t="shared" si="85"/>
        <v>72</v>
      </c>
      <c r="AT65" s="194">
        <f t="shared" si="85"/>
        <v>3112487</v>
      </c>
      <c r="AU65" s="194">
        <f t="shared" si="85"/>
        <v>120.5</v>
      </c>
      <c r="AV65" s="194">
        <f t="shared" si="85"/>
        <v>3566850</v>
      </c>
      <c r="AW65" s="194">
        <f t="shared" si="85"/>
        <v>160</v>
      </c>
      <c r="AX65" s="194">
        <f t="shared" si="85"/>
        <v>2543500</v>
      </c>
      <c r="AY65" s="194">
        <f t="shared" si="85"/>
        <v>85</v>
      </c>
      <c r="AZ65" s="194">
        <f t="shared" si="85"/>
        <v>2461400</v>
      </c>
      <c r="BA65" s="194">
        <f t="shared" si="85"/>
        <v>114</v>
      </c>
      <c r="BB65" s="194">
        <f t="shared" si="85"/>
        <v>4369500</v>
      </c>
      <c r="BC65" s="194">
        <f t="shared" si="85"/>
        <v>144</v>
      </c>
      <c r="BD65" s="194">
        <f t="shared" si="85"/>
        <v>3145450</v>
      </c>
      <c r="BE65" s="194">
        <f t="shared" si="85"/>
        <v>200</v>
      </c>
      <c r="BF65" s="194">
        <f t="shared" si="85"/>
        <v>3521300</v>
      </c>
      <c r="BG65" s="194">
        <f t="shared" si="85"/>
        <v>107</v>
      </c>
      <c r="BH65" s="194">
        <f t="shared" si="85"/>
        <v>2192200</v>
      </c>
      <c r="BI65" s="194">
        <f t="shared" si="85"/>
        <v>0</v>
      </c>
      <c r="BJ65" s="194">
        <f t="shared" si="85"/>
        <v>0</v>
      </c>
      <c r="BK65" s="194">
        <f t="shared" si="85"/>
        <v>2153.1</v>
      </c>
      <c r="BL65" s="194">
        <f t="shared" si="85"/>
        <v>50149947</v>
      </c>
      <c r="BM65" s="194"/>
      <c r="BN65" s="194"/>
      <c r="BO65" s="194">
        <f t="shared" ref="BO65:BW65" si="86">SUM(BO43:BO64)</f>
        <v>0</v>
      </c>
      <c r="BP65" s="194">
        <f t="shared" si="86"/>
        <v>0</v>
      </c>
      <c r="BQ65" s="194">
        <f t="shared" si="86"/>
        <v>50149947</v>
      </c>
      <c r="BR65" s="194">
        <f t="shared" si="86"/>
        <v>0</v>
      </c>
      <c r="BS65" s="194">
        <f t="shared" si="86"/>
        <v>50149947</v>
      </c>
      <c r="BT65" s="194">
        <f t="shared" si="86"/>
        <v>0</v>
      </c>
      <c r="BU65" s="194">
        <f t="shared" si="86"/>
        <v>0</v>
      </c>
      <c r="BV65" s="194">
        <f t="shared" si="86"/>
        <v>0</v>
      </c>
      <c r="BW65" s="194">
        <f t="shared" si="86"/>
        <v>50149947</v>
      </c>
    </row>
    <row r="66" spans="1:75" s="265" customFormat="1" ht="20.25" customHeight="1">
      <c r="A66" s="204"/>
      <c r="B66" s="196"/>
      <c r="C66" s="191"/>
      <c r="D66" s="230" t="s">
        <v>719</v>
      </c>
      <c r="E66" s="258"/>
      <c r="F66" s="229"/>
      <c r="G66" s="206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59"/>
      <c r="T66" s="259"/>
      <c r="U66" s="259"/>
      <c r="V66" s="259"/>
      <c r="W66" s="260"/>
      <c r="X66" s="260"/>
      <c r="Y66" s="260"/>
      <c r="Z66" s="260"/>
      <c r="AA66" s="259"/>
      <c r="AB66" s="202">
        <f t="shared" ref="AB66:AB82" si="87">AA66*F66</f>
        <v>0</v>
      </c>
      <c r="AC66" s="259"/>
      <c r="AD66" s="202">
        <f t="shared" ref="AD66:AD81" si="88">AC66*F66</f>
        <v>0</v>
      </c>
      <c r="AE66" s="259"/>
      <c r="AF66" s="202">
        <f t="shared" ref="AF66:AF82" si="89">AE66*F66</f>
        <v>0</v>
      </c>
      <c r="AG66" s="259"/>
      <c r="AH66" s="202">
        <f t="shared" ref="AH66:AH82" si="90">AG66*F66</f>
        <v>0</v>
      </c>
      <c r="AI66" s="259"/>
      <c r="AJ66" s="202">
        <f t="shared" ref="AJ66:AJ82" si="91">AI66*F66</f>
        <v>0</v>
      </c>
      <c r="AK66" s="259"/>
      <c r="AL66" s="202">
        <f t="shared" ref="AL66:AL82" si="92">AK66*F66</f>
        <v>0</v>
      </c>
      <c r="AM66" s="259"/>
      <c r="AN66" s="202">
        <f t="shared" ref="AN66:AN82" si="93">AM66*F66</f>
        <v>0</v>
      </c>
      <c r="AO66" s="259"/>
      <c r="AP66" s="202">
        <f t="shared" ref="AP66:AP82" si="94">AO66*F66</f>
        <v>0</v>
      </c>
      <c r="AQ66" s="259"/>
      <c r="AR66" s="202">
        <f t="shared" ref="AR66:AR82" si="95">AQ66*F66</f>
        <v>0</v>
      </c>
      <c r="AS66" s="259"/>
      <c r="AT66" s="202">
        <f t="shared" ref="AT66:AT81" si="96">AS66*F66</f>
        <v>0</v>
      </c>
      <c r="AU66" s="259"/>
      <c r="AV66" s="202">
        <f t="shared" ref="AV66:AV82" si="97">AU66*F66</f>
        <v>0</v>
      </c>
      <c r="AW66" s="259"/>
      <c r="AX66" s="202">
        <f t="shared" ref="AX66:AX82" si="98">AW66*F66</f>
        <v>0</v>
      </c>
      <c r="AY66" s="260"/>
      <c r="AZ66" s="202">
        <f t="shared" ref="AZ66:AZ82" si="99">AY66*F66</f>
        <v>0</v>
      </c>
      <c r="BA66" s="259"/>
      <c r="BB66" s="202">
        <f t="shared" ref="BB66:BB82" si="100">BA66*F66</f>
        <v>0</v>
      </c>
      <c r="BC66" s="259"/>
      <c r="BD66" s="202">
        <f t="shared" ref="BD66:BD82" si="101">BC66*F66</f>
        <v>0</v>
      </c>
      <c r="BE66" s="259"/>
      <c r="BF66" s="202">
        <f t="shared" ref="BF66:BF82" si="102">BE66*F66</f>
        <v>0</v>
      </c>
      <c r="BG66" s="259"/>
      <c r="BH66" s="202">
        <f t="shared" ref="BH66:BH82" si="103">BG66*F66</f>
        <v>0</v>
      </c>
      <c r="BI66" s="259"/>
      <c r="BJ66" s="202">
        <f t="shared" ref="BJ66:BJ82" si="104">BI66*F66</f>
        <v>0</v>
      </c>
      <c r="BK66" s="180"/>
      <c r="BL66" s="202"/>
      <c r="BM66" s="294"/>
      <c r="BN66" s="219"/>
      <c r="BO66" s="207"/>
      <c r="BP66" s="295"/>
      <c r="BQ66" s="295"/>
      <c r="BR66" s="295"/>
      <c r="BS66" s="163"/>
      <c r="BT66" s="295"/>
      <c r="BU66" s="295"/>
      <c r="BV66" s="163"/>
      <c r="BW66" s="203"/>
    </row>
    <row r="67" spans="1:75" s="265" customFormat="1" ht="20.25" customHeight="1">
      <c r="A67" s="204"/>
      <c r="B67" s="196"/>
      <c r="C67" s="272" t="s">
        <v>873</v>
      </c>
      <c r="D67" s="196" t="s">
        <v>840</v>
      </c>
      <c r="E67" s="258" t="s">
        <v>76</v>
      </c>
      <c r="F67" s="229">
        <v>50000</v>
      </c>
      <c r="G67" s="206">
        <f t="shared" ref="G67:G81" si="105">BK67</f>
        <v>0</v>
      </c>
      <c r="H67" s="207">
        <f t="shared" ref="H67:H81" si="106">G67*F67</f>
        <v>0</v>
      </c>
      <c r="I67" s="207">
        <f t="shared" ref="I67:I82" si="107">H67*0.1</f>
        <v>0</v>
      </c>
      <c r="J67" s="207">
        <f t="shared" ref="J67:J82" si="108">H67*0.8</f>
        <v>0</v>
      </c>
      <c r="K67" s="207"/>
      <c r="L67" s="207"/>
      <c r="M67" s="207"/>
      <c r="N67" s="207"/>
      <c r="O67" s="207"/>
      <c r="P67" s="207"/>
      <c r="Q67" s="207">
        <f>H67*0.1</f>
        <v>0</v>
      </c>
      <c r="R67" s="207"/>
      <c r="S67" s="180"/>
      <c r="T67" s="180">
        <f>G67*0.6</f>
        <v>0</v>
      </c>
      <c r="U67" s="180">
        <f>G67*0.4</f>
        <v>0</v>
      </c>
      <c r="V67" s="180"/>
      <c r="W67" s="211">
        <f t="shared" ref="W67:W79" si="109">S67*F67</f>
        <v>0</v>
      </c>
      <c r="X67" s="211">
        <f t="shared" ref="X67:X79" si="110">T67*F67</f>
        <v>0</v>
      </c>
      <c r="Y67" s="211">
        <f t="shared" ref="Y67:Y79" si="111">U67*F67</f>
        <v>0</v>
      </c>
      <c r="Z67" s="211">
        <f t="shared" ref="Z67:Z79" si="112">V67*F67</f>
        <v>0</v>
      </c>
      <c r="AA67" s="296">
        <v>0</v>
      </c>
      <c r="AB67" s="202">
        <f t="shared" si="87"/>
        <v>0</v>
      </c>
      <c r="AC67" s="180">
        <v>0</v>
      </c>
      <c r="AD67" s="202">
        <f t="shared" si="88"/>
        <v>0</v>
      </c>
      <c r="AE67" s="180">
        <v>0</v>
      </c>
      <c r="AF67" s="202">
        <f t="shared" si="89"/>
        <v>0</v>
      </c>
      <c r="AG67" s="180">
        <v>0</v>
      </c>
      <c r="AH67" s="202">
        <f t="shared" si="90"/>
        <v>0</v>
      </c>
      <c r="AI67" s="180">
        <v>0</v>
      </c>
      <c r="AJ67" s="202">
        <f t="shared" si="91"/>
        <v>0</v>
      </c>
      <c r="AK67" s="180">
        <v>0</v>
      </c>
      <c r="AL67" s="202">
        <f t="shared" si="92"/>
        <v>0</v>
      </c>
      <c r="AM67" s="180">
        <v>0</v>
      </c>
      <c r="AN67" s="202">
        <f t="shared" si="93"/>
        <v>0</v>
      </c>
      <c r="AO67" s="180">
        <v>0</v>
      </c>
      <c r="AP67" s="202">
        <f t="shared" si="94"/>
        <v>0</v>
      </c>
      <c r="AQ67" s="180">
        <v>0</v>
      </c>
      <c r="AR67" s="202">
        <f t="shared" si="95"/>
        <v>0</v>
      </c>
      <c r="AS67" s="180">
        <v>0</v>
      </c>
      <c r="AT67" s="202">
        <f t="shared" si="96"/>
        <v>0</v>
      </c>
      <c r="AU67" s="180">
        <v>0</v>
      </c>
      <c r="AV67" s="202">
        <f t="shared" si="97"/>
        <v>0</v>
      </c>
      <c r="AW67" s="129">
        <v>0</v>
      </c>
      <c r="AX67" s="202">
        <f t="shared" si="98"/>
        <v>0</v>
      </c>
      <c r="AY67" s="202"/>
      <c r="AZ67" s="202">
        <f t="shared" si="99"/>
        <v>0</v>
      </c>
      <c r="BA67" s="180"/>
      <c r="BB67" s="202">
        <f t="shared" si="100"/>
        <v>0</v>
      </c>
      <c r="BC67" s="180">
        <v>0</v>
      </c>
      <c r="BD67" s="202">
        <f t="shared" si="101"/>
        <v>0</v>
      </c>
      <c r="BE67" s="259">
        <v>0</v>
      </c>
      <c r="BF67" s="202">
        <f t="shared" si="102"/>
        <v>0</v>
      </c>
      <c r="BG67" s="180">
        <v>0</v>
      </c>
      <c r="BH67" s="202">
        <f t="shared" si="103"/>
        <v>0</v>
      </c>
      <c r="BI67" s="180"/>
      <c r="BJ67" s="202">
        <f t="shared" si="104"/>
        <v>0</v>
      </c>
      <c r="BK67" s="202">
        <f t="shared" ref="BK67:BK82" si="113">AA67+AC67+AE67+AG67+AI67+AK67+AM67+AO67+AQ67+AS67+AU67+AW67+AY67+BA67+BC67+BE67+BG67+BI67</f>
        <v>0</v>
      </c>
      <c r="BL67" s="202">
        <f t="shared" ref="BL67:BL82" si="114">AB67+AD67+AF67+AH67+AJ67+AL67+AN67+AP67+AR67+AT67+AV67+AX67+AZ67+BB67+BD67+BF67+BH67+BJ67</f>
        <v>0</v>
      </c>
      <c r="BM67" s="236" t="s">
        <v>222</v>
      </c>
      <c r="BN67" s="219"/>
      <c r="BO67" s="207"/>
      <c r="BP67" s="295"/>
      <c r="BQ67" s="254">
        <f t="shared" ref="BQ67:BQ81" si="115">H67</f>
        <v>0</v>
      </c>
      <c r="BR67" s="295"/>
      <c r="BS67" s="163">
        <f t="shared" ref="BS67:BS81" si="116">BO67+BP67+BQ67+BR67</f>
        <v>0</v>
      </c>
      <c r="BT67" s="295"/>
      <c r="BU67" s="295"/>
      <c r="BV67" s="163"/>
      <c r="BW67" s="203">
        <f>BS67+BV67</f>
        <v>0</v>
      </c>
    </row>
    <row r="68" spans="1:75" s="265" customFormat="1" ht="20.25" customHeight="1">
      <c r="A68" s="204"/>
      <c r="B68" s="196"/>
      <c r="C68" s="272" t="s">
        <v>874</v>
      </c>
      <c r="D68" s="298" t="s">
        <v>268</v>
      </c>
      <c r="E68" s="258" t="s">
        <v>76</v>
      </c>
      <c r="F68" s="551">
        <v>20000</v>
      </c>
      <c r="G68" s="206">
        <f t="shared" si="105"/>
        <v>108.3</v>
      </c>
      <c r="H68" s="207">
        <f t="shared" si="106"/>
        <v>2166000</v>
      </c>
      <c r="I68" s="207">
        <f t="shared" si="107"/>
        <v>216600</v>
      </c>
      <c r="J68" s="207">
        <f t="shared" si="108"/>
        <v>1732800</v>
      </c>
      <c r="K68" s="207"/>
      <c r="L68" s="207"/>
      <c r="M68" s="207"/>
      <c r="N68" s="207"/>
      <c r="O68" s="207"/>
      <c r="P68" s="207"/>
      <c r="Q68" s="207">
        <f t="shared" ref="Q68:Q82" si="117">H68*0.1</f>
        <v>216600</v>
      </c>
      <c r="R68" s="207"/>
      <c r="S68" s="212">
        <f>G68*0.15</f>
        <v>16.244999999999997</v>
      </c>
      <c r="T68" s="212">
        <f>G68*0.7</f>
        <v>75.809999999999988</v>
      </c>
      <c r="U68" s="212">
        <f>G68:G68*0.15</f>
        <v>16.244999999999997</v>
      </c>
      <c r="V68" s="259"/>
      <c r="W68" s="211">
        <f t="shared" si="109"/>
        <v>324899.99999999994</v>
      </c>
      <c r="X68" s="211">
        <f t="shared" si="110"/>
        <v>1516199.9999999998</v>
      </c>
      <c r="Y68" s="211">
        <f t="shared" si="111"/>
        <v>324899.99999999994</v>
      </c>
      <c r="Z68" s="211">
        <f t="shared" si="112"/>
        <v>0</v>
      </c>
      <c r="AA68" s="296">
        <v>10</v>
      </c>
      <c r="AB68" s="202">
        <f t="shared" si="87"/>
        <v>200000</v>
      </c>
      <c r="AC68" s="259">
        <v>10</v>
      </c>
      <c r="AD68" s="202">
        <f t="shared" si="88"/>
        <v>200000</v>
      </c>
      <c r="AE68" s="259">
        <v>12</v>
      </c>
      <c r="AF68" s="202">
        <f t="shared" si="89"/>
        <v>240000</v>
      </c>
      <c r="AG68" s="259">
        <v>5</v>
      </c>
      <c r="AH68" s="202">
        <f t="shared" si="90"/>
        <v>100000</v>
      </c>
      <c r="AI68" s="259">
        <v>0</v>
      </c>
      <c r="AJ68" s="202">
        <f t="shared" si="91"/>
        <v>0</v>
      </c>
      <c r="AK68" s="259">
        <v>5</v>
      </c>
      <c r="AL68" s="202">
        <f t="shared" si="92"/>
        <v>100000</v>
      </c>
      <c r="AM68" s="259">
        <v>0</v>
      </c>
      <c r="AN68" s="202">
        <f t="shared" si="93"/>
        <v>0</v>
      </c>
      <c r="AO68" s="259">
        <v>5</v>
      </c>
      <c r="AP68" s="202">
        <f t="shared" si="94"/>
        <v>100000</v>
      </c>
      <c r="AQ68" s="259">
        <v>5</v>
      </c>
      <c r="AR68" s="202">
        <f t="shared" si="95"/>
        <v>100000</v>
      </c>
      <c r="AS68" s="259">
        <v>10</v>
      </c>
      <c r="AT68" s="202">
        <f t="shared" si="96"/>
        <v>200000</v>
      </c>
      <c r="AU68" s="553">
        <v>7.3</v>
      </c>
      <c r="AV68" s="202">
        <f t="shared" si="97"/>
        <v>146000</v>
      </c>
      <c r="AW68" s="129">
        <v>0</v>
      </c>
      <c r="AX68" s="202">
        <f t="shared" si="98"/>
        <v>0</v>
      </c>
      <c r="AY68" s="260">
        <v>2</v>
      </c>
      <c r="AZ68" s="202">
        <f t="shared" si="99"/>
        <v>40000</v>
      </c>
      <c r="BA68" s="259">
        <v>0</v>
      </c>
      <c r="BB68" s="202">
        <f t="shared" si="100"/>
        <v>0</v>
      </c>
      <c r="BC68" s="259">
        <v>15</v>
      </c>
      <c r="BD68" s="202">
        <f t="shared" si="101"/>
        <v>300000</v>
      </c>
      <c r="BE68" s="259">
        <v>20</v>
      </c>
      <c r="BF68" s="202">
        <f t="shared" si="102"/>
        <v>400000</v>
      </c>
      <c r="BG68" s="259">
        <v>2</v>
      </c>
      <c r="BH68" s="202">
        <f t="shared" si="103"/>
        <v>40000</v>
      </c>
      <c r="BI68" s="259"/>
      <c r="BJ68" s="202">
        <f t="shared" si="104"/>
        <v>0</v>
      </c>
      <c r="BK68" s="202">
        <f t="shared" si="113"/>
        <v>108.3</v>
      </c>
      <c r="BL68" s="202">
        <f t="shared" si="114"/>
        <v>2166000</v>
      </c>
      <c r="BM68" s="236" t="s">
        <v>222</v>
      </c>
      <c r="BN68" s="219"/>
      <c r="BO68" s="207"/>
      <c r="BP68" s="295"/>
      <c r="BQ68" s="254">
        <f t="shared" si="115"/>
        <v>2166000</v>
      </c>
      <c r="BR68" s="295"/>
      <c r="BS68" s="163">
        <f t="shared" si="116"/>
        <v>2166000</v>
      </c>
      <c r="BT68" s="295"/>
      <c r="BU68" s="295"/>
      <c r="BV68" s="163"/>
      <c r="BW68" s="203">
        <f>BS68+BV68</f>
        <v>2166000</v>
      </c>
    </row>
    <row r="69" spans="1:75" s="265" customFormat="1" ht="20.25" customHeight="1">
      <c r="A69" s="204"/>
      <c r="B69" s="196"/>
      <c r="C69" s="272" t="s">
        <v>875</v>
      </c>
      <c r="D69" s="298" t="s">
        <v>262</v>
      </c>
      <c r="E69" s="258" t="s">
        <v>76</v>
      </c>
      <c r="F69" s="551">
        <v>20000</v>
      </c>
      <c r="G69" s="206">
        <f>BK69</f>
        <v>78.900000000000006</v>
      </c>
      <c r="H69" s="207">
        <f t="shared" si="106"/>
        <v>1578000</v>
      </c>
      <c r="I69" s="207">
        <f t="shared" si="107"/>
        <v>157800</v>
      </c>
      <c r="J69" s="207">
        <f t="shared" si="108"/>
        <v>1262400</v>
      </c>
      <c r="K69" s="207"/>
      <c r="L69" s="207"/>
      <c r="M69" s="207"/>
      <c r="N69" s="207"/>
      <c r="O69" s="207"/>
      <c r="P69" s="207"/>
      <c r="Q69" s="207">
        <f t="shared" si="117"/>
        <v>157800</v>
      </c>
      <c r="R69" s="207"/>
      <c r="S69" s="259"/>
      <c r="T69" s="259"/>
      <c r="U69" s="259">
        <f>G69</f>
        <v>78.900000000000006</v>
      </c>
      <c r="V69" s="259"/>
      <c r="W69" s="211">
        <f t="shared" si="109"/>
        <v>0</v>
      </c>
      <c r="X69" s="211">
        <f t="shared" si="110"/>
        <v>0</v>
      </c>
      <c r="Y69" s="211">
        <f t="shared" si="111"/>
        <v>1578000</v>
      </c>
      <c r="Z69" s="211">
        <f t="shared" si="112"/>
        <v>0</v>
      </c>
      <c r="AA69" s="296">
        <v>1</v>
      </c>
      <c r="AB69" s="202">
        <f t="shared" si="87"/>
        <v>20000</v>
      </c>
      <c r="AC69" s="259">
        <v>5</v>
      </c>
      <c r="AD69" s="202">
        <f t="shared" si="88"/>
        <v>100000</v>
      </c>
      <c r="AE69" s="259">
        <v>3</v>
      </c>
      <c r="AF69" s="202">
        <f t="shared" si="89"/>
        <v>60000</v>
      </c>
      <c r="AG69" s="547">
        <v>3</v>
      </c>
      <c r="AH69" s="548">
        <f t="shared" si="90"/>
        <v>60000</v>
      </c>
      <c r="AI69" s="259">
        <v>2</v>
      </c>
      <c r="AJ69" s="202">
        <f t="shared" si="91"/>
        <v>40000</v>
      </c>
      <c r="AK69" s="259">
        <v>5</v>
      </c>
      <c r="AL69" s="202">
        <f t="shared" si="92"/>
        <v>100000</v>
      </c>
      <c r="AM69" s="259">
        <v>10</v>
      </c>
      <c r="AN69" s="202">
        <f t="shared" si="93"/>
        <v>200000</v>
      </c>
      <c r="AO69" s="259">
        <v>3</v>
      </c>
      <c r="AP69" s="202">
        <f t="shared" si="94"/>
        <v>60000</v>
      </c>
      <c r="AQ69" s="259">
        <v>3</v>
      </c>
      <c r="AR69" s="202">
        <f t="shared" si="95"/>
        <v>60000</v>
      </c>
      <c r="AS69" s="259">
        <v>3</v>
      </c>
      <c r="AT69" s="202">
        <f t="shared" si="96"/>
        <v>60000</v>
      </c>
      <c r="AU69" s="553">
        <v>12.4</v>
      </c>
      <c r="AV69" s="202">
        <f t="shared" si="97"/>
        <v>248000</v>
      </c>
      <c r="AW69" s="129">
        <v>2</v>
      </c>
      <c r="AX69" s="202">
        <f t="shared" si="98"/>
        <v>40000</v>
      </c>
      <c r="AY69" s="260">
        <v>0</v>
      </c>
      <c r="AZ69" s="202">
        <f t="shared" si="99"/>
        <v>0</v>
      </c>
      <c r="BA69" s="259">
        <v>4</v>
      </c>
      <c r="BB69" s="202">
        <f t="shared" si="100"/>
        <v>80000</v>
      </c>
      <c r="BC69" s="553">
        <v>12.5</v>
      </c>
      <c r="BD69" s="202">
        <f t="shared" si="101"/>
        <v>250000</v>
      </c>
      <c r="BE69" s="259">
        <v>8</v>
      </c>
      <c r="BF69" s="202">
        <f t="shared" si="102"/>
        <v>160000</v>
      </c>
      <c r="BG69" s="259">
        <v>2</v>
      </c>
      <c r="BH69" s="202">
        <f t="shared" si="103"/>
        <v>40000</v>
      </c>
      <c r="BI69" s="259"/>
      <c r="BJ69" s="202">
        <f t="shared" si="104"/>
        <v>0</v>
      </c>
      <c r="BK69" s="202">
        <f t="shared" si="113"/>
        <v>78.900000000000006</v>
      </c>
      <c r="BL69" s="202">
        <f t="shared" si="114"/>
        <v>1578000</v>
      </c>
      <c r="BM69" s="236" t="s">
        <v>222</v>
      </c>
      <c r="BN69" s="219"/>
      <c r="BO69" s="207"/>
      <c r="BP69" s="295"/>
      <c r="BQ69" s="254">
        <f t="shared" si="115"/>
        <v>1578000</v>
      </c>
      <c r="BR69" s="295"/>
      <c r="BS69" s="163">
        <f t="shared" si="116"/>
        <v>1578000</v>
      </c>
      <c r="BT69" s="295"/>
      <c r="BU69" s="295"/>
      <c r="BV69" s="163"/>
      <c r="BW69" s="203">
        <f>BS69+BV69</f>
        <v>1578000</v>
      </c>
    </row>
    <row r="70" spans="1:75" s="265" customFormat="1" ht="20.25" customHeight="1">
      <c r="A70" s="204"/>
      <c r="B70" s="196"/>
      <c r="C70" s="272" t="s">
        <v>876</v>
      </c>
      <c r="D70" s="196" t="s">
        <v>263</v>
      </c>
      <c r="E70" s="258" t="s">
        <v>76</v>
      </c>
      <c r="F70" s="551">
        <v>20000</v>
      </c>
      <c r="G70" s="206">
        <f>BK70</f>
        <v>93</v>
      </c>
      <c r="H70" s="633">
        <f>BL70</f>
        <v>1945000</v>
      </c>
      <c r="I70" s="207">
        <f t="shared" si="107"/>
        <v>194500</v>
      </c>
      <c r="J70" s="207">
        <f t="shared" si="108"/>
        <v>1556000</v>
      </c>
      <c r="K70" s="207"/>
      <c r="L70" s="207"/>
      <c r="M70" s="207"/>
      <c r="N70" s="207"/>
      <c r="O70" s="207"/>
      <c r="P70" s="207"/>
      <c r="Q70" s="207">
        <f t="shared" si="117"/>
        <v>194500</v>
      </c>
      <c r="R70" s="207"/>
      <c r="S70" s="259"/>
      <c r="T70" s="259"/>
      <c r="U70" s="259">
        <f>G70</f>
        <v>93</v>
      </c>
      <c r="V70" s="259"/>
      <c r="W70" s="211">
        <f t="shared" si="109"/>
        <v>0</v>
      </c>
      <c r="X70" s="211">
        <f t="shared" si="110"/>
        <v>0</v>
      </c>
      <c r="Y70" s="211">
        <f t="shared" si="111"/>
        <v>1860000</v>
      </c>
      <c r="Z70" s="211">
        <f t="shared" si="112"/>
        <v>0</v>
      </c>
      <c r="AA70" s="296">
        <v>2</v>
      </c>
      <c r="AB70" s="202">
        <f t="shared" si="87"/>
        <v>40000</v>
      </c>
      <c r="AC70" s="259">
        <v>3</v>
      </c>
      <c r="AD70" s="202">
        <f t="shared" si="88"/>
        <v>60000</v>
      </c>
      <c r="AE70" s="259">
        <v>4</v>
      </c>
      <c r="AF70" s="202">
        <f t="shared" si="89"/>
        <v>80000</v>
      </c>
      <c r="AG70" s="259">
        <v>3</v>
      </c>
      <c r="AH70" s="202">
        <f t="shared" si="90"/>
        <v>60000</v>
      </c>
      <c r="AI70" s="259">
        <v>2</v>
      </c>
      <c r="AJ70" s="202">
        <f t="shared" si="91"/>
        <v>40000</v>
      </c>
      <c r="AK70" s="259">
        <v>4</v>
      </c>
      <c r="AL70" s="202">
        <f t="shared" si="92"/>
        <v>80000</v>
      </c>
      <c r="AM70" s="259">
        <v>12</v>
      </c>
      <c r="AN70" s="202">
        <f t="shared" si="93"/>
        <v>240000</v>
      </c>
      <c r="AO70" s="259">
        <v>6</v>
      </c>
      <c r="AP70" s="202">
        <f t="shared" si="94"/>
        <v>120000</v>
      </c>
      <c r="AQ70" s="259">
        <v>10</v>
      </c>
      <c r="AR70" s="202">
        <v>150000</v>
      </c>
      <c r="AS70" s="259">
        <v>5</v>
      </c>
      <c r="AT70" s="511">
        <f>(AS70*F70)+135000</f>
        <v>235000</v>
      </c>
      <c r="AU70" s="259">
        <v>7</v>
      </c>
      <c r="AV70" s="202">
        <f t="shared" si="97"/>
        <v>140000</v>
      </c>
      <c r="AW70" s="129">
        <v>3</v>
      </c>
      <c r="AX70" s="202">
        <f t="shared" si="98"/>
        <v>60000</v>
      </c>
      <c r="AY70" s="260">
        <v>0</v>
      </c>
      <c r="AZ70" s="202">
        <f t="shared" si="99"/>
        <v>0</v>
      </c>
      <c r="BA70" s="259">
        <v>7</v>
      </c>
      <c r="BB70" s="202">
        <f t="shared" si="100"/>
        <v>140000</v>
      </c>
      <c r="BC70" s="516">
        <v>15</v>
      </c>
      <c r="BD70" s="202">
        <f t="shared" si="101"/>
        <v>300000</v>
      </c>
      <c r="BE70" s="259">
        <v>8</v>
      </c>
      <c r="BF70" s="202">
        <f t="shared" si="102"/>
        <v>160000</v>
      </c>
      <c r="BG70" s="259">
        <v>2</v>
      </c>
      <c r="BH70" s="202">
        <f t="shared" si="103"/>
        <v>40000</v>
      </c>
      <c r="BI70" s="259"/>
      <c r="BJ70" s="202">
        <f t="shared" si="104"/>
        <v>0</v>
      </c>
      <c r="BK70" s="202">
        <f t="shared" si="113"/>
        <v>93</v>
      </c>
      <c r="BL70" s="202">
        <f t="shared" si="114"/>
        <v>1945000</v>
      </c>
      <c r="BM70" s="236" t="s">
        <v>222</v>
      </c>
      <c r="BN70" s="219"/>
      <c r="BO70" s="207"/>
      <c r="BP70" s="295"/>
      <c r="BQ70" s="254">
        <f t="shared" si="115"/>
        <v>1945000</v>
      </c>
      <c r="BR70" s="295"/>
      <c r="BS70" s="163">
        <f t="shared" si="116"/>
        <v>1945000</v>
      </c>
      <c r="BT70" s="295"/>
      <c r="BU70" s="295"/>
      <c r="BV70" s="163"/>
      <c r="BW70" s="203">
        <f>BS70+BV70</f>
        <v>1945000</v>
      </c>
    </row>
    <row r="71" spans="1:75" s="265" customFormat="1" ht="20.25" customHeight="1">
      <c r="A71" s="204"/>
      <c r="B71" s="196"/>
      <c r="C71" s="272" t="s">
        <v>877</v>
      </c>
      <c r="D71" s="196" t="s">
        <v>301</v>
      </c>
      <c r="E71" s="258" t="s">
        <v>76</v>
      </c>
      <c r="F71" s="551">
        <v>20000</v>
      </c>
      <c r="G71" s="206">
        <f t="shared" si="105"/>
        <v>59</v>
      </c>
      <c r="H71" s="207">
        <f t="shared" si="106"/>
        <v>1180000</v>
      </c>
      <c r="I71" s="207">
        <f t="shared" si="107"/>
        <v>118000</v>
      </c>
      <c r="J71" s="207">
        <f t="shared" si="108"/>
        <v>944000</v>
      </c>
      <c r="K71" s="207"/>
      <c r="L71" s="207"/>
      <c r="M71" s="207"/>
      <c r="N71" s="207"/>
      <c r="O71" s="207"/>
      <c r="P71" s="207"/>
      <c r="Q71" s="207">
        <f t="shared" si="117"/>
        <v>118000</v>
      </c>
      <c r="R71" s="207"/>
      <c r="S71" s="212"/>
      <c r="T71" s="212">
        <f>G71*0.7</f>
        <v>41.3</v>
      </c>
      <c r="U71" s="212"/>
      <c r="V71" s="259">
        <f>G71*0.3</f>
        <v>17.7</v>
      </c>
      <c r="W71" s="211">
        <f t="shared" si="109"/>
        <v>0</v>
      </c>
      <c r="X71" s="211">
        <f t="shared" si="110"/>
        <v>826000</v>
      </c>
      <c r="Y71" s="211">
        <f t="shared" si="111"/>
        <v>0</v>
      </c>
      <c r="Z71" s="211">
        <f t="shared" si="112"/>
        <v>354000</v>
      </c>
      <c r="AA71" s="296">
        <v>0.5</v>
      </c>
      <c r="AB71" s="202">
        <f t="shared" si="87"/>
        <v>10000</v>
      </c>
      <c r="AC71" s="259">
        <v>0</v>
      </c>
      <c r="AD71" s="202">
        <f t="shared" si="88"/>
        <v>0</v>
      </c>
      <c r="AE71" s="259">
        <v>4</v>
      </c>
      <c r="AF71" s="202">
        <f t="shared" si="89"/>
        <v>80000</v>
      </c>
      <c r="AG71" s="259">
        <v>2</v>
      </c>
      <c r="AH71" s="202">
        <f t="shared" si="90"/>
        <v>40000</v>
      </c>
      <c r="AI71" s="516">
        <v>0</v>
      </c>
      <c r="AJ71" s="511">
        <f t="shared" si="91"/>
        <v>0</v>
      </c>
      <c r="AK71" s="259">
        <v>0</v>
      </c>
      <c r="AL71" s="202">
        <f t="shared" si="92"/>
        <v>0</v>
      </c>
      <c r="AM71" s="259">
        <v>10</v>
      </c>
      <c r="AN71" s="202">
        <f t="shared" si="93"/>
        <v>200000</v>
      </c>
      <c r="AO71" s="259">
        <v>5</v>
      </c>
      <c r="AP71" s="202">
        <f t="shared" si="94"/>
        <v>100000</v>
      </c>
      <c r="AQ71" s="259">
        <v>5</v>
      </c>
      <c r="AR71" s="202">
        <f t="shared" si="95"/>
        <v>100000</v>
      </c>
      <c r="AS71" s="259">
        <v>0</v>
      </c>
      <c r="AT71" s="202">
        <f t="shared" si="96"/>
        <v>0</v>
      </c>
      <c r="AU71" s="259">
        <v>8</v>
      </c>
      <c r="AV71" s="202">
        <f t="shared" si="97"/>
        <v>160000</v>
      </c>
      <c r="AW71" s="129">
        <v>0</v>
      </c>
      <c r="AX71" s="202">
        <f t="shared" si="98"/>
        <v>0</v>
      </c>
      <c r="AY71" s="260">
        <v>0</v>
      </c>
      <c r="AZ71" s="202">
        <f t="shared" si="99"/>
        <v>0</v>
      </c>
      <c r="BA71" s="259">
        <v>2</v>
      </c>
      <c r="BB71" s="202">
        <f t="shared" si="100"/>
        <v>40000</v>
      </c>
      <c r="BC71" s="631">
        <v>12.5</v>
      </c>
      <c r="BD71" s="202">
        <f t="shared" si="101"/>
        <v>250000</v>
      </c>
      <c r="BE71" s="259">
        <v>10</v>
      </c>
      <c r="BF71" s="202">
        <f t="shared" si="102"/>
        <v>200000</v>
      </c>
      <c r="BG71" s="259">
        <v>0</v>
      </c>
      <c r="BH71" s="202">
        <f t="shared" si="103"/>
        <v>0</v>
      </c>
      <c r="BI71" s="259"/>
      <c r="BJ71" s="202">
        <f t="shared" si="104"/>
        <v>0</v>
      </c>
      <c r="BK71" s="202">
        <f t="shared" si="113"/>
        <v>59</v>
      </c>
      <c r="BL71" s="202">
        <f t="shared" si="114"/>
        <v>1180000</v>
      </c>
      <c r="BM71" s="236" t="s">
        <v>222</v>
      </c>
      <c r="BN71" s="219"/>
      <c r="BO71" s="207"/>
      <c r="BP71" s="295"/>
      <c r="BQ71" s="254">
        <f t="shared" si="115"/>
        <v>1180000</v>
      </c>
      <c r="BR71" s="295"/>
      <c r="BS71" s="163">
        <f t="shared" si="116"/>
        <v>1180000</v>
      </c>
      <c r="BT71" s="295"/>
      <c r="BU71" s="295"/>
      <c r="BV71" s="163"/>
      <c r="BW71" s="203">
        <f>BS71+BV71</f>
        <v>1180000</v>
      </c>
    </row>
    <row r="72" spans="1:75" s="265" customFormat="1" ht="20.25" customHeight="1">
      <c r="A72" s="204"/>
      <c r="B72" s="196"/>
      <c r="C72" s="272" t="s">
        <v>878</v>
      </c>
      <c r="D72" s="196" t="s">
        <v>264</v>
      </c>
      <c r="E72" s="258" t="s">
        <v>76</v>
      </c>
      <c r="F72" s="229">
        <v>50000</v>
      </c>
      <c r="G72" s="206">
        <f t="shared" si="105"/>
        <v>6</v>
      </c>
      <c r="H72" s="207">
        <f t="shared" si="106"/>
        <v>300000</v>
      </c>
      <c r="I72" s="207">
        <f t="shared" si="107"/>
        <v>30000</v>
      </c>
      <c r="J72" s="207">
        <f t="shared" si="108"/>
        <v>240000</v>
      </c>
      <c r="K72" s="207"/>
      <c r="L72" s="207"/>
      <c r="M72" s="207"/>
      <c r="N72" s="207"/>
      <c r="O72" s="207"/>
      <c r="P72" s="207"/>
      <c r="Q72" s="207">
        <f t="shared" si="117"/>
        <v>30000</v>
      </c>
      <c r="R72" s="207"/>
      <c r="S72" s="212">
        <f>G72*0.65</f>
        <v>3.9000000000000004</v>
      </c>
      <c r="T72" s="212">
        <f>G72*0.35</f>
        <v>2.0999999999999996</v>
      </c>
      <c r="U72" s="259"/>
      <c r="V72" s="259"/>
      <c r="W72" s="211">
        <f t="shared" si="109"/>
        <v>195000.00000000003</v>
      </c>
      <c r="X72" s="211">
        <f t="shared" si="110"/>
        <v>104999.99999999999</v>
      </c>
      <c r="Y72" s="211">
        <f t="shared" si="111"/>
        <v>0</v>
      </c>
      <c r="Z72" s="211">
        <f t="shared" si="112"/>
        <v>0</v>
      </c>
      <c r="AA72" s="296">
        <v>0</v>
      </c>
      <c r="AB72" s="202">
        <f t="shared" si="87"/>
        <v>0</v>
      </c>
      <c r="AC72" s="259">
        <v>1</v>
      </c>
      <c r="AD72" s="202">
        <f t="shared" si="88"/>
        <v>50000</v>
      </c>
      <c r="AE72" s="516">
        <v>0</v>
      </c>
      <c r="AF72" s="202">
        <f t="shared" si="89"/>
        <v>0</v>
      </c>
      <c r="AG72" s="259">
        <v>0</v>
      </c>
      <c r="AH72" s="202">
        <f t="shared" si="90"/>
        <v>0</v>
      </c>
      <c r="AI72" s="259">
        <v>0</v>
      </c>
      <c r="AJ72" s="202">
        <f t="shared" si="91"/>
        <v>0</v>
      </c>
      <c r="AK72" s="259">
        <v>0</v>
      </c>
      <c r="AL72" s="202">
        <f t="shared" si="92"/>
        <v>0</v>
      </c>
      <c r="AM72" s="259">
        <v>0</v>
      </c>
      <c r="AN72" s="202">
        <f t="shared" si="93"/>
        <v>0</v>
      </c>
      <c r="AO72" s="259">
        <v>0</v>
      </c>
      <c r="AP72" s="202">
        <f t="shared" si="94"/>
        <v>0</v>
      </c>
      <c r="AQ72" s="259">
        <v>0</v>
      </c>
      <c r="AR72" s="202">
        <f t="shared" si="95"/>
        <v>0</v>
      </c>
      <c r="AS72" s="259">
        <v>5</v>
      </c>
      <c r="AT72" s="202">
        <f t="shared" si="96"/>
        <v>250000</v>
      </c>
      <c r="AU72" s="259">
        <v>0</v>
      </c>
      <c r="AV72" s="202">
        <f t="shared" si="97"/>
        <v>0</v>
      </c>
      <c r="AW72" s="129">
        <v>0</v>
      </c>
      <c r="AX72" s="202">
        <f t="shared" si="98"/>
        <v>0</v>
      </c>
      <c r="AY72" s="260">
        <v>0</v>
      </c>
      <c r="AZ72" s="202">
        <f t="shared" si="99"/>
        <v>0</v>
      </c>
      <c r="BA72" s="259">
        <v>0</v>
      </c>
      <c r="BB72" s="202">
        <f t="shared" si="100"/>
        <v>0</v>
      </c>
      <c r="BC72" s="259">
        <v>0</v>
      </c>
      <c r="BD72" s="202">
        <f t="shared" si="101"/>
        <v>0</v>
      </c>
      <c r="BE72" s="259">
        <v>0</v>
      </c>
      <c r="BF72" s="202">
        <f t="shared" si="102"/>
        <v>0</v>
      </c>
      <c r="BG72" s="259">
        <v>0</v>
      </c>
      <c r="BH72" s="202">
        <f t="shared" si="103"/>
        <v>0</v>
      </c>
      <c r="BI72" s="259"/>
      <c r="BJ72" s="202">
        <f t="shared" si="104"/>
        <v>0</v>
      </c>
      <c r="BK72" s="202">
        <f t="shared" si="113"/>
        <v>6</v>
      </c>
      <c r="BL72" s="202">
        <f t="shared" si="114"/>
        <v>300000</v>
      </c>
      <c r="BM72" s="236" t="s">
        <v>222</v>
      </c>
      <c r="BN72" s="219"/>
      <c r="BO72" s="207"/>
      <c r="BP72" s="295"/>
      <c r="BQ72" s="254">
        <f t="shared" si="115"/>
        <v>300000</v>
      </c>
      <c r="BR72" s="295"/>
      <c r="BS72" s="163">
        <f t="shared" si="116"/>
        <v>300000</v>
      </c>
      <c r="BT72" s="295"/>
      <c r="BU72" s="295"/>
      <c r="BV72" s="163"/>
      <c r="BW72" s="203">
        <f t="shared" ref="BW72:BW81" si="118">BS72+BV72</f>
        <v>300000</v>
      </c>
    </row>
    <row r="73" spans="1:75" s="265" customFormat="1" ht="20.25" customHeight="1">
      <c r="A73" s="204"/>
      <c r="B73" s="196"/>
      <c r="C73" s="272" t="s">
        <v>879</v>
      </c>
      <c r="D73" s="196" t="s">
        <v>265</v>
      </c>
      <c r="E73" s="258" t="s">
        <v>76</v>
      </c>
      <c r="F73" s="229">
        <v>62500</v>
      </c>
      <c r="G73" s="206">
        <f t="shared" si="105"/>
        <v>12</v>
      </c>
      <c r="H73" s="207">
        <f t="shared" si="106"/>
        <v>750000</v>
      </c>
      <c r="I73" s="207">
        <f t="shared" si="107"/>
        <v>75000</v>
      </c>
      <c r="J73" s="207">
        <f t="shared" si="108"/>
        <v>600000</v>
      </c>
      <c r="K73" s="207"/>
      <c r="L73" s="207"/>
      <c r="M73" s="207"/>
      <c r="N73" s="207"/>
      <c r="O73" s="207"/>
      <c r="P73" s="207"/>
      <c r="Q73" s="207">
        <f t="shared" si="117"/>
        <v>75000</v>
      </c>
      <c r="R73" s="207"/>
      <c r="S73" s="259"/>
      <c r="T73" s="259"/>
      <c r="U73" s="259">
        <f>G73</f>
        <v>12</v>
      </c>
      <c r="V73" s="259"/>
      <c r="W73" s="211">
        <f t="shared" si="109"/>
        <v>0</v>
      </c>
      <c r="X73" s="211">
        <f t="shared" si="110"/>
        <v>0</v>
      </c>
      <c r="Y73" s="211">
        <f t="shared" si="111"/>
        <v>750000</v>
      </c>
      <c r="Z73" s="211">
        <f t="shared" si="112"/>
        <v>0</v>
      </c>
      <c r="AA73" s="296">
        <v>0</v>
      </c>
      <c r="AB73" s="202">
        <f t="shared" si="87"/>
        <v>0</v>
      </c>
      <c r="AC73" s="259">
        <v>2</v>
      </c>
      <c r="AD73" s="202">
        <f t="shared" si="88"/>
        <v>125000</v>
      </c>
      <c r="AE73" s="259">
        <v>0</v>
      </c>
      <c r="AF73" s="202">
        <f t="shared" si="89"/>
        <v>0</v>
      </c>
      <c r="AG73" s="259">
        <v>0</v>
      </c>
      <c r="AH73" s="202">
        <f t="shared" si="90"/>
        <v>0</v>
      </c>
      <c r="AI73" s="259">
        <v>0</v>
      </c>
      <c r="AJ73" s="202">
        <f t="shared" si="91"/>
        <v>0</v>
      </c>
      <c r="AK73" s="259">
        <v>0</v>
      </c>
      <c r="AL73" s="202">
        <f t="shared" si="92"/>
        <v>0</v>
      </c>
      <c r="AM73" s="259">
        <v>5</v>
      </c>
      <c r="AN73" s="202">
        <f t="shared" si="93"/>
        <v>312500</v>
      </c>
      <c r="AO73" s="259">
        <v>0</v>
      </c>
      <c r="AP73" s="202">
        <f t="shared" si="94"/>
        <v>0</v>
      </c>
      <c r="AQ73" s="259">
        <v>0</v>
      </c>
      <c r="AR73" s="202">
        <f t="shared" si="95"/>
        <v>0</v>
      </c>
      <c r="AS73" s="259">
        <v>0</v>
      </c>
      <c r="AT73" s="202">
        <f t="shared" si="96"/>
        <v>0</v>
      </c>
      <c r="AU73" s="259">
        <v>0</v>
      </c>
      <c r="AV73" s="202">
        <f t="shared" si="97"/>
        <v>0</v>
      </c>
      <c r="AW73" s="129">
        <v>0</v>
      </c>
      <c r="AX73" s="202">
        <f t="shared" si="98"/>
        <v>0</v>
      </c>
      <c r="AY73" s="518">
        <v>0</v>
      </c>
      <c r="AZ73" s="202">
        <f t="shared" si="99"/>
        <v>0</v>
      </c>
      <c r="BA73" s="259">
        <v>0</v>
      </c>
      <c r="BB73" s="202">
        <f t="shared" si="100"/>
        <v>0</v>
      </c>
      <c r="BC73" s="259">
        <v>0</v>
      </c>
      <c r="BD73" s="202">
        <f t="shared" si="101"/>
        <v>0</v>
      </c>
      <c r="BE73" s="259">
        <v>5</v>
      </c>
      <c r="BF73" s="202">
        <f t="shared" si="102"/>
        <v>312500</v>
      </c>
      <c r="BG73" s="259">
        <v>0</v>
      </c>
      <c r="BH73" s="202">
        <f t="shared" si="103"/>
        <v>0</v>
      </c>
      <c r="BI73" s="259"/>
      <c r="BJ73" s="202">
        <f t="shared" si="104"/>
        <v>0</v>
      </c>
      <c r="BK73" s="202">
        <f t="shared" si="113"/>
        <v>12</v>
      </c>
      <c r="BL73" s="202">
        <f t="shared" si="114"/>
        <v>750000</v>
      </c>
      <c r="BM73" s="236" t="s">
        <v>222</v>
      </c>
      <c r="BN73" s="219"/>
      <c r="BO73" s="207"/>
      <c r="BP73" s="295"/>
      <c r="BQ73" s="254">
        <f t="shared" si="115"/>
        <v>750000</v>
      </c>
      <c r="BR73" s="295"/>
      <c r="BS73" s="163">
        <f t="shared" si="116"/>
        <v>750000</v>
      </c>
      <c r="BT73" s="295"/>
      <c r="BU73" s="295"/>
      <c r="BV73" s="163"/>
      <c r="BW73" s="203">
        <f t="shared" si="118"/>
        <v>750000</v>
      </c>
    </row>
    <row r="74" spans="1:75" s="265" customFormat="1" ht="20.25" customHeight="1">
      <c r="A74" s="204"/>
      <c r="B74" s="196"/>
      <c r="C74" s="272" t="s">
        <v>880</v>
      </c>
      <c r="D74" s="196" t="s">
        <v>266</v>
      </c>
      <c r="E74" s="258" t="s">
        <v>76</v>
      </c>
      <c r="F74" s="229">
        <v>62500</v>
      </c>
      <c r="G74" s="206">
        <f t="shared" si="105"/>
        <v>6</v>
      </c>
      <c r="H74" s="207">
        <f t="shared" si="106"/>
        <v>375000</v>
      </c>
      <c r="I74" s="207">
        <f t="shared" si="107"/>
        <v>37500</v>
      </c>
      <c r="J74" s="207">
        <f t="shared" si="108"/>
        <v>300000</v>
      </c>
      <c r="K74" s="207"/>
      <c r="L74" s="207"/>
      <c r="M74" s="207"/>
      <c r="N74" s="207"/>
      <c r="O74" s="207"/>
      <c r="P74" s="207"/>
      <c r="Q74" s="207">
        <f t="shared" si="117"/>
        <v>37500</v>
      </c>
      <c r="R74" s="207"/>
      <c r="S74" s="259"/>
      <c r="T74" s="259"/>
      <c r="U74" s="259">
        <f>G74</f>
        <v>6</v>
      </c>
      <c r="V74" s="259"/>
      <c r="W74" s="211">
        <f t="shared" si="109"/>
        <v>0</v>
      </c>
      <c r="X74" s="211">
        <f t="shared" si="110"/>
        <v>0</v>
      </c>
      <c r="Y74" s="211">
        <f t="shared" si="111"/>
        <v>375000</v>
      </c>
      <c r="Z74" s="211">
        <f t="shared" si="112"/>
        <v>0</v>
      </c>
      <c r="AA74" s="296">
        <v>0</v>
      </c>
      <c r="AB74" s="202">
        <f t="shared" si="87"/>
        <v>0</v>
      </c>
      <c r="AC74" s="259">
        <v>0</v>
      </c>
      <c r="AD74" s="202">
        <f t="shared" si="88"/>
        <v>0</v>
      </c>
      <c r="AE74" s="516">
        <v>0</v>
      </c>
      <c r="AF74" s="202">
        <f t="shared" si="89"/>
        <v>0</v>
      </c>
      <c r="AG74" s="259">
        <v>0</v>
      </c>
      <c r="AH74" s="202">
        <f t="shared" si="90"/>
        <v>0</v>
      </c>
      <c r="AI74" s="259">
        <v>0</v>
      </c>
      <c r="AJ74" s="202">
        <f t="shared" si="91"/>
        <v>0</v>
      </c>
      <c r="AK74" s="259">
        <v>0</v>
      </c>
      <c r="AL74" s="202">
        <f t="shared" si="92"/>
        <v>0</v>
      </c>
      <c r="AM74" s="259">
        <v>5</v>
      </c>
      <c r="AN74" s="202">
        <f t="shared" si="93"/>
        <v>312500</v>
      </c>
      <c r="AO74" s="259">
        <v>0</v>
      </c>
      <c r="AP74" s="202">
        <f t="shared" si="94"/>
        <v>0</v>
      </c>
      <c r="AQ74" s="259">
        <v>0</v>
      </c>
      <c r="AR74" s="202">
        <f t="shared" si="95"/>
        <v>0</v>
      </c>
      <c r="AS74" s="259">
        <v>0</v>
      </c>
      <c r="AT74" s="202">
        <f t="shared" si="96"/>
        <v>0</v>
      </c>
      <c r="AU74" s="259">
        <v>0</v>
      </c>
      <c r="AV74" s="202">
        <f t="shared" si="97"/>
        <v>0</v>
      </c>
      <c r="AW74" s="129">
        <v>0</v>
      </c>
      <c r="AX74" s="202">
        <f t="shared" si="98"/>
        <v>0</v>
      </c>
      <c r="AY74" s="260">
        <v>0</v>
      </c>
      <c r="AZ74" s="202">
        <f t="shared" si="99"/>
        <v>0</v>
      </c>
      <c r="BA74" s="259">
        <v>1</v>
      </c>
      <c r="BB74" s="202">
        <f t="shared" si="100"/>
        <v>62500</v>
      </c>
      <c r="BC74" s="259">
        <v>0</v>
      </c>
      <c r="BD74" s="202">
        <f t="shared" si="101"/>
        <v>0</v>
      </c>
      <c r="BE74" s="259">
        <v>0</v>
      </c>
      <c r="BF74" s="202">
        <f t="shared" si="102"/>
        <v>0</v>
      </c>
      <c r="BG74" s="259">
        <v>0</v>
      </c>
      <c r="BH74" s="202">
        <f t="shared" si="103"/>
        <v>0</v>
      </c>
      <c r="BI74" s="259"/>
      <c r="BJ74" s="202">
        <f t="shared" si="104"/>
        <v>0</v>
      </c>
      <c r="BK74" s="202">
        <f t="shared" si="113"/>
        <v>6</v>
      </c>
      <c r="BL74" s="202">
        <f t="shared" si="114"/>
        <v>375000</v>
      </c>
      <c r="BM74" s="236" t="s">
        <v>222</v>
      </c>
      <c r="BN74" s="219"/>
      <c r="BO74" s="207"/>
      <c r="BP74" s="295"/>
      <c r="BQ74" s="254">
        <f t="shared" si="115"/>
        <v>375000</v>
      </c>
      <c r="BR74" s="295"/>
      <c r="BS74" s="163">
        <f t="shared" si="116"/>
        <v>375000</v>
      </c>
      <c r="BT74" s="295"/>
      <c r="BU74" s="295"/>
      <c r="BV74" s="163"/>
      <c r="BW74" s="203">
        <f t="shared" si="118"/>
        <v>375000</v>
      </c>
    </row>
    <row r="75" spans="1:75" s="265" customFormat="1" ht="20.25" customHeight="1">
      <c r="A75" s="204"/>
      <c r="B75" s="196"/>
      <c r="C75" s="272" t="s">
        <v>881</v>
      </c>
      <c r="D75" s="196" t="s">
        <v>269</v>
      </c>
      <c r="E75" s="258" t="s">
        <v>76</v>
      </c>
      <c r="F75" s="551">
        <v>30000</v>
      </c>
      <c r="G75" s="206">
        <f t="shared" si="105"/>
        <v>5</v>
      </c>
      <c r="H75" s="207">
        <f t="shared" si="106"/>
        <v>150000</v>
      </c>
      <c r="I75" s="207">
        <f t="shared" si="107"/>
        <v>15000</v>
      </c>
      <c r="J75" s="207">
        <f t="shared" si="108"/>
        <v>120000</v>
      </c>
      <c r="K75" s="207"/>
      <c r="L75" s="207"/>
      <c r="M75" s="207"/>
      <c r="N75" s="207"/>
      <c r="O75" s="207"/>
      <c r="P75" s="207"/>
      <c r="Q75" s="207">
        <f t="shared" si="117"/>
        <v>15000</v>
      </c>
      <c r="R75" s="207"/>
      <c r="S75" s="259"/>
      <c r="T75" s="259"/>
      <c r="U75" s="259">
        <f>G75</f>
        <v>5</v>
      </c>
      <c r="V75" s="259"/>
      <c r="W75" s="211">
        <f t="shared" si="109"/>
        <v>0</v>
      </c>
      <c r="X75" s="211">
        <f t="shared" si="110"/>
        <v>0</v>
      </c>
      <c r="Y75" s="211">
        <f t="shared" si="111"/>
        <v>150000</v>
      </c>
      <c r="Z75" s="211">
        <f t="shared" si="112"/>
        <v>0</v>
      </c>
      <c r="AA75" s="296">
        <v>0</v>
      </c>
      <c r="AB75" s="202">
        <f t="shared" si="87"/>
        <v>0</v>
      </c>
      <c r="AC75" s="259">
        <v>0</v>
      </c>
      <c r="AD75" s="202">
        <f t="shared" si="88"/>
        <v>0</v>
      </c>
      <c r="AE75" s="259">
        <v>1</v>
      </c>
      <c r="AF75" s="202">
        <f t="shared" si="89"/>
        <v>30000</v>
      </c>
      <c r="AG75" s="259">
        <v>0</v>
      </c>
      <c r="AH75" s="202">
        <f t="shared" si="90"/>
        <v>0</v>
      </c>
      <c r="AI75" s="259">
        <v>0</v>
      </c>
      <c r="AJ75" s="202">
        <f t="shared" si="91"/>
        <v>0</v>
      </c>
      <c r="AK75" s="259">
        <v>0</v>
      </c>
      <c r="AL75" s="202">
        <f t="shared" si="92"/>
        <v>0</v>
      </c>
      <c r="AM75" s="259">
        <v>0</v>
      </c>
      <c r="AN75" s="202">
        <f t="shared" si="93"/>
        <v>0</v>
      </c>
      <c r="AO75" s="259">
        <v>0</v>
      </c>
      <c r="AP75" s="202">
        <f t="shared" si="94"/>
        <v>0</v>
      </c>
      <c r="AQ75" s="259">
        <v>2</v>
      </c>
      <c r="AR75" s="202">
        <f t="shared" si="95"/>
        <v>60000</v>
      </c>
      <c r="AS75" s="259">
        <v>0</v>
      </c>
      <c r="AT75" s="202">
        <f t="shared" si="96"/>
        <v>0</v>
      </c>
      <c r="AU75" s="259">
        <v>2</v>
      </c>
      <c r="AV75" s="202">
        <f t="shared" si="97"/>
        <v>60000</v>
      </c>
      <c r="AW75" s="129">
        <v>0</v>
      </c>
      <c r="AX75" s="202">
        <f t="shared" si="98"/>
        <v>0</v>
      </c>
      <c r="AY75" s="260">
        <v>0</v>
      </c>
      <c r="AZ75" s="202">
        <f t="shared" si="99"/>
        <v>0</v>
      </c>
      <c r="BA75" s="259">
        <v>0</v>
      </c>
      <c r="BB75" s="202">
        <f t="shared" si="100"/>
        <v>0</v>
      </c>
      <c r="BC75" s="259">
        <v>0</v>
      </c>
      <c r="BD75" s="202">
        <f t="shared" si="101"/>
        <v>0</v>
      </c>
      <c r="BE75" s="259">
        <v>0</v>
      </c>
      <c r="BF75" s="202">
        <f t="shared" si="102"/>
        <v>0</v>
      </c>
      <c r="BG75" s="259">
        <v>0</v>
      </c>
      <c r="BH75" s="202">
        <f t="shared" si="103"/>
        <v>0</v>
      </c>
      <c r="BI75" s="259"/>
      <c r="BJ75" s="202">
        <f t="shared" si="104"/>
        <v>0</v>
      </c>
      <c r="BK75" s="202">
        <f t="shared" si="113"/>
        <v>5</v>
      </c>
      <c r="BL75" s="202">
        <f t="shared" si="114"/>
        <v>150000</v>
      </c>
      <c r="BM75" s="236" t="s">
        <v>222</v>
      </c>
      <c r="BN75" s="219"/>
      <c r="BO75" s="207"/>
      <c r="BP75" s="295"/>
      <c r="BQ75" s="254">
        <f t="shared" si="115"/>
        <v>150000</v>
      </c>
      <c r="BR75" s="295"/>
      <c r="BS75" s="163">
        <f t="shared" si="116"/>
        <v>150000</v>
      </c>
      <c r="BT75" s="295"/>
      <c r="BU75" s="295"/>
      <c r="BV75" s="163"/>
      <c r="BW75" s="203">
        <f t="shared" si="118"/>
        <v>150000</v>
      </c>
    </row>
    <row r="76" spans="1:75" s="265" customFormat="1" ht="20.25" customHeight="1">
      <c r="A76" s="204"/>
      <c r="B76" s="196"/>
      <c r="C76" s="272" t="s">
        <v>882</v>
      </c>
      <c r="D76" s="196" t="s">
        <v>300</v>
      </c>
      <c r="E76" s="258" t="s">
        <v>76</v>
      </c>
      <c r="F76" s="229">
        <v>50000</v>
      </c>
      <c r="G76" s="206">
        <f>BK76</f>
        <v>45</v>
      </c>
      <c r="H76" s="207">
        <f t="shared" si="106"/>
        <v>2250000</v>
      </c>
      <c r="I76" s="207">
        <f t="shared" si="107"/>
        <v>225000</v>
      </c>
      <c r="J76" s="207">
        <f t="shared" si="108"/>
        <v>1800000</v>
      </c>
      <c r="K76" s="207"/>
      <c r="L76" s="207"/>
      <c r="M76" s="207"/>
      <c r="N76" s="207"/>
      <c r="O76" s="207"/>
      <c r="P76" s="207"/>
      <c r="Q76" s="207">
        <f t="shared" si="117"/>
        <v>225000</v>
      </c>
      <c r="R76" s="207"/>
      <c r="S76" s="259"/>
      <c r="T76" s="259">
        <f>G76*0.5</f>
        <v>22.5</v>
      </c>
      <c r="U76" s="259"/>
      <c r="V76" s="259">
        <f>G76*0.5</f>
        <v>22.5</v>
      </c>
      <c r="W76" s="211">
        <f t="shared" si="109"/>
        <v>0</v>
      </c>
      <c r="X76" s="211">
        <f t="shared" si="110"/>
        <v>1125000</v>
      </c>
      <c r="Y76" s="211">
        <f t="shared" si="111"/>
        <v>0</v>
      </c>
      <c r="Z76" s="211">
        <f t="shared" si="112"/>
        <v>1125000</v>
      </c>
      <c r="AA76" s="296">
        <v>1</v>
      </c>
      <c r="AB76" s="202">
        <f t="shared" si="87"/>
        <v>50000</v>
      </c>
      <c r="AC76" s="259">
        <v>2</v>
      </c>
      <c r="AD76" s="202">
        <f t="shared" si="88"/>
        <v>100000</v>
      </c>
      <c r="AE76" s="259">
        <v>3</v>
      </c>
      <c r="AF76" s="202">
        <f t="shared" si="89"/>
        <v>150000</v>
      </c>
      <c r="AG76" s="259">
        <v>2</v>
      </c>
      <c r="AH76" s="202">
        <f t="shared" si="90"/>
        <v>100000</v>
      </c>
      <c r="AI76" s="259">
        <v>1</v>
      </c>
      <c r="AJ76" s="202">
        <f t="shared" si="91"/>
        <v>50000</v>
      </c>
      <c r="AK76" s="259">
        <v>2</v>
      </c>
      <c r="AL76" s="202">
        <f t="shared" si="92"/>
        <v>100000</v>
      </c>
      <c r="AM76" s="259">
        <v>5</v>
      </c>
      <c r="AN76" s="202">
        <f t="shared" si="93"/>
        <v>250000</v>
      </c>
      <c r="AO76" s="259">
        <v>3</v>
      </c>
      <c r="AP76" s="202">
        <f t="shared" si="94"/>
        <v>150000</v>
      </c>
      <c r="AQ76" s="259">
        <v>3</v>
      </c>
      <c r="AR76" s="202">
        <f t="shared" si="95"/>
        <v>150000</v>
      </c>
      <c r="AS76" s="259">
        <v>3</v>
      </c>
      <c r="AT76" s="202">
        <f t="shared" si="96"/>
        <v>150000</v>
      </c>
      <c r="AU76" s="259">
        <v>4</v>
      </c>
      <c r="AV76" s="202">
        <f t="shared" si="97"/>
        <v>200000</v>
      </c>
      <c r="AW76" s="129">
        <v>2</v>
      </c>
      <c r="AX76" s="202">
        <f t="shared" si="98"/>
        <v>100000</v>
      </c>
      <c r="AY76" s="518">
        <v>1</v>
      </c>
      <c r="AZ76" s="202">
        <f t="shared" si="99"/>
        <v>50000</v>
      </c>
      <c r="BA76" s="259">
        <v>3</v>
      </c>
      <c r="BB76" s="202">
        <f t="shared" si="100"/>
        <v>150000</v>
      </c>
      <c r="BC76" s="259">
        <v>3</v>
      </c>
      <c r="BD76" s="202">
        <f t="shared" si="101"/>
        <v>150000</v>
      </c>
      <c r="BE76" s="259">
        <v>5</v>
      </c>
      <c r="BF76" s="202">
        <f t="shared" si="102"/>
        <v>250000</v>
      </c>
      <c r="BG76" s="259">
        <v>2</v>
      </c>
      <c r="BH76" s="202">
        <f t="shared" si="103"/>
        <v>100000</v>
      </c>
      <c r="BI76" s="259"/>
      <c r="BJ76" s="202">
        <f t="shared" si="104"/>
        <v>0</v>
      </c>
      <c r="BK76" s="202">
        <f t="shared" si="113"/>
        <v>45</v>
      </c>
      <c r="BL76" s="202">
        <f t="shared" si="114"/>
        <v>2250000</v>
      </c>
      <c r="BM76" s="236" t="s">
        <v>222</v>
      </c>
      <c r="BN76" s="219"/>
      <c r="BO76" s="207"/>
      <c r="BP76" s="295"/>
      <c r="BQ76" s="254">
        <f t="shared" si="115"/>
        <v>2250000</v>
      </c>
      <c r="BR76" s="295"/>
      <c r="BS76" s="163">
        <f t="shared" si="116"/>
        <v>2250000</v>
      </c>
      <c r="BT76" s="295"/>
      <c r="BU76" s="295"/>
      <c r="BV76" s="163"/>
      <c r="BW76" s="203">
        <f t="shared" si="118"/>
        <v>2250000</v>
      </c>
    </row>
    <row r="77" spans="1:75" s="265" customFormat="1" ht="20.25" customHeight="1">
      <c r="A77" s="204"/>
      <c r="B77" s="196"/>
      <c r="C77" s="272" t="s">
        <v>883</v>
      </c>
      <c r="D77" s="196" t="s">
        <v>280</v>
      </c>
      <c r="E77" s="258" t="s">
        <v>76</v>
      </c>
      <c r="F77" s="551">
        <v>25000</v>
      </c>
      <c r="G77" s="206">
        <f>BK77</f>
        <v>51</v>
      </c>
      <c r="H77" s="207">
        <f t="shared" si="106"/>
        <v>1275000</v>
      </c>
      <c r="I77" s="207">
        <f t="shared" si="107"/>
        <v>127500</v>
      </c>
      <c r="J77" s="207">
        <f t="shared" si="108"/>
        <v>1020000</v>
      </c>
      <c r="K77" s="207"/>
      <c r="L77" s="207"/>
      <c r="M77" s="207"/>
      <c r="N77" s="207"/>
      <c r="O77" s="207"/>
      <c r="P77" s="207"/>
      <c r="Q77" s="207">
        <f t="shared" si="117"/>
        <v>127500</v>
      </c>
      <c r="R77" s="207"/>
      <c r="S77" s="259"/>
      <c r="T77" s="259"/>
      <c r="U77" s="259">
        <f>G77</f>
        <v>51</v>
      </c>
      <c r="V77" s="259"/>
      <c r="W77" s="211">
        <f t="shared" si="109"/>
        <v>0</v>
      </c>
      <c r="X77" s="211">
        <f t="shared" si="110"/>
        <v>0</v>
      </c>
      <c r="Y77" s="211">
        <f t="shared" si="111"/>
        <v>1275000</v>
      </c>
      <c r="Z77" s="211">
        <f t="shared" si="112"/>
        <v>0</v>
      </c>
      <c r="AA77" s="296">
        <v>2</v>
      </c>
      <c r="AB77" s="202">
        <f t="shared" si="87"/>
        <v>50000</v>
      </c>
      <c r="AC77" s="259">
        <v>2</v>
      </c>
      <c r="AD77" s="202">
        <f t="shared" si="88"/>
        <v>50000</v>
      </c>
      <c r="AE77" s="259">
        <v>3</v>
      </c>
      <c r="AF77" s="202">
        <f t="shared" si="89"/>
        <v>75000</v>
      </c>
      <c r="AG77" s="259">
        <v>3</v>
      </c>
      <c r="AH77" s="202">
        <f t="shared" si="90"/>
        <v>75000</v>
      </c>
      <c r="AI77" s="259">
        <v>1</v>
      </c>
      <c r="AJ77" s="202">
        <f t="shared" si="91"/>
        <v>25000</v>
      </c>
      <c r="AK77" s="516">
        <v>5</v>
      </c>
      <c r="AL77" s="511">
        <f t="shared" si="92"/>
        <v>125000</v>
      </c>
      <c r="AM77" s="259">
        <v>5</v>
      </c>
      <c r="AN77" s="202">
        <f t="shared" si="93"/>
        <v>125000</v>
      </c>
      <c r="AO77" s="259">
        <v>3</v>
      </c>
      <c r="AP77" s="202">
        <f t="shared" si="94"/>
        <v>75000</v>
      </c>
      <c r="AQ77" s="259">
        <v>2</v>
      </c>
      <c r="AR77" s="202">
        <f t="shared" si="95"/>
        <v>50000</v>
      </c>
      <c r="AS77" s="259">
        <v>2</v>
      </c>
      <c r="AT77" s="202">
        <f t="shared" si="96"/>
        <v>50000</v>
      </c>
      <c r="AU77" s="259">
        <v>5</v>
      </c>
      <c r="AV77" s="202">
        <f t="shared" si="97"/>
        <v>125000</v>
      </c>
      <c r="AW77" s="129">
        <v>1</v>
      </c>
      <c r="AX77" s="202">
        <f t="shared" si="98"/>
        <v>25000</v>
      </c>
      <c r="AY77" s="260">
        <v>0</v>
      </c>
      <c r="AZ77" s="202">
        <f t="shared" si="99"/>
        <v>0</v>
      </c>
      <c r="BA77" s="259">
        <v>4</v>
      </c>
      <c r="BB77" s="202">
        <f t="shared" si="100"/>
        <v>100000</v>
      </c>
      <c r="BC77" s="516">
        <v>6</v>
      </c>
      <c r="BD77" s="202">
        <f t="shared" si="101"/>
        <v>150000</v>
      </c>
      <c r="BE77" s="259">
        <v>5</v>
      </c>
      <c r="BF77" s="202">
        <f t="shared" si="102"/>
        <v>125000</v>
      </c>
      <c r="BG77" s="259">
        <v>2</v>
      </c>
      <c r="BH77" s="202">
        <f t="shared" si="103"/>
        <v>50000</v>
      </c>
      <c r="BI77" s="259"/>
      <c r="BJ77" s="202">
        <f t="shared" si="104"/>
        <v>0</v>
      </c>
      <c r="BK77" s="202">
        <f t="shared" si="113"/>
        <v>51</v>
      </c>
      <c r="BL77" s="202">
        <f t="shared" si="114"/>
        <v>1275000</v>
      </c>
      <c r="BM77" s="236" t="s">
        <v>222</v>
      </c>
      <c r="BN77" s="219"/>
      <c r="BO77" s="207"/>
      <c r="BP77" s="295"/>
      <c r="BQ77" s="254">
        <f t="shared" si="115"/>
        <v>1275000</v>
      </c>
      <c r="BR77" s="295"/>
      <c r="BS77" s="163">
        <f t="shared" si="116"/>
        <v>1275000</v>
      </c>
      <c r="BT77" s="295"/>
      <c r="BU77" s="295"/>
      <c r="BV77" s="163"/>
      <c r="BW77" s="203">
        <f t="shared" si="118"/>
        <v>1275000</v>
      </c>
    </row>
    <row r="78" spans="1:75" s="265" customFormat="1" ht="19.5" customHeight="1">
      <c r="A78" s="204"/>
      <c r="B78" s="196"/>
      <c r="C78" s="272" t="s">
        <v>884</v>
      </c>
      <c r="D78" s="196" t="s">
        <v>281</v>
      </c>
      <c r="E78" s="258" t="s">
        <v>76</v>
      </c>
      <c r="F78" s="551">
        <v>30000</v>
      </c>
      <c r="G78" s="206">
        <f t="shared" si="105"/>
        <v>76</v>
      </c>
      <c r="H78" s="207">
        <f t="shared" si="106"/>
        <v>2280000</v>
      </c>
      <c r="I78" s="207">
        <f t="shared" si="107"/>
        <v>228000</v>
      </c>
      <c r="J78" s="207">
        <f t="shared" si="108"/>
        <v>1824000</v>
      </c>
      <c r="K78" s="207"/>
      <c r="L78" s="207"/>
      <c r="M78" s="207"/>
      <c r="N78" s="207"/>
      <c r="O78" s="207"/>
      <c r="P78" s="207"/>
      <c r="Q78" s="207">
        <f t="shared" si="117"/>
        <v>228000</v>
      </c>
      <c r="R78" s="207"/>
      <c r="S78" s="259"/>
      <c r="T78" s="259"/>
      <c r="U78" s="259">
        <f>G78</f>
        <v>76</v>
      </c>
      <c r="V78" s="259"/>
      <c r="W78" s="211">
        <f t="shared" si="109"/>
        <v>0</v>
      </c>
      <c r="X78" s="211">
        <f t="shared" si="110"/>
        <v>0</v>
      </c>
      <c r="Y78" s="211">
        <f t="shared" si="111"/>
        <v>2280000</v>
      </c>
      <c r="Z78" s="211">
        <f t="shared" si="112"/>
        <v>0</v>
      </c>
      <c r="AA78" s="296">
        <v>2</v>
      </c>
      <c r="AB78" s="202">
        <f t="shared" si="87"/>
        <v>60000</v>
      </c>
      <c r="AC78" s="259">
        <v>4</v>
      </c>
      <c r="AD78" s="202">
        <f t="shared" si="88"/>
        <v>120000</v>
      </c>
      <c r="AE78" s="259">
        <v>8</v>
      </c>
      <c r="AF78" s="202">
        <f t="shared" si="89"/>
        <v>240000</v>
      </c>
      <c r="AG78" s="259">
        <v>5</v>
      </c>
      <c r="AH78" s="202">
        <f t="shared" si="90"/>
        <v>150000</v>
      </c>
      <c r="AI78" s="259">
        <v>1</v>
      </c>
      <c r="AJ78" s="202">
        <f t="shared" si="91"/>
        <v>30000</v>
      </c>
      <c r="AK78" s="259">
        <v>4</v>
      </c>
      <c r="AL78" s="202">
        <f t="shared" si="92"/>
        <v>120000</v>
      </c>
      <c r="AM78" s="259">
        <v>10</v>
      </c>
      <c r="AN78" s="202">
        <f t="shared" si="93"/>
        <v>300000</v>
      </c>
      <c r="AO78" s="259">
        <v>5</v>
      </c>
      <c r="AP78" s="202">
        <f t="shared" si="94"/>
        <v>150000</v>
      </c>
      <c r="AQ78" s="259">
        <v>5</v>
      </c>
      <c r="AR78" s="202">
        <f t="shared" si="95"/>
        <v>150000</v>
      </c>
      <c r="AS78" s="259">
        <v>0</v>
      </c>
      <c r="AT78" s="202">
        <f t="shared" si="96"/>
        <v>0</v>
      </c>
      <c r="AU78" s="259">
        <v>8</v>
      </c>
      <c r="AV78" s="202">
        <f t="shared" si="97"/>
        <v>240000</v>
      </c>
      <c r="AW78" s="129">
        <v>2</v>
      </c>
      <c r="AX78" s="202">
        <f t="shared" si="98"/>
        <v>60000</v>
      </c>
      <c r="AY78" s="260">
        <v>0</v>
      </c>
      <c r="AZ78" s="202">
        <f t="shared" si="99"/>
        <v>0</v>
      </c>
      <c r="BA78" s="259">
        <v>7</v>
      </c>
      <c r="BB78" s="202">
        <f t="shared" si="100"/>
        <v>210000</v>
      </c>
      <c r="BC78" s="516">
        <v>8</v>
      </c>
      <c r="BD78" s="202">
        <f t="shared" si="101"/>
        <v>240000</v>
      </c>
      <c r="BE78" s="259">
        <v>5</v>
      </c>
      <c r="BF78" s="202">
        <f t="shared" si="102"/>
        <v>150000</v>
      </c>
      <c r="BG78" s="259">
        <v>2</v>
      </c>
      <c r="BH78" s="202">
        <f t="shared" si="103"/>
        <v>60000</v>
      </c>
      <c r="BI78" s="259"/>
      <c r="BJ78" s="202">
        <f t="shared" si="104"/>
        <v>0</v>
      </c>
      <c r="BK78" s="202">
        <f t="shared" si="113"/>
        <v>76</v>
      </c>
      <c r="BL78" s="202">
        <f t="shared" si="114"/>
        <v>2280000</v>
      </c>
      <c r="BM78" s="236" t="s">
        <v>222</v>
      </c>
      <c r="BN78" s="219"/>
      <c r="BO78" s="207"/>
      <c r="BP78" s="295"/>
      <c r="BQ78" s="254">
        <f t="shared" si="115"/>
        <v>2280000</v>
      </c>
      <c r="BR78" s="295"/>
      <c r="BS78" s="163">
        <f t="shared" si="116"/>
        <v>2280000</v>
      </c>
      <c r="BT78" s="295"/>
      <c r="BU78" s="295"/>
      <c r="BV78" s="163"/>
      <c r="BW78" s="203">
        <f t="shared" si="118"/>
        <v>2280000</v>
      </c>
    </row>
    <row r="79" spans="1:75" s="265" customFormat="1" ht="20.25" customHeight="1">
      <c r="A79" s="204"/>
      <c r="B79" s="196"/>
      <c r="C79" s="272" t="s">
        <v>885</v>
      </c>
      <c r="D79" s="196" t="s">
        <v>282</v>
      </c>
      <c r="E79" s="258" t="s">
        <v>76</v>
      </c>
      <c r="F79" s="229">
        <v>50000</v>
      </c>
      <c r="G79" s="206">
        <f t="shared" si="105"/>
        <v>54</v>
      </c>
      <c r="H79" s="207">
        <f t="shared" si="106"/>
        <v>2700000</v>
      </c>
      <c r="I79" s="207">
        <f t="shared" si="107"/>
        <v>270000</v>
      </c>
      <c r="J79" s="207">
        <f t="shared" si="108"/>
        <v>2160000</v>
      </c>
      <c r="K79" s="207"/>
      <c r="L79" s="207"/>
      <c r="M79" s="207"/>
      <c r="N79" s="207"/>
      <c r="O79" s="207"/>
      <c r="P79" s="207"/>
      <c r="Q79" s="207">
        <f t="shared" si="117"/>
        <v>270000</v>
      </c>
      <c r="R79" s="207"/>
      <c r="S79" s="259"/>
      <c r="T79" s="259">
        <f>G79*0.8</f>
        <v>43.2</v>
      </c>
      <c r="U79" s="259">
        <f>G79*0.2</f>
        <v>10.8</v>
      </c>
      <c r="V79" s="259"/>
      <c r="W79" s="211">
        <f t="shared" si="109"/>
        <v>0</v>
      </c>
      <c r="X79" s="211">
        <f t="shared" si="110"/>
        <v>2160000</v>
      </c>
      <c r="Y79" s="211">
        <f t="shared" si="111"/>
        <v>540000</v>
      </c>
      <c r="Z79" s="211">
        <f t="shared" si="112"/>
        <v>0</v>
      </c>
      <c r="AA79" s="296">
        <v>1</v>
      </c>
      <c r="AB79" s="202">
        <f t="shared" si="87"/>
        <v>50000</v>
      </c>
      <c r="AC79" s="259"/>
      <c r="AD79" s="202">
        <f t="shared" si="88"/>
        <v>0</v>
      </c>
      <c r="AE79" s="259">
        <v>2</v>
      </c>
      <c r="AF79" s="202">
        <f t="shared" si="89"/>
        <v>100000</v>
      </c>
      <c r="AG79" s="259">
        <v>2</v>
      </c>
      <c r="AH79" s="202">
        <f t="shared" si="90"/>
        <v>100000</v>
      </c>
      <c r="AI79" s="259">
        <v>1</v>
      </c>
      <c r="AJ79" s="202">
        <f t="shared" si="91"/>
        <v>50000</v>
      </c>
      <c r="AK79" s="259">
        <v>0</v>
      </c>
      <c r="AL79" s="202">
        <f t="shared" si="92"/>
        <v>0</v>
      </c>
      <c r="AM79" s="259">
        <v>10</v>
      </c>
      <c r="AN79" s="202">
        <f t="shared" si="93"/>
        <v>500000</v>
      </c>
      <c r="AO79" s="516">
        <v>8</v>
      </c>
      <c r="AP79" s="511">
        <f t="shared" si="94"/>
        <v>400000</v>
      </c>
      <c r="AQ79" s="259">
        <v>2</v>
      </c>
      <c r="AR79" s="202">
        <f t="shared" si="95"/>
        <v>100000</v>
      </c>
      <c r="AS79" s="259">
        <v>5</v>
      </c>
      <c r="AT79" s="202">
        <f t="shared" si="96"/>
        <v>250000</v>
      </c>
      <c r="AU79" s="516">
        <v>3</v>
      </c>
      <c r="AV79" s="202">
        <f t="shared" si="97"/>
        <v>150000</v>
      </c>
      <c r="AW79" s="129">
        <v>5</v>
      </c>
      <c r="AX79" s="202">
        <f t="shared" si="98"/>
        <v>250000</v>
      </c>
      <c r="AY79" s="260">
        <v>0</v>
      </c>
      <c r="AZ79" s="202">
        <f t="shared" si="99"/>
        <v>0</v>
      </c>
      <c r="BA79" s="259">
        <v>1</v>
      </c>
      <c r="BB79" s="202">
        <f t="shared" si="100"/>
        <v>50000</v>
      </c>
      <c r="BC79" s="259">
        <v>3</v>
      </c>
      <c r="BD79" s="202">
        <f t="shared" si="101"/>
        <v>150000</v>
      </c>
      <c r="BE79" s="259">
        <v>10</v>
      </c>
      <c r="BF79" s="202">
        <f t="shared" si="102"/>
        <v>500000</v>
      </c>
      <c r="BG79" s="259">
        <v>1</v>
      </c>
      <c r="BH79" s="202">
        <f t="shared" si="103"/>
        <v>50000</v>
      </c>
      <c r="BI79" s="259"/>
      <c r="BJ79" s="202">
        <f t="shared" si="104"/>
        <v>0</v>
      </c>
      <c r="BK79" s="202">
        <f t="shared" si="113"/>
        <v>54</v>
      </c>
      <c r="BL79" s="202">
        <f t="shared" si="114"/>
        <v>2700000</v>
      </c>
      <c r="BM79" s="236" t="s">
        <v>222</v>
      </c>
      <c r="BN79" s="219"/>
      <c r="BO79" s="207"/>
      <c r="BP79" s="295"/>
      <c r="BQ79" s="254">
        <f t="shared" si="115"/>
        <v>2700000</v>
      </c>
      <c r="BR79" s="295"/>
      <c r="BS79" s="163">
        <f t="shared" si="116"/>
        <v>2700000</v>
      </c>
      <c r="BT79" s="295"/>
      <c r="BU79" s="295"/>
      <c r="BV79" s="163"/>
      <c r="BW79" s="203">
        <f t="shared" si="118"/>
        <v>2700000</v>
      </c>
    </row>
    <row r="80" spans="1:75" s="265" customFormat="1" ht="20.25" customHeight="1">
      <c r="A80" s="204"/>
      <c r="B80" s="196"/>
      <c r="C80" s="272" t="s">
        <v>886</v>
      </c>
      <c r="D80" s="196" t="s">
        <v>313</v>
      </c>
      <c r="E80" s="258" t="s">
        <v>76</v>
      </c>
      <c r="F80" s="551">
        <v>30000</v>
      </c>
      <c r="G80" s="206">
        <f t="shared" si="105"/>
        <v>52.5</v>
      </c>
      <c r="H80" s="207">
        <f t="shared" si="106"/>
        <v>1575000</v>
      </c>
      <c r="I80" s="207">
        <f t="shared" si="107"/>
        <v>157500</v>
      </c>
      <c r="J80" s="207">
        <f t="shared" si="108"/>
        <v>1260000</v>
      </c>
      <c r="K80" s="207"/>
      <c r="L80" s="207"/>
      <c r="M80" s="207"/>
      <c r="N80" s="207"/>
      <c r="O80" s="207"/>
      <c r="P80" s="207"/>
      <c r="Q80" s="207">
        <f t="shared" si="117"/>
        <v>157500</v>
      </c>
      <c r="R80" s="207"/>
      <c r="S80" s="259"/>
      <c r="T80" s="259"/>
      <c r="U80" s="259">
        <v>50</v>
      </c>
      <c r="V80" s="259">
        <v>14</v>
      </c>
      <c r="W80" s="211">
        <f>S80*F80</f>
        <v>0</v>
      </c>
      <c r="X80" s="211">
        <f>T80*F80</f>
        <v>0</v>
      </c>
      <c r="Y80" s="211">
        <f>U80*F80</f>
        <v>1500000</v>
      </c>
      <c r="Z80" s="211">
        <f>V80*F80</f>
        <v>420000</v>
      </c>
      <c r="AA80" s="296">
        <v>0</v>
      </c>
      <c r="AB80" s="202">
        <f t="shared" si="87"/>
        <v>0</v>
      </c>
      <c r="AC80" s="516">
        <f>5+4</f>
        <v>9</v>
      </c>
      <c r="AD80" s="202">
        <f t="shared" si="88"/>
        <v>270000</v>
      </c>
      <c r="AE80" s="259">
        <v>8</v>
      </c>
      <c r="AF80" s="202">
        <f t="shared" si="89"/>
        <v>240000</v>
      </c>
      <c r="AG80" s="259">
        <v>2</v>
      </c>
      <c r="AH80" s="202">
        <f t="shared" si="90"/>
        <v>60000</v>
      </c>
      <c r="AI80" s="259">
        <v>0</v>
      </c>
      <c r="AJ80" s="202">
        <f t="shared" si="91"/>
        <v>0</v>
      </c>
      <c r="AK80" s="259">
        <v>2</v>
      </c>
      <c r="AL80" s="202">
        <f t="shared" si="92"/>
        <v>60000</v>
      </c>
      <c r="AM80" s="259">
        <v>10</v>
      </c>
      <c r="AN80" s="202">
        <f t="shared" si="93"/>
        <v>300000</v>
      </c>
      <c r="AO80" s="259">
        <v>2</v>
      </c>
      <c r="AP80" s="202">
        <f t="shared" si="94"/>
        <v>60000</v>
      </c>
      <c r="AQ80" s="259">
        <v>2</v>
      </c>
      <c r="AR80" s="202">
        <f t="shared" si="95"/>
        <v>60000</v>
      </c>
      <c r="AS80" s="259">
        <v>6</v>
      </c>
      <c r="AT80" s="202">
        <f t="shared" si="96"/>
        <v>180000</v>
      </c>
      <c r="AU80" s="516">
        <v>4</v>
      </c>
      <c r="AV80" s="202">
        <f t="shared" si="97"/>
        <v>120000</v>
      </c>
      <c r="AW80" s="129">
        <v>0</v>
      </c>
      <c r="AX80" s="202">
        <f t="shared" si="98"/>
        <v>0</v>
      </c>
      <c r="AY80" s="260">
        <v>0</v>
      </c>
      <c r="AZ80" s="202">
        <f t="shared" si="99"/>
        <v>0</v>
      </c>
      <c r="BA80" s="259">
        <v>1</v>
      </c>
      <c r="BB80" s="202">
        <f t="shared" si="100"/>
        <v>30000</v>
      </c>
      <c r="BC80" s="553">
        <v>2.5</v>
      </c>
      <c r="BD80" s="202">
        <f t="shared" si="101"/>
        <v>75000</v>
      </c>
      <c r="BE80" s="259">
        <v>2</v>
      </c>
      <c r="BF80" s="202">
        <f t="shared" si="102"/>
        <v>60000</v>
      </c>
      <c r="BG80" s="259">
        <v>2</v>
      </c>
      <c r="BH80" s="202">
        <f t="shared" si="103"/>
        <v>60000</v>
      </c>
      <c r="BI80" s="259"/>
      <c r="BJ80" s="202">
        <f t="shared" si="104"/>
        <v>0</v>
      </c>
      <c r="BK80" s="202">
        <f t="shared" si="113"/>
        <v>52.5</v>
      </c>
      <c r="BL80" s="202">
        <f t="shared" si="114"/>
        <v>1575000</v>
      </c>
      <c r="BM80" s="236" t="s">
        <v>222</v>
      </c>
      <c r="BN80" s="219"/>
      <c r="BO80" s="207"/>
      <c r="BP80" s="295"/>
      <c r="BQ80" s="254">
        <f t="shared" si="115"/>
        <v>1575000</v>
      </c>
      <c r="BR80" s="295"/>
      <c r="BS80" s="163">
        <f t="shared" si="116"/>
        <v>1575000</v>
      </c>
      <c r="BT80" s="295"/>
      <c r="BU80" s="295"/>
      <c r="BV80" s="163"/>
      <c r="BW80" s="203">
        <f t="shared" si="118"/>
        <v>1575000</v>
      </c>
    </row>
    <row r="81" spans="1:75" s="265" customFormat="1" ht="20.25" customHeight="1">
      <c r="A81" s="204"/>
      <c r="B81" s="196"/>
      <c r="C81" s="272" t="s">
        <v>887</v>
      </c>
      <c r="D81" s="196" t="s">
        <v>515</v>
      </c>
      <c r="E81" s="258" t="s">
        <v>76</v>
      </c>
      <c r="F81" s="229">
        <v>37500</v>
      </c>
      <c r="G81" s="206">
        <f t="shared" si="105"/>
        <v>68</v>
      </c>
      <c r="H81" s="207">
        <f t="shared" si="106"/>
        <v>2550000</v>
      </c>
      <c r="I81" s="207">
        <f t="shared" si="107"/>
        <v>255000</v>
      </c>
      <c r="J81" s="207">
        <f t="shared" si="108"/>
        <v>2040000</v>
      </c>
      <c r="K81" s="207"/>
      <c r="L81" s="207"/>
      <c r="M81" s="207"/>
      <c r="N81" s="207"/>
      <c r="O81" s="207"/>
      <c r="P81" s="207"/>
      <c r="Q81" s="207">
        <f t="shared" si="117"/>
        <v>255000</v>
      </c>
      <c r="R81" s="207"/>
      <c r="S81" s="259"/>
      <c r="T81" s="259"/>
      <c r="U81" s="259">
        <v>10</v>
      </c>
      <c r="V81" s="259">
        <v>4</v>
      </c>
      <c r="W81" s="211">
        <f>S81*F81</f>
        <v>0</v>
      </c>
      <c r="X81" s="211">
        <f>T81*F81</f>
        <v>0</v>
      </c>
      <c r="Y81" s="211">
        <f>U81*F81</f>
        <v>375000</v>
      </c>
      <c r="Z81" s="211">
        <f>V81*F81</f>
        <v>150000</v>
      </c>
      <c r="AA81" s="296">
        <v>0</v>
      </c>
      <c r="AB81" s="202">
        <f t="shared" si="87"/>
        <v>0</v>
      </c>
      <c r="AC81" s="259">
        <v>5</v>
      </c>
      <c r="AD81" s="202">
        <f t="shared" si="88"/>
        <v>187500</v>
      </c>
      <c r="AE81" s="259"/>
      <c r="AF81" s="202">
        <f t="shared" si="89"/>
        <v>0</v>
      </c>
      <c r="AG81" s="259">
        <v>10</v>
      </c>
      <c r="AH81" s="202">
        <f t="shared" si="90"/>
        <v>375000</v>
      </c>
      <c r="AI81" s="259">
        <v>0</v>
      </c>
      <c r="AJ81" s="202">
        <f t="shared" si="91"/>
        <v>0</v>
      </c>
      <c r="AK81" s="259">
        <v>0</v>
      </c>
      <c r="AL81" s="202">
        <f t="shared" si="92"/>
        <v>0</v>
      </c>
      <c r="AM81" s="259">
        <v>5</v>
      </c>
      <c r="AN81" s="202">
        <f t="shared" si="93"/>
        <v>187500</v>
      </c>
      <c r="AO81" s="259">
        <v>10</v>
      </c>
      <c r="AP81" s="202">
        <f t="shared" si="94"/>
        <v>375000</v>
      </c>
      <c r="AQ81" s="259">
        <v>0</v>
      </c>
      <c r="AR81" s="202">
        <f t="shared" si="95"/>
        <v>0</v>
      </c>
      <c r="AS81" s="516">
        <v>2</v>
      </c>
      <c r="AT81" s="202">
        <f t="shared" si="96"/>
        <v>75000</v>
      </c>
      <c r="AU81" s="259">
        <v>30</v>
      </c>
      <c r="AV81" s="202">
        <f t="shared" si="97"/>
        <v>1125000</v>
      </c>
      <c r="AW81" s="129">
        <v>3</v>
      </c>
      <c r="AX81" s="202">
        <f t="shared" si="98"/>
        <v>112500</v>
      </c>
      <c r="AY81" s="518">
        <v>1</v>
      </c>
      <c r="AZ81" s="202">
        <f t="shared" si="99"/>
        <v>37500</v>
      </c>
      <c r="BA81" s="259">
        <v>0</v>
      </c>
      <c r="BB81" s="202">
        <f t="shared" si="100"/>
        <v>0</v>
      </c>
      <c r="BC81" s="259"/>
      <c r="BD81" s="202">
        <f t="shared" si="101"/>
        <v>0</v>
      </c>
      <c r="BE81" s="259">
        <v>2</v>
      </c>
      <c r="BF81" s="202">
        <f t="shared" si="102"/>
        <v>75000</v>
      </c>
      <c r="BG81" s="259">
        <v>0</v>
      </c>
      <c r="BH81" s="202">
        <f t="shared" si="103"/>
        <v>0</v>
      </c>
      <c r="BI81" s="259"/>
      <c r="BJ81" s="202">
        <f t="shared" si="104"/>
        <v>0</v>
      </c>
      <c r="BK81" s="202">
        <f t="shared" si="113"/>
        <v>68</v>
      </c>
      <c r="BL81" s="202">
        <f t="shared" si="114"/>
        <v>2550000</v>
      </c>
      <c r="BM81" s="236" t="s">
        <v>222</v>
      </c>
      <c r="BN81" s="219"/>
      <c r="BO81" s="207"/>
      <c r="BP81" s="295"/>
      <c r="BQ81" s="254">
        <f t="shared" si="115"/>
        <v>2550000</v>
      </c>
      <c r="BR81" s="295"/>
      <c r="BS81" s="163">
        <f t="shared" si="116"/>
        <v>2550000</v>
      </c>
      <c r="BT81" s="295"/>
      <c r="BU81" s="295"/>
      <c r="BV81" s="163"/>
      <c r="BW81" s="203">
        <f t="shared" si="118"/>
        <v>2550000</v>
      </c>
    </row>
    <row r="82" spans="1:75" s="265" customFormat="1" ht="20.25" customHeight="1">
      <c r="A82" s="204"/>
      <c r="B82" s="196"/>
      <c r="C82" s="272" t="s">
        <v>888</v>
      </c>
      <c r="D82" s="196" t="s">
        <v>588</v>
      </c>
      <c r="E82" s="258" t="s">
        <v>76</v>
      </c>
      <c r="F82" s="229">
        <v>50000</v>
      </c>
      <c r="G82" s="206">
        <f>BK82</f>
        <v>46</v>
      </c>
      <c r="H82" s="207">
        <f>BL82</f>
        <v>2190000</v>
      </c>
      <c r="I82" s="207">
        <f t="shared" si="107"/>
        <v>219000</v>
      </c>
      <c r="J82" s="207">
        <f t="shared" si="108"/>
        <v>1752000</v>
      </c>
      <c r="K82" s="207"/>
      <c r="L82" s="207"/>
      <c r="M82" s="207"/>
      <c r="N82" s="207"/>
      <c r="O82" s="207"/>
      <c r="P82" s="207"/>
      <c r="Q82" s="207">
        <f t="shared" si="117"/>
        <v>219000</v>
      </c>
      <c r="R82" s="207"/>
      <c r="S82" s="259"/>
      <c r="T82" s="259">
        <f>G82*0.6</f>
        <v>27.599999999999998</v>
      </c>
      <c r="U82" s="259">
        <f>G82*0.4</f>
        <v>18.400000000000002</v>
      </c>
      <c r="V82" s="259"/>
      <c r="W82" s="211">
        <f>S82*F82</f>
        <v>0</v>
      </c>
      <c r="X82" s="211">
        <f>T82*F82</f>
        <v>1380000</v>
      </c>
      <c r="Y82" s="211">
        <f>U82*F82</f>
        <v>920000.00000000012</v>
      </c>
      <c r="Z82" s="211">
        <f>V82*F82</f>
        <v>0</v>
      </c>
      <c r="AA82" s="296">
        <v>3</v>
      </c>
      <c r="AB82" s="202">
        <f t="shared" si="87"/>
        <v>150000</v>
      </c>
      <c r="AC82" s="516">
        <v>4</v>
      </c>
      <c r="AD82" s="202">
        <v>45000</v>
      </c>
      <c r="AE82" s="516">
        <v>0</v>
      </c>
      <c r="AF82" s="202">
        <f t="shared" si="89"/>
        <v>0</v>
      </c>
      <c r="AG82" s="259">
        <v>3</v>
      </c>
      <c r="AH82" s="202">
        <f t="shared" si="90"/>
        <v>150000</v>
      </c>
      <c r="AI82" s="259">
        <v>3</v>
      </c>
      <c r="AJ82" s="202">
        <f t="shared" si="91"/>
        <v>150000</v>
      </c>
      <c r="AK82" s="259">
        <v>3</v>
      </c>
      <c r="AL82" s="202">
        <f t="shared" si="92"/>
        <v>150000</v>
      </c>
      <c r="AM82" s="259">
        <v>4</v>
      </c>
      <c r="AN82" s="202">
        <f t="shared" si="93"/>
        <v>200000</v>
      </c>
      <c r="AO82" s="259">
        <v>3</v>
      </c>
      <c r="AP82" s="202">
        <f t="shared" si="94"/>
        <v>150000</v>
      </c>
      <c r="AQ82" s="259">
        <v>3</v>
      </c>
      <c r="AR82" s="202">
        <f t="shared" si="95"/>
        <v>150000</v>
      </c>
      <c r="AS82" s="259">
        <v>3</v>
      </c>
      <c r="AT82" s="202">
        <f>(AS82*F82)+45000</f>
        <v>195000</v>
      </c>
      <c r="AU82" s="259">
        <v>2</v>
      </c>
      <c r="AV82" s="202">
        <f t="shared" si="97"/>
        <v>100000</v>
      </c>
      <c r="AW82" s="129">
        <v>3</v>
      </c>
      <c r="AX82" s="202">
        <f t="shared" si="98"/>
        <v>150000</v>
      </c>
      <c r="AY82" s="518">
        <v>0</v>
      </c>
      <c r="AZ82" s="202">
        <f t="shared" si="99"/>
        <v>0</v>
      </c>
      <c r="BA82" s="259">
        <v>3</v>
      </c>
      <c r="BB82" s="202">
        <f t="shared" si="100"/>
        <v>150000</v>
      </c>
      <c r="BC82" s="259">
        <v>3</v>
      </c>
      <c r="BD82" s="202">
        <f t="shared" si="101"/>
        <v>150000</v>
      </c>
      <c r="BE82" s="259">
        <v>3</v>
      </c>
      <c r="BF82" s="202">
        <f t="shared" si="102"/>
        <v>150000</v>
      </c>
      <c r="BG82" s="259">
        <v>3</v>
      </c>
      <c r="BH82" s="202">
        <f t="shared" si="103"/>
        <v>150000</v>
      </c>
      <c r="BI82" s="259"/>
      <c r="BJ82" s="202">
        <f t="shared" si="104"/>
        <v>0</v>
      </c>
      <c r="BK82" s="202">
        <f t="shared" si="113"/>
        <v>46</v>
      </c>
      <c r="BL82" s="202">
        <f t="shared" si="114"/>
        <v>2190000</v>
      </c>
      <c r="BM82" s="236" t="s">
        <v>222</v>
      </c>
      <c r="BN82" s="219"/>
      <c r="BO82" s="207"/>
      <c r="BP82" s="295"/>
      <c r="BQ82" s="254">
        <f>H82</f>
        <v>2190000</v>
      </c>
      <c r="BR82" s="295"/>
      <c r="BS82" s="163">
        <f t="shared" ref="BS82:BS90" si="119">BO82+BP82+BQ82+BR82</f>
        <v>2190000</v>
      </c>
      <c r="BT82" s="295"/>
      <c r="BU82" s="295"/>
      <c r="BV82" s="163"/>
      <c r="BW82" s="203">
        <f t="shared" ref="BW82:BW90" si="120">BS82+BV82</f>
        <v>2190000</v>
      </c>
    </row>
    <row r="83" spans="1:75" s="265" customFormat="1" ht="20.25" customHeight="1">
      <c r="A83" s="223"/>
      <c r="B83" s="228"/>
      <c r="C83" s="190"/>
      <c r="D83" s="230" t="s">
        <v>3</v>
      </c>
      <c r="E83" s="232"/>
      <c r="F83" s="231"/>
      <c r="G83" s="194">
        <f t="shared" ref="G83:AL83" si="121">SUM(G67:G82)</f>
        <v>760.7</v>
      </c>
      <c r="H83" s="194">
        <f t="shared" si="121"/>
        <v>23264000</v>
      </c>
      <c r="I83" s="194">
        <f t="shared" si="121"/>
        <v>2326400</v>
      </c>
      <c r="J83" s="194">
        <f t="shared" si="121"/>
        <v>18611200</v>
      </c>
      <c r="K83" s="194">
        <f t="shared" si="121"/>
        <v>0</v>
      </c>
      <c r="L83" s="194">
        <f t="shared" si="121"/>
        <v>0</v>
      </c>
      <c r="M83" s="194">
        <f t="shared" si="121"/>
        <v>0</v>
      </c>
      <c r="N83" s="194">
        <f t="shared" si="121"/>
        <v>0</v>
      </c>
      <c r="O83" s="194">
        <f t="shared" si="121"/>
        <v>0</v>
      </c>
      <c r="P83" s="194">
        <f t="shared" si="121"/>
        <v>0</v>
      </c>
      <c r="Q83" s="194">
        <f t="shared" si="121"/>
        <v>2326400</v>
      </c>
      <c r="R83" s="194">
        <f t="shared" si="121"/>
        <v>0</v>
      </c>
      <c r="S83" s="194">
        <f t="shared" si="121"/>
        <v>20.144999999999996</v>
      </c>
      <c r="T83" s="194">
        <f t="shared" si="121"/>
        <v>212.50999999999996</v>
      </c>
      <c r="U83" s="194">
        <f t="shared" si="121"/>
        <v>427.34499999999997</v>
      </c>
      <c r="V83" s="194">
        <f t="shared" si="121"/>
        <v>58.2</v>
      </c>
      <c r="W83" s="194">
        <f t="shared" si="121"/>
        <v>519900</v>
      </c>
      <c r="X83" s="194">
        <f t="shared" si="121"/>
        <v>7112200</v>
      </c>
      <c r="Y83" s="194">
        <f>SUM(Y67:Y82)+900000</f>
        <v>12827900</v>
      </c>
      <c r="Z83" s="194">
        <f t="shared" si="121"/>
        <v>2049000</v>
      </c>
      <c r="AA83" s="194">
        <f t="shared" si="121"/>
        <v>22.5</v>
      </c>
      <c r="AB83" s="194">
        <f t="shared" si="121"/>
        <v>630000</v>
      </c>
      <c r="AC83" s="194">
        <f t="shared" si="121"/>
        <v>47</v>
      </c>
      <c r="AD83" s="194">
        <f t="shared" si="121"/>
        <v>1307500</v>
      </c>
      <c r="AE83" s="194">
        <f t="shared" si="121"/>
        <v>48</v>
      </c>
      <c r="AF83" s="194">
        <f t="shared" si="121"/>
        <v>1295000</v>
      </c>
      <c r="AG83" s="194">
        <f t="shared" si="121"/>
        <v>40</v>
      </c>
      <c r="AH83" s="194">
        <f t="shared" si="121"/>
        <v>1270000</v>
      </c>
      <c r="AI83" s="194">
        <f t="shared" si="121"/>
        <v>11</v>
      </c>
      <c r="AJ83" s="194">
        <f t="shared" si="121"/>
        <v>385000</v>
      </c>
      <c r="AK83" s="194">
        <f t="shared" si="121"/>
        <v>30</v>
      </c>
      <c r="AL83" s="194">
        <f t="shared" si="121"/>
        <v>835000</v>
      </c>
      <c r="AM83" s="194">
        <f t="shared" ref="AM83:BL83" si="122">SUM(AM67:AM82)</f>
        <v>91</v>
      </c>
      <c r="AN83" s="194">
        <f t="shared" si="122"/>
        <v>3127500</v>
      </c>
      <c r="AO83" s="194">
        <f t="shared" si="122"/>
        <v>53</v>
      </c>
      <c r="AP83" s="194">
        <f t="shared" si="122"/>
        <v>1740000</v>
      </c>
      <c r="AQ83" s="194">
        <f t="shared" si="122"/>
        <v>42</v>
      </c>
      <c r="AR83" s="194">
        <f t="shared" si="122"/>
        <v>1130000</v>
      </c>
      <c r="AS83" s="194">
        <f t="shared" si="122"/>
        <v>44</v>
      </c>
      <c r="AT83" s="194">
        <f t="shared" si="122"/>
        <v>1645000</v>
      </c>
      <c r="AU83" s="194">
        <f t="shared" si="122"/>
        <v>92.7</v>
      </c>
      <c r="AV83" s="194">
        <f t="shared" si="122"/>
        <v>2814000</v>
      </c>
      <c r="AW83" s="194">
        <f t="shared" si="122"/>
        <v>21</v>
      </c>
      <c r="AX83" s="194">
        <f t="shared" si="122"/>
        <v>797500</v>
      </c>
      <c r="AY83" s="194">
        <f t="shared" si="122"/>
        <v>4</v>
      </c>
      <c r="AZ83" s="194">
        <f t="shared" si="122"/>
        <v>127500</v>
      </c>
      <c r="BA83" s="194">
        <f t="shared" si="122"/>
        <v>33</v>
      </c>
      <c r="BB83" s="194">
        <f t="shared" si="122"/>
        <v>1012500</v>
      </c>
      <c r="BC83" s="194">
        <f t="shared" si="122"/>
        <v>80.5</v>
      </c>
      <c r="BD83" s="194">
        <f t="shared" si="122"/>
        <v>2015000</v>
      </c>
      <c r="BE83" s="194">
        <f t="shared" si="122"/>
        <v>83</v>
      </c>
      <c r="BF83" s="194">
        <f t="shared" si="122"/>
        <v>2542500</v>
      </c>
      <c r="BG83" s="194">
        <f t="shared" si="122"/>
        <v>18</v>
      </c>
      <c r="BH83" s="194">
        <f t="shared" si="122"/>
        <v>590000</v>
      </c>
      <c r="BI83" s="194">
        <f t="shared" si="122"/>
        <v>0</v>
      </c>
      <c r="BJ83" s="194">
        <f t="shared" si="122"/>
        <v>0</v>
      </c>
      <c r="BK83" s="194">
        <f t="shared" si="122"/>
        <v>760.7</v>
      </c>
      <c r="BL83" s="194">
        <f t="shared" si="122"/>
        <v>23264000</v>
      </c>
      <c r="BM83" s="194"/>
      <c r="BN83" s="194"/>
      <c r="BO83" s="194">
        <f t="shared" ref="BO83:BW83" si="123">SUM(BO67:BO82)</f>
        <v>0</v>
      </c>
      <c r="BP83" s="194">
        <f t="shared" si="123"/>
        <v>0</v>
      </c>
      <c r="BQ83" s="194">
        <f t="shared" si="123"/>
        <v>23264000</v>
      </c>
      <c r="BR83" s="194">
        <f t="shared" si="123"/>
        <v>0</v>
      </c>
      <c r="BS83" s="194">
        <f t="shared" si="123"/>
        <v>23264000</v>
      </c>
      <c r="BT83" s="194">
        <f t="shared" si="123"/>
        <v>0</v>
      </c>
      <c r="BU83" s="194">
        <f t="shared" si="123"/>
        <v>0</v>
      </c>
      <c r="BV83" s="194">
        <f t="shared" si="123"/>
        <v>0</v>
      </c>
      <c r="BW83" s="194">
        <f t="shared" si="123"/>
        <v>23264000</v>
      </c>
    </row>
    <row r="84" spans="1:75" s="265" customFormat="1" ht="35.25" customHeight="1">
      <c r="A84" s="204"/>
      <c r="B84" s="196"/>
      <c r="C84" s="191"/>
      <c r="D84" s="228" t="s">
        <v>286</v>
      </c>
      <c r="E84" s="258"/>
      <c r="F84" s="229"/>
      <c r="G84" s="206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59"/>
      <c r="T84" s="259"/>
      <c r="U84" s="259"/>
      <c r="V84" s="259"/>
      <c r="W84" s="260"/>
      <c r="X84" s="260"/>
      <c r="Y84" s="260"/>
      <c r="Z84" s="260"/>
      <c r="AA84" s="259"/>
      <c r="AB84" s="202">
        <f>AA84*F84</f>
        <v>0</v>
      </c>
      <c r="AC84" s="259"/>
      <c r="AD84" s="202">
        <f>AC84*F84</f>
        <v>0</v>
      </c>
      <c r="AE84" s="259"/>
      <c r="AF84" s="202">
        <f>AE84*F84</f>
        <v>0</v>
      </c>
      <c r="AG84" s="259"/>
      <c r="AH84" s="202">
        <f>AG84*F84</f>
        <v>0</v>
      </c>
      <c r="AI84" s="259"/>
      <c r="AJ84" s="202">
        <f>AI84*F84</f>
        <v>0</v>
      </c>
      <c r="AK84" s="259"/>
      <c r="AL84" s="202">
        <f>AK84*F84</f>
        <v>0</v>
      </c>
      <c r="AM84" s="259"/>
      <c r="AN84" s="202">
        <f>AM84*F84</f>
        <v>0</v>
      </c>
      <c r="AO84" s="259"/>
      <c r="AP84" s="202">
        <f>AO84*F84</f>
        <v>0</v>
      </c>
      <c r="AQ84" s="259"/>
      <c r="AR84" s="202">
        <f>AQ84*F84</f>
        <v>0</v>
      </c>
      <c r="AS84" s="259"/>
      <c r="AT84" s="202">
        <f>AS84*F84</f>
        <v>0</v>
      </c>
      <c r="AU84" s="259"/>
      <c r="AV84" s="202">
        <f>AU84*F84</f>
        <v>0</v>
      </c>
      <c r="AW84" s="259"/>
      <c r="AX84" s="202">
        <f t="shared" ref="AX84:AX89" si="124">AW84*F84</f>
        <v>0</v>
      </c>
      <c r="AY84" s="260"/>
      <c r="AZ84" s="202">
        <f>AY84*F84</f>
        <v>0</v>
      </c>
      <c r="BA84" s="259"/>
      <c r="BB84" s="202">
        <f>BA84*F84</f>
        <v>0</v>
      </c>
      <c r="BC84" s="259"/>
      <c r="BD84" s="202">
        <f>BC84*F84</f>
        <v>0</v>
      </c>
      <c r="BE84" s="259"/>
      <c r="BF84" s="202">
        <f>BE84*F84</f>
        <v>0</v>
      </c>
      <c r="BG84" s="259"/>
      <c r="BH84" s="202">
        <f>BG84*F84</f>
        <v>0</v>
      </c>
      <c r="BI84" s="259"/>
      <c r="BJ84" s="202">
        <f t="shared" ref="BJ84:BJ89" si="125">BI84*F84</f>
        <v>0</v>
      </c>
      <c r="BK84" s="180">
        <f>BI84+BG84+BE84+BC84+BA84+AY84+AW84+AU84+AS84+AQ84+AO84+AM84+AK84+AI84+AG84+AE84+AC84+AA84</f>
        <v>0</v>
      </c>
      <c r="BL84" s="202"/>
      <c r="BM84" s="236"/>
      <c r="BN84" s="219"/>
      <c r="BO84" s="207"/>
      <c r="BP84" s="295"/>
      <c r="BQ84" s="295"/>
      <c r="BR84" s="295"/>
      <c r="BS84" s="163"/>
      <c r="BT84" s="295"/>
      <c r="BU84" s="295"/>
      <c r="BV84" s="163"/>
      <c r="BW84" s="203"/>
    </row>
    <row r="85" spans="1:75" s="265" customFormat="1" ht="20.25" customHeight="1">
      <c r="A85" s="204"/>
      <c r="B85" s="196"/>
      <c r="C85" s="191"/>
      <c r="D85" s="196" t="s">
        <v>270</v>
      </c>
      <c r="E85" s="258" t="s">
        <v>76</v>
      </c>
      <c r="F85" s="229">
        <v>150000</v>
      </c>
      <c r="G85" s="206">
        <f>BK85</f>
        <v>5</v>
      </c>
      <c r="H85" s="207">
        <f>G85*F85</f>
        <v>750000</v>
      </c>
      <c r="I85" s="207">
        <f>H85*0.1</f>
        <v>75000</v>
      </c>
      <c r="J85" s="207">
        <f>H85*0.8</f>
        <v>600000</v>
      </c>
      <c r="K85" s="207"/>
      <c r="L85" s="207"/>
      <c r="M85" s="207"/>
      <c r="N85" s="207"/>
      <c r="O85" s="207"/>
      <c r="P85" s="207"/>
      <c r="Q85" s="207">
        <f>H85*0.1</f>
        <v>75000</v>
      </c>
      <c r="R85" s="207"/>
      <c r="S85" s="259"/>
      <c r="T85" s="259"/>
      <c r="U85" s="259">
        <f>G85*1</f>
        <v>5</v>
      </c>
      <c r="V85" s="259"/>
      <c r="W85" s="211">
        <f>S85*F85</f>
        <v>0</v>
      </c>
      <c r="X85" s="211">
        <f>T85*F85</f>
        <v>0</v>
      </c>
      <c r="Y85" s="211">
        <f>U85*F85</f>
        <v>750000</v>
      </c>
      <c r="Z85" s="211">
        <f>V85*F85</f>
        <v>0</v>
      </c>
      <c r="AA85" s="259"/>
      <c r="AB85" s="202">
        <f>AA85*F85</f>
        <v>0</v>
      </c>
      <c r="AC85" s="259"/>
      <c r="AD85" s="202">
        <f>AC85*F85</f>
        <v>0</v>
      </c>
      <c r="AE85" s="259">
        <v>0</v>
      </c>
      <c r="AF85" s="202">
        <f>AE85*F85</f>
        <v>0</v>
      </c>
      <c r="AG85" s="259">
        <v>0</v>
      </c>
      <c r="AH85" s="202">
        <f>AG85*F85</f>
        <v>0</v>
      </c>
      <c r="AI85" s="259">
        <v>0</v>
      </c>
      <c r="AJ85" s="202">
        <f>AI85*F85</f>
        <v>0</v>
      </c>
      <c r="AK85" s="259">
        <v>0</v>
      </c>
      <c r="AL85" s="202">
        <f>AK85*F85</f>
        <v>0</v>
      </c>
      <c r="AM85" s="259">
        <v>0</v>
      </c>
      <c r="AN85" s="202">
        <f>AM85*F85</f>
        <v>0</v>
      </c>
      <c r="AO85" s="259">
        <v>0</v>
      </c>
      <c r="AP85" s="202">
        <f>AO85*F85</f>
        <v>0</v>
      </c>
      <c r="AQ85" s="259">
        <v>2</v>
      </c>
      <c r="AR85" s="202">
        <f>AQ85*F85</f>
        <v>300000</v>
      </c>
      <c r="AS85" s="259">
        <v>2</v>
      </c>
      <c r="AT85" s="202">
        <f>AS85*F85</f>
        <v>300000</v>
      </c>
      <c r="AU85" s="259">
        <v>0</v>
      </c>
      <c r="AV85" s="202">
        <f>AU85*F85</f>
        <v>0</v>
      </c>
      <c r="AW85" s="259"/>
      <c r="AX85" s="202">
        <f t="shared" si="124"/>
        <v>0</v>
      </c>
      <c r="AY85" s="260">
        <v>0</v>
      </c>
      <c r="AZ85" s="202">
        <f>AY85*F85</f>
        <v>0</v>
      </c>
      <c r="BA85" s="259">
        <v>1</v>
      </c>
      <c r="BB85" s="202">
        <f>BA85*F85</f>
        <v>150000</v>
      </c>
      <c r="BC85" s="259">
        <v>0</v>
      </c>
      <c r="BD85" s="202">
        <f>BC85*F85</f>
        <v>0</v>
      </c>
      <c r="BE85" s="259"/>
      <c r="BF85" s="202">
        <f>BE85*F85</f>
        <v>0</v>
      </c>
      <c r="BG85" s="259">
        <v>0</v>
      </c>
      <c r="BH85" s="202">
        <f>BG85*F85</f>
        <v>0</v>
      </c>
      <c r="BI85" s="259"/>
      <c r="BJ85" s="202">
        <f t="shared" si="125"/>
        <v>0</v>
      </c>
      <c r="BK85" s="202">
        <f t="shared" ref="BK85:BL89" si="126">AA85+AC85+AE85+AG85+AI85+AK85+AM85+AO85+AQ85+AS85+AU85+AW85+AY85+BA85+BC85+BE85+BG85+BI85</f>
        <v>5</v>
      </c>
      <c r="BL85" s="202">
        <f t="shared" si="126"/>
        <v>750000</v>
      </c>
      <c r="BM85" s="236" t="s">
        <v>222</v>
      </c>
      <c r="BN85" s="219"/>
      <c r="BO85" s="207"/>
      <c r="BP85" s="295"/>
      <c r="BQ85" s="254">
        <f>H85</f>
        <v>750000</v>
      </c>
      <c r="BR85" s="295"/>
      <c r="BS85" s="163">
        <f t="shared" si="119"/>
        <v>750000</v>
      </c>
      <c r="BT85" s="295"/>
      <c r="BU85" s="295"/>
      <c r="BV85" s="163"/>
      <c r="BW85" s="203">
        <f t="shared" si="120"/>
        <v>750000</v>
      </c>
    </row>
    <row r="86" spans="1:75" s="265" customFormat="1" ht="20.25" customHeight="1">
      <c r="A86" s="204"/>
      <c r="B86" s="196"/>
      <c r="C86" s="272" t="s">
        <v>889</v>
      </c>
      <c r="D86" s="298" t="s">
        <v>721</v>
      </c>
      <c r="E86" s="258" t="s">
        <v>14</v>
      </c>
      <c r="F86" s="229">
        <v>30000</v>
      </c>
      <c r="G86" s="206">
        <f>BK86</f>
        <v>1</v>
      </c>
      <c r="H86" s="206">
        <f>BL86</f>
        <v>27000</v>
      </c>
      <c r="I86" s="207">
        <f>H86*0.1</f>
        <v>2700</v>
      </c>
      <c r="J86" s="207">
        <f>H86*0.8</f>
        <v>21600</v>
      </c>
      <c r="K86" s="207"/>
      <c r="L86" s="207"/>
      <c r="M86" s="207"/>
      <c r="N86" s="207"/>
      <c r="O86" s="207"/>
      <c r="P86" s="207"/>
      <c r="Q86" s="207">
        <f>H86*0.1</f>
        <v>2700</v>
      </c>
      <c r="R86" s="207"/>
      <c r="S86" s="259"/>
      <c r="T86" s="259">
        <f>G86*0.6</f>
        <v>0.6</v>
      </c>
      <c r="U86" s="259">
        <f>G86*0.2</f>
        <v>0.2</v>
      </c>
      <c r="V86" s="259">
        <f>G86*0.2</f>
        <v>0.2</v>
      </c>
      <c r="W86" s="211">
        <f>S86*F86</f>
        <v>0</v>
      </c>
      <c r="X86" s="211">
        <f>T86*F86</f>
        <v>18000</v>
      </c>
      <c r="Y86" s="211">
        <f>U86*F86</f>
        <v>6000</v>
      </c>
      <c r="Z86" s="211">
        <f>V86*F86</f>
        <v>6000</v>
      </c>
      <c r="AA86" s="259">
        <v>0</v>
      </c>
      <c r="AB86" s="202">
        <f>AA86*F86</f>
        <v>0</v>
      </c>
      <c r="AC86" s="259">
        <v>0</v>
      </c>
      <c r="AD86" s="202">
        <f>AC86*F86</f>
        <v>0</v>
      </c>
      <c r="AE86" s="259">
        <v>0</v>
      </c>
      <c r="AF86" s="202">
        <f>AE86*F86</f>
        <v>0</v>
      </c>
      <c r="AG86" s="259">
        <v>0</v>
      </c>
      <c r="AH86" s="202">
        <f>AG86*F86</f>
        <v>0</v>
      </c>
      <c r="AI86" s="259">
        <v>0</v>
      </c>
      <c r="AJ86" s="202">
        <f>AI86*F86</f>
        <v>0</v>
      </c>
      <c r="AK86" s="259">
        <v>0</v>
      </c>
      <c r="AL86" s="202">
        <f>AK86*F86</f>
        <v>0</v>
      </c>
      <c r="AM86" s="259">
        <v>0</v>
      </c>
      <c r="AN86" s="202">
        <f>AM86*F86</f>
        <v>0</v>
      </c>
      <c r="AO86" s="259">
        <v>0</v>
      </c>
      <c r="AP86" s="202">
        <f>AO86*F86</f>
        <v>0</v>
      </c>
      <c r="AQ86" s="259">
        <v>0</v>
      </c>
      <c r="AR86" s="202">
        <f>AQ86*F86</f>
        <v>0</v>
      </c>
      <c r="AS86" s="259">
        <v>1</v>
      </c>
      <c r="AT86" s="202">
        <v>27000</v>
      </c>
      <c r="AU86" s="259">
        <v>0</v>
      </c>
      <c r="AV86" s="202">
        <f>AU86*F86</f>
        <v>0</v>
      </c>
      <c r="AW86" s="259">
        <v>0</v>
      </c>
      <c r="AX86" s="202">
        <f t="shared" si="124"/>
        <v>0</v>
      </c>
      <c r="AY86" s="260">
        <v>0</v>
      </c>
      <c r="AZ86" s="202">
        <f>AY86*F86</f>
        <v>0</v>
      </c>
      <c r="BA86" s="259">
        <v>0</v>
      </c>
      <c r="BB86" s="202">
        <f>BA86*F86</f>
        <v>0</v>
      </c>
      <c r="BC86" s="259">
        <v>0</v>
      </c>
      <c r="BD86" s="202">
        <f>BC86*F86</f>
        <v>0</v>
      </c>
      <c r="BE86" s="259">
        <v>0</v>
      </c>
      <c r="BF86" s="202">
        <f>BE86*F86</f>
        <v>0</v>
      </c>
      <c r="BG86" s="259">
        <v>0</v>
      </c>
      <c r="BH86" s="202">
        <f>BG86*F86</f>
        <v>0</v>
      </c>
      <c r="BI86" s="259"/>
      <c r="BJ86" s="202">
        <f t="shared" si="125"/>
        <v>0</v>
      </c>
      <c r="BK86" s="202">
        <f t="shared" si="126"/>
        <v>1</v>
      </c>
      <c r="BL86" s="202">
        <f>AB86+AD86+AF86+AH86+AJ86+AL86+AN86+AP86+AR86+AT86+AV86+AX86+AZ86+BB86+BD86+BF86+BH86+BJ86</f>
        <v>27000</v>
      </c>
      <c r="BM86" s="236" t="s">
        <v>222</v>
      </c>
      <c r="BN86" s="219"/>
      <c r="BO86" s="207"/>
      <c r="BP86" s="295"/>
      <c r="BQ86" s="254">
        <f>H86</f>
        <v>27000</v>
      </c>
      <c r="BR86" s="295"/>
      <c r="BS86" s="163">
        <f t="shared" si="119"/>
        <v>27000</v>
      </c>
      <c r="BT86" s="295"/>
      <c r="BU86" s="295"/>
      <c r="BV86" s="163"/>
      <c r="BW86" s="203">
        <f t="shared" si="120"/>
        <v>27000</v>
      </c>
    </row>
    <row r="87" spans="1:75" s="265" customFormat="1" ht="20.25" customHeight="1">
      <c r="A87" s="204"/>
      <c r="B87" s="196"/>
      <c r="C87" s="272" t="s">
        <v>890</v>
      </c>
      <c r="D87" s="298" t="s">
        <v>720</v>
      </c>
      <c r="E87" s="258" t="s">
        <v>14</v>
      </c>
      <c r="F87" s="229">
        <v>5000</v>
      </c>
      <c r="G87" s="206">
        <f>BK87</f>
        <v>85</v>
      </c>
      <c r="H87" s="207">
        <f>G87*F87</f>
        <v>425000</v>
      </c>
      <c r="I87" s="207">
        <f>H87*0.1</f>
        <v>42500</v>
      </c>
      <c r="J87" s="207">
        <f>H87*0.8</f>
        <v>340000</v>
      </c>
      <c r="K87" s="207"/>
      <c r="L87" s="207"/>
      <c r="M87" s="207"/>
      <c r="N87" s="207"/>
      <c r="O87" s="207"/>
      <c r="P87" s="207"/>
      <c r="Q87" s="207">
        <f>H87*0.1</f>
        <v>42500</v>
      </c>
      <c r="R87" s="207"/>
      <c r="S87" s="259"/>
      <c r="T87" s="259"/>
      <c r="U87" s="259"/>
      <c r="V87" s="259"/>
      <c r="W87" s="211"/>
      <c r="X87" s="211"/>
      <c r="Y87" s="211"/>
      <c r="Z87" s="211"/>
      <c r="AA87" s="259">
        <v>5</v>
      </c>
      <c r="AB87" s="202">
        <f>AA87*F87</f>
        <v>25000</v>
      </c>
      <c r="AC87" s="259">
        <v>5</v>
      </c>
      <c r="AD87" s="202">
        <f>AC87*F87</f>
        <v>25000</v>
      </c>
      <c r="AE87" s="259">
        <v>5</v>
      </c>
      <c r="AF87" s="202">
        <f>AE87*F87</f>
        <v>25000</v>
      </c>
      <c r="AG87" s="259">
        <v>5</v>
      </c>
      <c r="AH87" s="202">
        <f>AG87*F87</f>
        <v>25000</v>
      </c>
      <c r="AI87" s="259">
        <v>5</v>
      </c>
      <c r="AJ87" s="202">
        <f>AI87*F87</f>
        <v>25000</v>
      </c>
      <c r="AK87" s="516">
        <v>5</v>
      </c>
      <c r="AL87" s="511">
        <f>AK87*F87</f>
        <v>25000</v>
      </c>
      <c r="AM87" s="259">
        <v>5</v>
      </c>
      <c r="AN87" s="202">
        <f>AM87*F87</f>
        <v>25000</v>
      </c>
      <c r="AO87" s="259">
        <v>5</v>
      </c>
      <c r="AP87" s="202">
        <f>AO87*F87</f>
        <v>25000</v>
      </c>
      <c r="AQ87" s="259">
        <v>5</v>
      </c>
      <c r="AR87" s="202">
        <f>AQ87*F87</f>
        <v>25000</v>
      </c>
      <c r="AS87" s="259">
        <v>5</v>
      </c>
      <c r="AT87" s="202">
        <f>AS87*F87</f>
        <v>25000</v>
      </c>
      <c r="AU87" s="259">
        <v>5</v>
      </c>
      <c r="AV87" s="202">
        <f>AU87*F87</f>
        <v>25000</v>
      </c>
      <c r="AW87" s="259">
        <v>5</v>
      </c>
      <c r="AX87" s="202">
        <f t="shared" si="124"/>
        <v>25000</v>
      </c>
      <c r="AY87" s="260">
        <v>5</v>
      </c>
      <c r="AZ87" s="202">
        <f>AY87*F87</f>
        <v>25000</v>
      </c>
      <c r="BA87" s="259">
        <v>5</v>
      </c>
      <c r="BB87" s="202">
        <f>BA87*F87</f>
        <v>25000</v>
      </c>
      <c r="BC87" s="259">
        <v>5</v>
      </c>
      <c r="BD87" s="202">
        <f>BC87*F87</f>
        <v>25000</v>
      </c>
      <c r="BE87" s="259">
        <v>5</v>
      </c>
      <c r="BF87" s="202">
        <f>BE87*F87</f>
        <v>25000</v>
      </c>
      <c r="BG87" s="259">
        <v>5</v>
      </c>
      <c r="BH87" s="202">
        <f>BG87*F87</f>
        <v>25000</v>
      </c>
      <c r="BI87" s="259"/>
      <c r="BJ87" s="202">
        <f t="shared" si="125"/>
        <v>0</v>
      </c>
      <c r="BK87" s="202">
        <f>AA87+AC87+AE87+AG87+AI87+AK87+AM87+AO87+AQ87+AS87+AU87+AW87+AY87+BA87+BC87+BE87+BG87+BI87</f>
        <v>85</v>
      </c>
      <c r="BL87" s="202">
        <f>AB87+AD87+AF87+AH87+AJ87+AL87+AN87+AP87+AR87+AT87+AV87+AX87+AZ87+BB87+BD87+BF87+BH87+BJ87</f>
        <v>425000</v>
      </c>
      <c r="BM87" s="236" t="s">
        <v>222</v>
      </c>
      <c r="BN87" s="219"/>
      <c r="BO87" s="207"/>
      <c r="BP87" s="295"/>
      <c r="BQ87" s="254"/>
      <c r="BR87" s="295"/>
      <c r="BS87" s="163"/>
      <c r="BT87" s="295"/>
      <c r="BU87" s="295"/>
      <c r="BV87" s="163"/>
      <c r="BW87" s="203"/>
    </row>
    <row r="88" spans="1:75" s="265" customFormat="1" ht="20.25" customHeight="1">
      <c r="A88" s="204"/>
      <c r="B88" s="196"/>
      <c r="C88" s="272"/>
      <c r="D88" s="298" t="s">
        <v>661</v>
      </c>
      <c r="E88" s="258" t="s">
        <v>76</v>
      </c>
      <c r="F88" s="229">
        <v>100000</v>
      </c>
      <c r="G88" s="206">
        <f>BK88</f>
        <v>0</v>
      </c>
      <c r="H88" s="207">
        <f>G88*F88</f>
        <v>0</v>
      </c>
      <c r="I88" s="207">
        <f>H88*0.1</f>
        <v>0</v>
      </c>
      <c r="J88" s="207">
        <f>H88*0.8</f>
        <v>0</v>
      </c>
      <c r="K88" s="207"/>
      <c r="L88" s="207"/>
      <c r="M88" s="207"/>
      <c r="N88" s="207"/>
      <c r="O88" s="207"/>
      <c r="P88" s="207"/>
      <c r="Q88" s="207">
        <f>H88*0.1</f>
        <v>0</v>
      </c>
      <c r="R88" s="207"/>
      <c r="S88" s="259"/>
      <c r="T88" s="259"/>
      <c r="U88" s="259"/>
      <c r="V88" s="259"/>
      <c r="W88" s="211"/>
      <c r="X88" s="211"/>
      <c r="Y88" s="211"/>
      <c r="Z88" s="211"/>
      <c r="AA88" s="259"/>
      <c r="AB88" s="202"/>
      <c r="AC88" s="259"/>
      <c r="AD88" s="202"/>
      <c r="AE88" s="259"/>
      <c r="AF88" s="202"/>
      <c r="AG88" s="259">
        <v>0</v>
      </c>
      <c r="AH88" s="202">
        <f>AG88*F88</f>
        <v>0</v>
      </c>
      <c r="AI88" s="259"/>
      <c r="AJ88" s="202"/>
      <c r="AK88" s="259"/>
      <c r="AL88" s="202"/>
      <c r="AM88" s="259"/>
      <c r="AN88" s="202"/>
      <c r="AO88" s="259"/>
      <c r="AP88" s="202"/>
      <c r="AQ88" s="259"/>
      <c r="AR88" s="202"/>
      <c r="AS88" s="259"/>
      <c r="AT88" s="202"/>
      <c r="AU88" s="259"/>
      <c r="AV88" s="202"/>
      <c r="AW88" s="259">
        <v>0</v>
      </c>
      <c r="AX88" s="202">
        <f t="shared" si="124"/>
        <v>0</v>
      </c>
      <c r="AY88" s="260"/>
      <c r="AZ88" s="202"/>
      <c r="BA88" s="259"/>
      <c r="BB88" s="202"/>
      <c r="BC88" s="259"/>
      <c r="BD88" s="202"/>
      <c r="BE88" s="259"/>
      <c r="BF88" s="202"/>
      <c r="BG88" s="259"/>
      <c r="BH88" s="202"/>
      <c r="BI88" s="259"/>
      <c r="BJ88" s="202">
        <f t="shared" si="125"/>
        <v>0</v>
      </c>
      <c r="BK88" s="202">
        <f>AA88+AC88+AE88+AG88+AI88+AK88+AM88+AO88+AQ88+AS88+AU88+AW88+AY88+BA88+BC88+BE88+BG88+BI88</f>
        <v>0</v>
      </c>
      <c r="BL88" s="202">
        <f>AB88+AD88+AF88+AH88+AJ88+AL88+AN88+AP88+AR88+AT88+AV88+AX88+AZ88+BB88+BD88+BF88+BH88+BJ88</f>
        <v>0</v>
      </c>
      <c r="BM88" s="236" t="s">
        <v>222</v>
      </c>
      <c r="BN88" s="219"/>
      <c r="BO88" s="207"/>
      <c r="BP88" s="295"/>
      <c r="BQ88" s="254"/>
      <c r="BR88" s="295"/>
      <c r="BS88" s="163"/>
      <c r="BT88" s="295"/>
      <c r="BU88" s="295"/>
      <c r="BV88" s="163"/>
      <c r="BW88" s="203"/>
    </row>
    <row r="89" spans="1:75" s="265" customFormat="1" ht="20.25" customHeight="1">
      <c r="A89" s="204"/>
      <c r="B89" s="196"/>
      <c r="C89" s="272" t="s">
        <v>891</v>
      </c>
      <c r="D89" s="298" t="s">
        <v>586</v>
      </c>
      <c r="E89" s="258" t="s">
        <v>76</v>
      </c>
      <c r="F89" s="229">
        <v>100000</v>
      </c>
      <c r="G89" s="206">
        <f>BK89</f>
        <v>1</v>
      </c>
      <c r="H89" s="207">
        <f>G89*F89</f>
        <v>100000</v>
      </c>
      <c r="I89" s="207">
        <f>H89*0.1</f>
        <v>10000</v>
      </c>
      <c r="J89" s="207">
        <f>H89*0.8</f>
        <v>80000</v>
      </c>
      <c r="K89" s="207"/>
      <c r="L89" s="207"/>
      <c r="M89" s="207"/>
      <c r="N89" s="207"/>
      <c r="O89" s="207"/>
      <c r="P89" s="207"/>
      <c r="Q89" s="207">
        <f>H89*0.1</f>
        <v>10000</v>
      </c>
      <c r="R89" s="207"/>
      <c r="S89" s="259"/>
      <c r="T89" s="259">
        <f>G89*0.6</f>
        <v>0.6</v>
      </c>
      <c r="U89" s="259">
        <f>G89*0.2</f>
        <v>0.2</v>
      </c>
      <c r="V89" s="259">
        <f>G89*0.2</f>
        <v>0.2</v>
      </c>
      <c r="W89" s="211">
        <f>S89*F89</f>
        <v>0</v>
      </c>
      <c r="X89" s="211">
        <f>T89*F89</f>
        <v>60000</v>
      </c>
      <c r="Y89" s="211">
        <f>U89*F89</f>
        <v>20000</v>
      </c>
      <c r="Z89" s="211">
        <f>V89*F89</f>
        <v>20000</v>
      </c>
      <c r="AA89" s="259"/>
      <c r="AB89" s="202"/>
      <c r="AC89" s="259"/>
      <c r="AD89" s="202"/>
      <c r="AE89" s="259">
        <v>0</v>
      </c>
      <c r="AF89" s="202"/>
      <c r="AG89" s="259">
        <v>0</v>
      </c>
      <c r="AH89" s="202"/>
      <c r="AI89" s="259"/>
      <c r="AJ89" s="202"/>
      <c r="AK89" s="259"/>
      <c r="AL89" s="202"/>
      <c r="AM89" s="259"/>
      <c r="AN89" s="202"/>
      <c r="AO89" s="259">
        <v>0</v>
      </c>
      <c r="AP89" s="202"/>
      <c r="AQ89" s="259"/>
      <c r="AR89" s="202"/>
      <c r="AS89" s="259"/>
      <c r="AT89" s="202"/>
      <c r="AU89" s="259"/>
      <c r="AV89" s="202"/>
      <c r="AW89" s="259">
        <v>1</v>
      </c>
      <c r="AX89" s="202">
        <f t="shared" si="124"/>
        <v>100000</v>
      </c>
      <c r="AY89" s="260"/>
      <c r="AZ89" s="202"/>
      <c r="BA89" s="259"/>
      <c r="BB89" s="202"/>
      <c r="BC89" s="516">
        <v>0</v>
      </c>
      <c r="BD89" s="202">
        <f>BC89*F89</f>
        <v>0</v>
      </c>
      <c r="BE89" s="259"/>
      <c r="BF89" s="202"/>
      <c r="BG89" s="259"/>
      <c r="BH89" s="202"/>
      <c r="BI89" s="259"/>
      <c r="BJ89" s="202">
        <f t="shared" si="125"/>
        <v>0</v>
      </c>
      <c r="BK89" s="202">
        <f t="shared" si="126"/>
        <v>1</v>
      </c>
      <c r="BL89" s="202">
        <f t="shared" si="126"/>
        <v>100000</v>
      </c>
      <c r="BM89" s="236" t="s">
        <v>222</v>
      </c>
      <c r="BN89" s="219"/>
      <c r="BO89" s="207"/>
      <c r="BP89" s="295"/>
      <c r="BQ89" s="254">
        <f>H89</f>
        <v>100000</v>
      </c>
      <c r="BR89" s="295"/>
      <c r="BS89" s="163">
        <f t="shared" si="119"/>
        <v>100000</v>
      </c>
      <c r="BT89" s="295"/>
      <c r="BU89" s="295"/>
      <c r="BV89" s="163"/>
      <c r="BW89" s="203">
        <f t="shared" si="120"/>
        <v>100000</v>
      </c>
    </row>
    <row r="90" spans="1:75" s="23" customFormat="1">
      <c r="A90" s="223"/>
      <c r="B90" s="228"/>
      <c r="C90" s="472"/>
      <c r="D90" s="158" t="s">
        <v>521</v>
      </c>
      <c r="E90" s="177" t="s">
        <v>115</v>
      </c>
      <c r="F90" s="176"/>
      <c r="G90" s="194">
        <f t="shared" ref="G90:AL90" si="127">SUM(G85:G89)</f>
        <v>92</v>
      </c>
      <c r="H90" s="194">
        <f t="shared" si="127"/>
        <v>1302000</v>
      </c>
      <c r="I90" s="194">
        <f t="shared" si="127"/>
        <v>130200</v>
      </c>
      <c r="J90" s="194">
        <f t="shared" si="127"/>
        <v>1041600</v>
      </c>
      <c r="K90" s="194">
        <f t="shared" si="127"/>
        <v>0</v>
      </c>
      <c r="L90" s="194">
        <f t="shared" si="127"/>
        <v>0</v>
      </c>
      <c r="M90" s="194">
        <f t="shared" si="127"/>
        <v>0</v>
      </c>
      <c r="N90" s="194">
        <f t="shared" si="127"/>
        <v>0</v>
      </c>
      <c r="O90" s="194">
        <f t="shared" si="127"/>
        <v>0</v>
      </c>
      <c r="P90" s="194">
        <f t="shared" si="127"/>
        <v>0</v>
      </c>
      <c r="Q90" s="194">
        <f t="shared" si="127"/>
        <v>130200</v>
      </c>
      <c r="R90" s="194">
        <f t="shared" si="127"/>
        <v>0</v>
      </c>
      <c r="S90" s="194">
        <f t="shared" si="127"/>
        <v>0</v>
      </c>
      <c r="T90" s="194">
        <f t="shared" si="127"/>
        <v>1.2</v>
      </c>
      <c r="U90" s="194">
        <f t="shared" si="127"/>
        <v>5.4</v>
      </c>
      <c r="V90" s="194">
        <f t="shared" si="127"/>
        <v>0.4</v>
      </c>
      <c r="W90" s="194">
        <f t="shared" si="127"/>
        <v>0</v>
      </c>
      <c r="X90" s="194">
        <f t="shared" si="127"/>
        <v>78000</v>
      </c>
      <c r="Y90" s="194">
        <f t="shared" si="127"/>
        <v>776000</v>
      </c>
      <c r="Z90" s="194">
        <f t="shared" si="127"/>
        <v>26000</v>
      </c>
      <c r="AA90" s="194">
        <f t="shared" si="127"/>
        <v>5</v>
      </c>
      <c r="AB90" s="194">
        <f t="shared" si="127"/>
        <v>25000</v>
      </c>
      <c r="AC90" s="194">
        <f t="shared" si="127"/>
        <v>5</v>
      </c>
      <c r="AD90" s="194">
        <f t="shared" si="127"/>
        <v>25000</v>
      </c>
      <c r="AE90" s="194">
        <f t="shared" si="127"/>
        <v>5</v>
      </c>
      <c r="AF90" s="194">
        <f t="shared" si="127"/>
        <v>25000</v>
      </c>
      <c r="AG90" s="194">
        <f t="shared" si="127"/>
        <v>5</v>
      </c>
      <c r="AH90" s="194">
        <f t="shared" si="127"/>
        <v>25000</v>
      </c>
      <c r="AI90" s="194">
        <f t="shared" si="127"/>
        <v>5</v>
      </c>
      <c r="AJ90" s="194">
        <f t="shared" si="127"/>
        <v>25000</v>
      </c>
      <c r="AK90" s="194">
        <f t="shared" si="127"/>
        <v>5</v>
      </c>
      <c r="AL90" s="194">
        <f t="shared" si="127"/>
        <v>25000</v>
      </c>
      <c r="AM90" s="194">
        <f t="shared" ref="AM90:BL90" si="128">SUM(AM85:AM89)</f>
        <v>5</v>
      </c>
      <c r="AN90" s="194">
        <f t="shared" si="128"/>
        <v>25000</v>
      </c>
      <c r="AO90" s="194">
        <f t="shared" si="128"/>
        <v>5</v>
      </c>
      <c r="AP90" s="194">
        <f t="shared" si="128"/>
        <v>25000</v>
      </c>
      <c r="AQ90" s="194">
        <f t="shared" si="128"/>
        <v>7</v>
      </c>
      <c r="AR90" s="194">
        <f t="shared" si="128"/>
        <v>325000</v>
      </c>
      <c r="AS90" s="194">
        <f t="shared" si="128"/>
        <v>8</v>
      </c>
      <c r="AT90" s="194">
        <f t="shared" si="128"/>
        <v>352000</v>
      </c>
      <c r="AU90" s="194">
        <f t="shared" si="128"/>
        <v>5</v>
      </c>
      <c r="AV90" s="194">
        <f t="shared" si="128"/>
        <v>25000</v>
      </c>
      <c r="AW90" s="194">
        <f t="shared" si="128"/>
        <v>6</v>
      </c>
      <c r="AX90" s="194">
        <f t="shared" si="128"/>
        <v>125000</v>
      </c>
      <c r="AY90" s="194">
        <f t="shared" si="128"/>
        <v>5</v>
      </c>
      <c r="AZ90" s="194">
        <f t="shared" si="128"/>
        <v>25000</v>
      </c>
      <c r="BA90" s="194">
        <f t="shared" si="128"/>
        <v>6</v>
      </c>
      <c r="BB90" s="194">
        <f t="shared" si="128"/>
        <v>175000</v>
      </c>
      <c r="BC90" s="194">
        <f t="shared" si="128"/>
        <v>5</v>
      </c>
      <c r="BD90" s="194">
        <f t="shared" si="128"/>
        <v>25000</v>
      </c>
      <c r="BE90" s="194">
        <f t="shared" si="128"/>
        <v>5</v>
      </c>
      <c r="BF90" s="194">
        <f t="shared" si="128"/>
        <v>25000</v>
      </c>
      <c r="BG90" s="194">
        <f t="shared" si="128"/>
        <v>5</v>
      </c>
      <c r="BH90" s="194">
        <f t="shared" si="128"/>
        <v>25000</v>
      </c>
      <c r="BI90" s="194">
        <f t="shared" si="128"/>
        <v>0</v>
      </c>
      <c r="BJ90" s="194">
        <f t="shared" si="128"/>
        <v>0</v>
      </c>
      <c r="BK90" s="194">
        <f t="shared" si="128"/>
        <v>92</v>
      </c>
      <c r="BL90" s="194">
        <f t="shared" si="128"/>
        <v>1302000</v>
      </c>
      <c r="BM90" s="168" t="s">
        <v>115</v>
      </c>
      <c r="BN90" s="225"/>
      <c r="BO90" s="299">
        <f>H90</f>
        <v>1302000</v>
      </c>
      <c r="BP90" s="174"/>
      <c r="BQ90" s="174"/>
      <c r="BR90" s="174"/>
      <c r="BS90" s="174">
        <f t="shared" si="119"/>
        <v>1302000</v>
      </c>
      <c r="BT90" s="174"/>
      <c r="BU90" s="174"/>
      <c r="BV90" s="174"/>
      <c r="BW90" s="226">
        <f t="shared" si="120"/>
        <v>1302000</v>
      </c>
    </row>
    <row r="91" spans="1:75" s="265" customFormat="1">
      <c r="A91" s="256"/>
      <c r="B91" s="245"/>
      <c r="C91" s="473" t="s">
        <v>892</v>
      </c>
      <c r="D91" s="158" t="s">
        <v>528</v>
      </c>
      <c r="E91" s="135" t="s">
        <v>115</v>
      </c>
      <c r="F91" s="135" t="s">
        <v>115</v>
      </c>
      <c r="G91" s="300">
        <f t="shared" ref="G91:BL91" si="129">G90+G83+G65+G41+G34</f>
        <v>7686.8</v>
      </c>
      <c r="H91" s="300">
        <f t="shared" si="129"/>
        <v>167631791</v>
      </c>
      <c r="I91" s="300">
        <f t="shared" si="129"/>
        <v>11539943.5</v>
      </c>
      <c r="J91" s="300">
        <f t="shared" si="129"/>
        <v>81203032.800000012</v>
      </c>
      <c r="K91" s="300">
        <f t="shared" si="129"/>
        <v>1248000</v>
      </c>
      <c r="L91" s="300">
        <f t="shared" si="129"/>
        <v>0</v>
      </c>
      <c r="M91" s="300">
        <f t="shared" si="129"/>
        <v>64880000</v>
      </c>
      <c r="N91" s="300">
        <f t="shared" si="129"/>
        <v>0</v>
      </c>
      <c r="O91" s="300">
        <f t="shared" si="129"/>
        <v>0</v>
      </c>
      <c r="P91" s="300">
        <f t="shared" si="129"/>
        <v>0</v>
      </c>
      <c r="Q91" s="300">
        <f t="shared" si="129"/>
        <v>8760814.6999999993</v>
      </c>
      <c r="R91" s="300">
        <f t="shared" si="129"/>
        <v>0</v>
      </c>
      <c r="S91" s="300">
        <f t="shared" si="129"/>
        <v>957.04499999999996</v>
      </c>
      <c r="T91" s="300">
        <f t="shared" si="129"/>
        <v>2440.06</v>
      </c>
      <c r="U91" s="300">
        <f t="shared" si="129"/>
        <v>2603.8449999999998</v>
      </c>
      <c r="V91" s="300">
        <f t="shared" si="129"/>
        <v>874.35</v>
      </c>
      <c r="W91" s="300">
        <f t="shared" si="129"/>
        <v>17136730</v>
      </c>
      <c r="X91" s="300">
        <f t="shared" si="129"/>
        <v>24210840</v>
      </c>
      <c r="Y91" s="300">
        <f t="shared" si="129"/>
        <v>50032530</v>
      </c>
      <c r="Z91" s="300">
        <f t="shared" si="129"/>
        <v>14143644</v>
      </c>
      <c r="AA91" s="300">
        <f t="shared" si="129"/>
        <v>383.5</v>
      </c>
      <c r="AB91" s="300">
        <f t="shared" si="129"/>
        <v>10855100</v>
      </c>
      <c r="AC91" s="300">
        <f t="shared" si="129"/>
        <v>396</v>
      </c>
      <c r="AD91" s="300">
        <f t="shared" si="129"/>
        <v>7692544</v>
      </c>
      <c r="AE91" s="300">
        <f t="shared" si="129"/>
        <v>500</v>
      </c>
      <c r="AF91" s="300">
        <f t="shared" si="129"/>
        <v>11309400</v>
      </c>
      <c r="AG91" s="300">
        <f t="shared" si="129"/>
        <v>586</v>
      </c>
      <c r="AH91" s="300">
        <f t="shared" si="129"/>
        <v>15157500</v>
      </c>
      <c r="AI91" s="300">
        <f t="shared" si="129"/>
        <v>412</v>
      </c>
      <c r="AJ91" s="300">
        <f t="shared" si="129"/>
        <v>9419300</v>
      </c>
      <c r="AK91" s="300">
        <f t="shared" si="129"/>
        <v>376</v>
      </c>
      <c r="AL91" s="300">
        <f t="shared" si="129"/>
        <v>7344000</v>
      </c>
      <c r="AM91" s="300">
        <f t="shared" si="129"/>
        <v>576.6</v>
      </c>
      <c r="AN91" s="300">
        <f t="shared" si="129"/>
        <v>15082560</v>
      </c>
      <c r="AO91" s="300">
        <f t="shared" si="129"/>
        <v>409</v>
      </c>
      <c r="AP91" s="300">
        <f t="shared" si="129"/>
        <v>8529600</v>
      </c>
      <c r="AQ91" s="300">
        <f t="shared" si="129"/>
        <v>296</v>
      </c>
      <c r="AR91" s="300">
        <f t="shared" si="129"/>
        <v>6721900</v>
      </c>
      <c r="AS91" s="300">
        <f t="shared" si="129"/>
        <v>423</v>
      </c>
      <c r="AT91" s="300">
        <f t="shared" si="129"/>
        <v>9783487</v>
      </c>
      <c r="AU91" s="300">
        <f t="shared" si="129"/>
        <v>439.2</v>
      </c>
      <c r="AV91" s="300">
        <f t="shared" si="129"/>
        <v>13397250</v>
      </c>
      <c r="AW91" s="300">
        <f t="shared" si="129"/>
        <v>412</v>
      </c>
      <c r="AX91" s="300">
        <f t="shared" si="129"/>
        <v>6980000</v>
      </c>
      <c r="AY91" s="300">
        <f t="shared" si="129"/>
        <v>295</v>
      </c>
      <c r="AZ91" s="300">
        <f t="shared" si="129"/>
        <v>6648900</v>
      </c>
      <c r="BA91" s="300">
        <f t="shared" si="129"/>
        <v>593</v>
      </c>
      <c r="BB91" s="300">
        <f t="shared" si="129"/>
        <v>11022000</v>
      </c>
      <c r="BC91" s="300">
        <f t="shared" si="129"/>
        <v>637.5</v>
      </c>
      <c r="BD91" s="300">
        <f t="shared" si="129"/>
        <v>10478450</v>
      </c>
      <c r="BE91" s="300">
        <f t="shared" si="129"/>
        <v>514</v>
      </c>
      <c r="BF91" s="300">
        <f t="shared" si="129"/>
        <v>10608600</v>
      </c>
      <c r="BG91" s="300">
        <f t="shared" si="129"/>
        <v>438</v>
      </c>
      <c r="BH91" s="300">
        <f t="shared" si="129"/>
        <v>6601200</v>
      </c>
      <c r="BI91" s="300">
        <f t="shared" si="129"/>
        <v>0</v>
      </c>
      <c r="BJ91" s="300">
        <f t="shared" si="129"/>
        <v>0</v>
      </c>
      <c r="BK91" s="300">
        <f t="shared" si="129"/>
        <v>7686.8</v>
      </c>
      <c r="BL91" s="300">
        <f t="shared" si="129"/>
        <v>167631791</v>
      </c>
      <c r="BM91" s="300"/>
      <c r="BN91" s="300"/>
      <c r="BO91" s="300">
        <f t="shared" ref="BO91:BW91" si="130">BO90+BO83+BO65+BO41+BO34</f>
        <v>15197644</v>
      </c>
      <c r="BP91" s="300">
        <f t="shared" si="130"/>
        <v>0</v>
      </c>
      <c r="BQ91" s="300">
        <f t="shared" si="130"/>
        <v>86261147</v>
      </c>
      <c r="BR91" s="300">
        <f t="shared" si="130"/>
        <v>0</v>
      </c>
      <c r="BS91" s="300">
        <f t="shared" si="130"/>
        <v>101458791</v>
      </c>
      <c r="BT91" s="300">
        <f t="shared" si="130"/>
        <v>0</v>
      </c>
      <c r="BU91" s="300">
        <f t="shared" si="130"/>
        <v>42870000</v>
      </c>
      <c r="BV91" s="300">
        <f t="shared" si="130"/>
        <v>42870000</v>
      </c>
      <c r="BW91" s="300">
        <f t="shared" si="130"/>
        <v>144328791</v>
      </c>
    </row>
    <row r="92" spans="1:75" ht="47.25">
      <c r="A92" s="256"/>
      <c r="B92" s="196"/>
      <c r="C92" s="473" t="s">
        <v>893</v>
      </c>
      <c r="D92" s="134" t="s">
        <v>722</v>
      </c>
      <c r="E92" s="135" t="s">
        <v>81</v>
      </c>
      <c r="F92" s="135">
        <v>15000</v>
      </c>
      <c r="G92" s="206">
        <f>BK92</f>
        <v>49</v>
      </c>
      <c r="H92" s="206">
        <f>BL92</f>
        <v>720000</v>
      </c>
      <c r="I92" s="257">
        <f>0.2*H92</f>
        <v>144000</v>
      </c>
      <c r="J92" s="229">
        <f>0.8*H92</f>
        <v>576000</v>
      </c>
      <c r="K92" s="229"/>
      <c r="L92" s="229"/>
      <c r="M92" s="229"/>
      <c r="N92" s="229"/>
      <c r="O92" s="229"/>
      <c r="P92" s="261"/>
      <c r="Q92" s="261"/>
      <c r="R92" s="261"/>
      <c r="S92" s="259"/>
      <c r="T92" s="259"/>
      <c r="U92" s="259">
        <v>27</v>
      </c>
      <c r="V92" s="259">
        <v>60</v>
      </c>
      <c r="W92" s="259">
        <f>S92*F92</f>
        <v>0</v>
      </c>
      <c r="X92" s="259">
        <f>T92*F92</f>
        <v>0</v>
      </c>
      <c r="Y92" s="259">
        <f>U92*F92</f>
        <v>405000</v>
      </c>
      <c r="Z92" s="259">
        <f>V92*F92</f>
        <v>900000</v>
      </c>
      <c r="AA92" s="283">
        <v>2</v>
      </c>
      <c r="AB92" s="260">
        <f>AA92*F92</f>
        <v>30000</v>
      </c>
      <c r="AC92" s="283">
        <v>3</v>
      </c>
      <c r="AD92" s="260">
        <f>AC92*F92</f>
        <v>45000</v>
      </c>
      <c r="AE92" s="283">
        <v>2</v>
      </c>
      <c r="AF92" s="260">
        <f>AE92*F92</f>
        <v>30000</v>
      </c>
      <c r="AG92" s="283">
        <v>3</v>
      </c>
      <c r="AH92" s="260">
        <f>AG92*F92</f>
        <v>45000</v>
      </c>
      <c r="AI92" s="283">
        <v>2</v>
      </c>
      <c r="AJ92" s="260">
        <f>AI92*F92</f>
        <v>30000</v>
      </c>
      <c r="AK92" s="253">
        <v>2</v>
      </c>
      <c r="AL92" s="260">
        <f>AK92*F92</f>
        <v>30000</v>
      </c>
      <c r="AM92" s="283">
        <v>3</v>
      </c>
      <c r="AN92" s="260">
        <f>AM92*F92</f>
        <v>45000</v>
      </c>
      <c r="AO92" s="253">
        <v>3</v>
      </c>
      <c r="AP92" s="260">
        <f>AO92*F92</f>
        <v>45000</v>
      </c>
      <c r="AQ92" s="283">
        <v>2</v>
      </c>
      <c r="AR92" s="260">
        <f>AQ92*F92</f>
        <v>30000</v>
      </c>
      <c r="AS92" s="283">
        <v>2</v>
      </c>
      <c r="AT92" s="260">
        <f>AS92*F92</f>
        <v>30000</v>
      </c>
      <c r="AU92" s="253">
        <v>3</v>
      </c>
      <c r="AV92" s="260">
        <f>AU92*F92</f>
        <v>45000</v>
      </c>
      <c r="AW92" s="253">
        <v>3</v>
      </c>
      <c r="AX92" s="260">
        <f>AW92*F92</f>
        <v>45000</v>
      </c>
      <c r="AY92" s="253">
        <v>4</v>
      </c>
      <c r="AZ92" s="260">
        <f>AY92*F92</f>
        <v>60000</v>
      </c>
      <c r="BA92" s="283">
        <v>4</v>
      </c>
      <c r="BB92" s="260">
        <f>BA92*F92</f>
        <v>60000</v>
      </c>
      <c r="BC92" s="543">
        <v>3</v>
      </c>
      <c r="BD92" s="260">
        <v>30000</v>
      </c>
      <c r="BE92" s="283">
        <v>5</v>
      </c>
      <c r="BF92" s="260">
        <f>BE92*F92</f>
        <v>75000</v>
      </c>
      <c r="BG92" s="283">
        <v>3</v>
      </c>
      <c r="BH92" s="260">
        <f>BG92*F92</f>
        <v>45000</v>
      </c>
      <c r="BI92" s="283"/>
      <c r="BJ92" s="260">
        <f>BI92*F92</f>
        <v>0</v>
      </c>
      <c r="BK92" s="202">
        <f>AA92+AC92+AE92+AG92+AI92+AK92+AM92+AO92+AQ92+AS92+AU92+AW92+AY92+BA92+BC92+BE92+BG92+BI92</f>
        <v>49</v>
      </c>
      <c r="BL92" s="202">
        <f>AB92+AD92+AF92+AH92+AJ92+AL92+AN92+AP92+AR92+AT92+AV92+AX92+AZ92+BB92+BD92+BF92+BH92+BJ92</f>
        <v>720000</v>
      </c>
      <c r="BM92" s="159" t="s">
        <v>216</v>
      </c>
      <c r="BO92" s="254"/>
      <c r="BP92" s="254"/>
      <c r="BQ92" s="254">
        <f>H92</f>
        <v>720000</v>
      </c>
      <c r="BR92" s="254"/>
      <c r="BS92" s="254">
        <f>BO92+BP92+BQ92+BR92</f>
        <v>720000</v>
      </c>
      <c r="BT92" s="254"/>
      <c r="BU92" s="254"/>
      <c r="BV92" s="254">
        <f>BT92+BU92</f>
        <v>0</v>
      </c>
      <c r="BW92" s="255">
        <f>BS92+BV92</f>
        <v>720000</v>
      </c>
    </row>
    <row r="93" spans="1:75" s="265" customFormat="1">
      <c r="A93" s="263"/>
      <c r="B93" s="245"/>
      <c r="C93" s="214"/>
      <c r="D93" s="158" t="s">
        <v>17</v>
      </c>
      <c r="E93" s="177" t="s">
        <v>115</v>
      </c>
      <c r="F93" s="176"/>
      <c r="G93" s="264">
        <f t="shared" ref="G93:H93" si="131">G92+G91+G16</f>
        <v>7820.8</v>
      </c>
      <c r="H93" s="264">
        <f t="shared" si="131"/>
        <v>169201791</v>
      </c>
      <c r="I93" s="264">
        <f t="shared" ref="I93" si="132">I92+I91+I16</f>
        <v>11683943.5</v>
      </c>
      <c r="J93" s="264">
        <f t="shared" ref="J93" si="133">J92+J91+J16</f>
        <v>82459032.800000012</v>
      </c>
      <c r="K93" s="264">
        <f t="shared" ref="K93" si="134">K92+K91+K16</f>
        <v>1248000</v>
      </c>
      <c r="L93" s="264">
        <f t="shared" ref="L93" si="135">L92+L91+L16</f>
        <v>0</v>
      </c>
      <c r="M93" s="264">
        <f t="shared" ref="M93" si="136">M92+M91+M16</f>
        <v>64880000</v>
      </c>
      <c r="N93" s="264">
        <f t="shared" ref="N93" si="137">N92+N91+N16</f>
        <v>0</v>
      </c>
      <c r="O93" s="264">
        <f t="shared" ref="O93" si="138">O92+O91+O16</f>
        <v>0</v>
      </c>
      <c r="P93" s="264">
        <f t="shared" ref="P93" si="139">P92+P91+P16</f>
        <v>0</v>
      </c>
      <c r="Q93" s="264">
        <f t="shared" ref="Q93" si="140">Q92+Q91+Q16</f>
        <v>8930814.6999999993</v>
      </c>
      <c r="R93" s="264">
        <f t="shared" ref="R93" si="141">R92+R91+R16</f>
        <v>0</v>
      </c>
      <c r="S93" s="264">
        <f t="shared" ref="S93" si="142">S92+S91+S16</f>
        <v>957.04499999999996</v>
      </c>
      <c r="T93" s="264">
        <f t="shared" ref="T93" si="143">T92+T91+T16</f>
        <v>2440.06</v>
      </c>
      <c r="U93" s="264">
        <f t="shared" ref="U93" si="144">U92+U91+U16</f>
        <v>2630.8449999999998</v>
      </c>
      <c r="V93" s="264">
        <f t="shared" ref="V93" si="145">V92+V91+V16</f>
        <v>934.35</v>
      </c>
      <c r="W93" s="264">
        <f t="shared" ref="W93" si="146">W92+W91+W16</f>
        <v>17136730</v>
      </c>
      <c r="X93" s="264">
        <f t="shared" ref="X93" si="147">X92+X91+X16</f>
        <v>24210840</v>
      </c>
      <c r="Y93" s="264">
        <f t="shared" ref="Y93" si="148">Y92+Y91+Y16</f>
        <v>50437530</v>
      </c>
      <c r="Z93" s="264">
        <f t="shared" ref="Z93" si="149">Z92+Z91+Z16</f>
        <v>15043644</v>
      </c>
      <c r="AA93" s="264">
        <f t="shared" ref="AA93" si="150">AA92+AA91+AA16</f>
        <v>390.5</v>
      </c>
      <c r="AB93" s="264">
        <f t="shared" ref="AB93" si="151">AB92+AB91+AB16</f>
        <v>10935100</v>
      </c>
      <c r="AC93" s="264">
        <f t="shared" ref="AC93" si="152">AC92+AC91+AC16</f>
        <v>404</v>
      </c>
      <c r="AD93" s="264">
        <f t="shared" ref="AD93" si="153">AD92+AD91+AD16</f>
        <v>7787544</v>
      </c>
      <c r="AE93" s="264">
        <f t="shared" ref="AE93" si="154">AE92+AE91+AE16</f>
        <v>507</v>
      </c>
      <c r="AF93" s="264">
        <f t="shared" ref="AF93" si="155">AF92+AF91+AF16</f>
        <v>11389400</v>
      </c>
      <c r="AG93" s="264">
        <f t="shared" ref="AG93" si="156">AG92+AG91+AG16</f>
        <v>594</v>
      </c>
      <c r="AH93" s="264">
        <f t="shared" ref="AH93" si="157">AH92+AH91+AH16</f>
        <v>15252500</v>
      </c>
      <c r="AI93" s="264">
        <f t="shared" ref="AI93" si="158">AI92+AI91+AI16</f>
        <v>419</v>
      </c>
      <c r="AJ93" s="264">
        <f t="shared" ref="AJ93" si="159">AJ92+AJ91+AJ16</f>
        <v>9499300</v>
      </c>
      <c r="AK93" s="264">
        <f t="shared" ref="AK93" si="160">AK92+AK91+AK16</f>
        <v>383</v>
      </c>
      <c r="AL93" s="264">
        <f t="shared" ref="AL93" si="161">AL92+AL91+AL16</f>
        <v>7424000</v>
      </c>
      <c r="AM93" s="264">
        <f t="shared" ref="AM93" si="162">AM92+AM91+AM16</f>
        <v>584.6</v>
      </c>
      <c r="AN93" s="264">
        <f t="shared" ref="AN93" si="163">AN92+AN91+AN16</f>
        <v>15177560</v>
      </c>
      <c r="AO93" s="264">
        <f t="shared" ref="AO93" si="164">AO92+AO91+AO16</f>
        <v>417</v>
      </c>
      <c r="AP93" s="264">
        <f t="shared" ref="AP93" si="165">AP92+AP91+AP16</f>
        <v>8624600</v>
      </c>
      <c r="AQ93" s="264">
        <f t="shared" ref="AQ93" si="166">AQ92+AQ91+AQ16</f>
        <v>303</v>
      </c>
      <c r="AR93" s="264">
        <f t="shared" ref="AR93" si="167">AR92+AR91+AR16</f>
        <v>6801900</v>
      </c>
      <c r="AS93" s="264">
        <f t="shared" ref="AS93" si="168">AS92+AS91+AS16</f>
        <v>430</v>
      </c>
      <c r="AT93" s="264">
        <f t="shared" ref="AT93" si="169">AT92+AT91+AT16</f>
        <v>9863487</v>
      </c>
      <c r="AU93" s="264">
        <f t="shared" ref="AU93" si="170">AU92+AU91+AU16</f>
        <v>447.2</v>
      </c>
      <c r="AV93" s="264">
        <f t="shared" ref="AV93" si="171">AV92+AV91+AV16</f>
        <v>13492250</v>
      </c>
      <c r="AW93" s="264">
        <f t="shared" ref="AW93" si="172">AW92+AW91+AW16</f>
        <v>420</v>
      </c>
      <c r="AX93" s="264">
        <f t="shared" ref="AX93" si="173">AX92+AX91+AX16</f>
        <v>7075000</v>
      </c>
      <c r="AY93" s="264">
        <f t="shared" ref="AY93" si="174">AY92+AY91+AY16</f>
        <v>304</v>
      </c>
      <c r="AZ93" s="264">
        <f t="shared" ref="AZ93" si="175">AZ92+AZ91+AZ16</f>
        <v>6758900</v>
      </c>
      <c r="BA93" s="264">
        <f t="shared" ref="BA93" si="176">BA92+BA91+BA16</f>
        <v>602</v>
      </c>
      <c r="BB93" s="264">
        <f t="shared" ref="BB93" si="177">BB92+BB91+BB16</f>
        <v>11132000</v>
      </c>
      <c r="BC93" s="264">
        <f t="shared" ref="BC93" si="178">BC92+BC91+BC16</f>
        <v>640.5</v>
      </c>
      <c r="BD93" s="264">
        <f t="shared" ref="BD93" si="179">BD92+BD91+BD16</f>
        <v>10508450</v>
      </c>
      <c r="BE93" s="264">
        <f t="shared" ref="BE93" si="180">BE92+BE91+BE16</f>
        <v>529</v>
      </c>
      <c r="BF93" s="264">
        <f t="shared" ref="BF93" si="181">BF92+BF91+BF16</f>
        <v>10783600</v>
      </c>
      <c r="BG93" s="264">
        <f t="shared" ref="BG93" si="182">BG92+BG91+BG16</f>
        <v>446</v>
      </c>
      <c r="BH93" s="264">
        <f t="shared" ref="BH93" si="183">BH92+BH91+BH16</f>
        <v>6696200</v>
      </c>
      <c r="BI93" s="264">
        <f t="shared" ref="BI93" si="184">BI92+BI91+BI16</f>
        <v>0</v>
      </c>
      <c r="BJ93" s="264">
        <f t="shared" ref="BJ93" si="185">BJ92+BJ91+BJ16</f>
        <v>0</v>
      </c>
      <c r="BK93" s="264">
        <f t="shared" ref="BK93" si="186">BK92+BK91+BK16</f>
        <v>7820.8</v>
      </c>
      <c r="BL93" s="264">
        <f t="shared" ref="BL93" si="187">BL92+BL91+BL16</f>
        <v>169201791</v>
      </c>
      <c r="BM93" s="264"/>
      <c r="BN93" s="264"/>
      <c r="BO93" s="264">
        <f t="shared" ref="BO93:BW93" si="188">BO92+BO91+BO16</f>
        <v>15197644</v>
      </c>
      <c r="BP93" s="264">
        <f t="shared" si="188"/>
        <v>850000</v>
      </c>
      <c r="BQ93" s="264">
        <f t="shared" si="188"/>
        <v>86981147</v>
      </c>
      <c r="BR93" s="264">
        <f t="shared" si="188"/>
        <v>0</v>
      </c>
      <c r="BS93" s="264">
        <f t="shared" si="188"/>
        <v>103028791</v>
      </c>
      <c r="BT93" s="264">
        <f t="shared" si="188"/>
        <v>0</v>
      </c>
      <c r="BU93" s="264">
        <f t="shared" si="188"/>
        <v>42870000</v>
      </c>
      <c r="BV93" s="264">
        <f t="shared" si="188"/>
        <v>42870000</v>
      </c>
      <c r="BW93" s="264">
        <f t="shared" si="188"/>
        <v>145898791</v>
      </c>
    </row>
    <row r="96" spans="1:75">
      <c r="H96" s="244"/>
      <c r="I96" s="244"/>
      <c r="BL96" s="244">
        <f>H93-BL93</f>
        <v>0</v>
      </c>
    </row>
    <row r="98" spans="8:64">
      <c r="H98" s="302"/>
      <c r="AX98" s="244">
        <f>H93-H99</f>
        <v>169201791</v>
      </c>
      <c r="BL98" s="244">
        <f>H91-BL91</f>
        <v>0</v>
      </c>
    </row>
    <row r="99" spans="8:64">
      <c r="H99" s="244"/>
    </row>
  </sheetData>
  <mergeCells count="41">
    <mergeCell ref="A1:B1"/>
    <mergeCell ref="D1:R1"/>
    <mergeCell ref="A2:B2"/>
    <mergeCell ref="D2:R2"/>
    <mergeCell ref="A3:B3"/>
    <mergeCell ref="D3:R3"/>
    <mergeCell ref="A4:B4"/>
    <mergeCell ref="D4:R4"/>
    <mergeCell ref="A5:B5"/>
    <mergeCell ref="D5:R5"/>
    <mergeCell ref="A6:E6"/>
    <mergeCell ref="F6:H6"/>
    <mergeCell ref="I6:R6"/>
    <mergeCell ref="AW6:AX7"/>
    <mergeCell ref="AY6:AZ7"/>
    <mergeCell ref="BA6:BB7"/>
    <mergeCell ref="AK6:AL7"/>
    <mergeCell ref="AM6:AN7"/>
    <mergeCell ref="AO6:AP7"/>
    <mergeCell ref="AQ6:AR7"/>
    <mergeCell ref="C7:C8"/>
    <mergeCell ref="BO7:BS7"/>
    <mergeCell ref="BT7:BV7"/>
    <mergeCell ref="D7:D8"/>
    <mergeCell ref="H7:H8"/>
    <mergeCell ref="BC6:BD7"/>
    <mergeCell ref="BE6:BF7"/>
    <mergeCell ref="AS6:AT7"/>
    <mergeCell ref="S6:V7"/>
    <mergeCell ref="W6:Z7"/>
    <mergeCell ref="AA6:AB7"/>
    <mergeCell ref="AC6:AD7"/>
    <mergeCell ref="AE6:AF7"/>
    <mergeCell ref="AG6:AH7"/>
    <mergeCell ref="AI6:AJ7"/>
    <mergeCell ref="AU6:AV7"/>
    <mergeCell ref="BW7:BW8"/>
    <mergeCell ref="BG6:BH7"/>
    <mergeCell ref="BI6:BJ7"/>
    <mergeCell ref="BK6:BL7"/>
    <mergeCell ref="BM6:BM8"/>
  </mergeCells>
  <phoneticPr fontId="3" type="noConversion"/>
  <pageMargins left="0.27" right="0.38" top="0.75" bottom="0.75" header="0.3" footer="0.3"/>
  <pageSetup paperSize="9" scale="17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tabColor rgb="FFFF0000"/>
    <pageSetUpPr fitToPage="1"/>
  </sheetPr>
  <dimension ref="A1:BW65"/>
  <sheetViews>
    <sheetView zoomScale="90" zoomScaleNormal="90" workbookViewId="0">
      <pane xSplit="8" ySplit="8" topLeftCell="I54" activePane="bottomRight" state="frozen"/>
      <selection pane="topRight" activeCell="H1" sqref="H1"/>
      <selection pane="bottomLeft" activeCell="A9" sqref="A9"/>
      <selection pane="bottomRight" activeCell="G65" sqref="G65"/>
    </sheetView>
  </sheetViews>
  <sheetFormatPr defaultColWidth="9.140625" defaultRowHeight="15.75"/>
  <cols>
    <col min="1" max="1" width="9.28515625" style="178" hidden="1" customWidth="1"/>
    <col min="2" max="2" width="9" style="178" hidden="1" customWidth="1"/>
    <col min="3" max="3" width="9" style="178" customWidth="1"/>
    <col min="4" max="4" width="39.42578125" style="178" customWidth="1"/>
    <col min="5" max="5" width="15.28515625" style="178" customWidth="1"/>
    <col min="6" max="6" width="16.42578125" style="178" customWidth="1"/>
    <col min="7" max="7" width="12.140625" style="178" bestFit="1" customWidth="1"/>
    <col min="8" max="8" width="19.5703125" style="243" customWidth="1"/>
    <col min="9" max="9" width="17.5703125" style="243" customWidth="1"/>
    <col min="10" max="10" width="18.5703125" style="243" customWidth="1"/>
    <col min="11" max="11" width="17.28515625" style="243" customWidth="1"/>
    <col min="12" max="12" width="9.85546875" style="243" customWidth="1"/>
    <col min="13" max="13" width="17.5703125" style="243" customWidth="1"/>
    <col min="14" max="14" width="7" style="243" customWidth="1"/>
    <col min="15" max="15" width="15.85546875" style="243" customWidth="1"/>
    <col min="16" max="16" width="7.140625" style="243" customWidth="1"/>
    <col min="17" max="17" width="16.85546875" style="243" customWidth="1"/>
    <col min="18" max="18" width="19.28515625" style="243" customWidth="1"/>
    <col min="19" max="19" width="11.85546875" style="178" customWidth="1"/>
    <col min="20" max="20" width="10.85546875" style="178" customWidth="1"/>
    <col min="21" max="21" width="11.28515625" style="178" customWidth="1"/>
    <col min="22" max="22" width="10.28515625" style="178" customWidth="1"/>
    <col min="23" max="24" width="17.140625" style="178" customWidth="1"/>
    <col min="25" max="25" width="18.42578125" style="178" customWidth="1"/>
    <col min="26" max="26" width="17.140625" style="178" customWidth="1"/>
    <col min="27" max="27" width="8" style="178" customWidth="1"/>
    <col min="28" max="28" width="16" style="303" customWidth="1"/>
    <col min="29" max="29" width="8.28515625" style="178" customWidth="1"/>
    <col min="30" max="30" width="16" style="178" customWidth="1"/>
    <col min="31" max="31" width="8.140625" style="178" customWidth="1"/>
    <col min="32" max="32" width="16" style="178" customWidth="1"/>
    <col min="33" max="33" width="8.5703125" style="178" customWidth="1"/>
    <col min="34" max="34" width="16" style="178" customWidth="1"/>
    <col min="35" max="35" width="8" style="178" customWidth="1"/>
    <col min="36" max="36" width="14.28515625" style="178" customWidth="1"/>
    <col min="37" max="37" width="5.5703125" style="178" customWidth="1"/>
    <col min="38" max="38" width="16" style="178" customWidth="1"/>
    <col min="39" max="39" width="7.85546875" style="178" customWidth="1"/>
    <col min="40" max="40" width="16" style="178" customWidth="1"/>
    <col min="41" max="41" width="5.5703125" style="178" customWidth="1"/>
    <col min="42" max="42" width="16" style="178" customWidth="1"/>
    <col min="43" max="43" width="9.42578125" style="178" customWidth="1"/>
    <col min="44" max="44" width="14.28515625" style="178" customWidth="1"/>
    <col min="45" max="45" width="9.42578125" style="178" bestFit="1" customWidth="1"/>
    <col min="46" max="46" width="16.42578125" style="178" bestFit="1" customWidth="1"/>
    <col min="47" max="47" width="9.42578125" style="178" bestFit="1" customWidth="1"/>
    <col min="48" max="48" width="14.28515625" style="178" customWidth="1"/>
    <col min="49" max="49" width="9.140625" style="178" customWidth="1"/>
    <col min="50" max="50" width="19" style="178" customWidth="1"/>
    <col min="51" max="51" width="11.140625" style="178" customWidth="1"/>
    <col min="52" max="52" width="14.28515625" style="178" customWidth="1"/>
    <col min="53" max="53" width="9.85546875" style="178" bestFit="1" customWidth="1"/>
    <col min="54" max="54" width="16.42578125" style="178" bestFit="1" customWidth="1"/>
    <col min="55" max="55" width="8.42578125" style="178" bestFit="1" customWidth="1"/>
    <col min="56" max="56" width="16.42578125" style="178" bestFit="1" customWidth="1"/>
    <col min="57" max="57" width="8.42578125" style="178" bestFit="1" customWidth="1"/>
    <col min="58" max="58" width="14.28515625" style="178" customWidth="1"/>
    <col min="59" max="59" width="8.42578125" style="178" bestFit="1" customWidth="1"/>
    <col min="60" max="60" width="16" style="178" customWidth="1"/>
    <col min="61" max="61" width="10.140625" style="178" bestFit="1" customWidth="1"/>
    <col min="62" max="62" width="15.42578125" style="178" bestFit="1" customWidth="1"/>
    <col min="63" max="63" width="13" style="178" customWidth="1"/>
    <col min="64" max="64" width="18.28515625" style="178" customWidth="1"/>
    <col min="65" max="65" width="24.28515625" style="192" customWidth="1"/>
    <col min="66" max="66" width="14.28515625" style="178" bestFit="1" customWidth="1"/>
    <col min="67" max="67" width="20.42578125" style="178" customWidth="1"/>
    <col min="68" max="68" width="17.5703125" style="178" bestFit="1" customWidth="1"/>
    <col min="69" max="69" width="19" style="178" bestFit="1" customWidth="1"/>
    <col min="70" max="70" width="18" style="178" customWidth="1"/>
    <col min="71" max="71" width="18.42578125" style="178" customWidth="1"/>
    <col min="72" max="74" width="9.140625" style="178" customWidth="1"/>
    <col min="75" max="75" width="19.85546875" style="178" customWidth="1"/>
    <col min="76" max="16384" width="9.140625" style="178"/>
  </cols>
  <sheetData>
    <row r="1" spans="1:75">
      <c r="A1" s="932" t="s">
        <v>163</v>
      </c>
      <c r="B1" s="932"/>
      <c r="C1" s="240"/>
      <c r="D1" s="933" t="s">
        <v>157</v>
      </c>
      <c r="E1" s="933"/>
      <c r="F1" s="933"/>
      <c r="G1" s="933"/>
      <c r="H1" s="933"/>
      <c r="I1" s="933"/>
      <c r="J1" s="933"/>
      <c r="K1" s="933"/>
      <c r="L1" s="933"/>
      <c r="M1" s="933"/>
      <c r="N1" s="933"/>
      <c r="O1" s="933"/>
      <c r="P1" s="933"/>
      <c r="Q1" s="933"/>
      <c r="R1" s="933"/>
      <c r="S1" s="265"/>
      <c r="T1" s="265"/>
      <c r="U1" s="265"/>
      <c r="V1" s="265"/>
      <c r="W1" s="265"/>
      <c r="X1" s="265"/>
      <c r="Y1" s="265"/>
      <c r="Z1" s="265"/>
    </row>
    <row r="2" spans="1:75">
      <c r="A2" s="932" t="s">
        <v>159</v>
      </c>
      <c r="B2" s="932"/>
      <c r="C2" s="240"/>
      <c r="D2" s="933" t="s">
        <v>158</v>
      </c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265"/>
      <c r="T2" s="265"/>
      <c r="U2" s="265"/>
      <c r="V2" s="265"/>
      <c r="W2" s="265"/>
      <c r="X2" s="265"/>
      <c r="Y2" s="265"/>
      <c r="Z2" s="265"/>
      <c r="AA2" s="140" t="s">
        <v>299</v>
      </c>
      <c r="AB2" s="140">
        <v>8.34</v>
      </c>
      <c r="AC2" s="140"/>
      <c r="AD2" s="140">
        <v>2.85</v>
      </c>
      <c r="AE2" s="140"/>
      <c r="AF2" s="140">
        <v>8.3800000000000008</v>
      </c>
      <c r="AG2" s="140"/>
      <c r="AH2" s="140">
        <v>7.49</v>
      </c>
      <c r="AI2" s="140"/>
      <c r="AJ2" s="140">
        <v>3.33</v>
      </c>
      <c r="AK2" s="140"/>
      <c r="AL2" s="140">
        <v>6.64</v>
      </c>
      <c r="AM2" s="140"/>
      <c r="AN2" s="140">
        <v>3.67</v>
      </c>
      <c r="AO2" s="140"/>
      <c r="AP2" s="140">
        <v>5.0599999999999996</v>
      </c>
      <c r="AQ2" s="140"/>
      <c r="AR2" s="140">
        <v>5.94</v>
      </c>
      <c r="AS2" s="140"/>
      <c r="AT2" s="140">
        <v>6.85</v>
      </c>
      <c r="AU2" s="140"/>
      <c r="AV2" s="140">
        <v>7.45</v>
      </c>
      <c r="AW2" s="140"/>
      <c r="AX2" s="140">
        <v>5.13</v>
      </c>
      <c r="AY2" s="140"/>
      <c r="AZ2" s="140">
        <v>4.8600000000000003</v>
      </c>
      <c r="BA2" s="140"/>
      <c r="BB2" s="140">
        <v>5.79</v>
      </c>
      <c r="BC2" s="140"/>
      <c r="BD2" s="140">
        <v>5.3</v>
      </c>
      <c r="BE2" s="140"/>
      <c r="BF2" s="140">
        <v>3.47</v>
      </c>
      <c r="BG2" s="140"/>
      <c r="BH2" s="140">
        <v>9.42</v>
      </c>
      <c r="BI2" s="140"/>
      <c r="BJ2" s="140"/>
      <c r="BK2" s="140"/>
      <c r="BL2" s="140"/>
    </row>
    <row r="3" spans="1:75">
      <c r="A3" s="932" t="s">
        <v>160</v>
      </c>
      <c r="B3" s="932"/>
      <c r="C3" s="240"/>
      <c r="D3" s="933" t="s">
        <v>950</v>
      </c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265"/>
      <c r="T3" s="265"/>
      <c r="U3" s="265"/>
      <c r="V3" s="265"/>
      <c r="W3" s="265"/>
      <c r="X3" s="265"/>
      <c r="Y3" s="265"/>
      <c r="Z3" s="265"/>
      <c r="AA3" s="140" t="s">
        <v>297</v>
      </c>
      <c r="AB3" s="140">
        <v>48</v>
      </c>
      <c r="AC3" s="140"/>
      <c r="AD3" s="140">
        <v>23</v>
      </c>
      <c r="AE3" s="140"/>
      <c r="AF3" s="140">
        <v>80</v>
      </c>
      <c r="AG3" s="140"/>
      <c r="AH3" s="140">
        <v>105</v>
      </c>
      <c r="AI3" s="140"/>
      <c r="AJ3" s="140">
        <v>43</v>
      </c>
      <c r="AK3" s="140"/>
      <c r="AL3" s="140">
        <v>75</v>
      </c>
      <c r="AM3" s="140"/>
      <c r="AN3" s="140">
        <v>41</v>
      </c>
      <c r="AO3" s="140"/>
      <c r="AP3" s="140">
        <v>101</v>
      </c>
      <c r="AQ3" s="140"/>
      <c r="AR3" s="140">
        <v>8</v>
      </c>
      <c r="AS3" s="140"/>
      <c r="AT3" s="140">
        <v>33</v>
      </c>
      <c r="AU3" s="140"/>
      <c r="AV3" s="140">
        <v>53</v>
      </c>
      <c r="AW3" s="140"/>
      <c r="AX3" s="140">
        <v>52</v>
      </c>
      <c r="AY3" s="140"/>
      <c r="AZ3" s="140">
        <v>76</v>
      </c>
      <c r="BA3" s="140"/>
      <c r="BB3" s="140">
        <v>82</v>
      </c>
      <c r="BC3" s="140"/>
      <c r="BD3" s="140">
        <v>104</v>
      </c>
      <c r="BE3" s="140"/>
      <c r="BF3" s="140">
        <v>147</v>
      </c>
      <c r="BG3" s="140"/>
      <c r="BH3" s="140">
        <v>54</v>
      </c>
      <c r="BI3" s="140"/>
      <c r="BJ3" s="140"/>
      <c r="BK3" s="140"/>
      <c r="BL3" s="140"/>
    </row>
    <row r="4" spans="1:75">
      <c r="A4" s="932" t="s">
        <v>173</v>
      </c>
      <c r="B4" s="932"/>
      <c r="C4" s="240"/>
      <c r="D4" s="933" t="s">
        <v>91</v>
      </c>
      <c r="E4" s="933"/>
      <c r="F4" s="933"/>
      <c r="G4" s="933"/>
      <c r="H4" s="933"/>
      <c r="I4" s="933"/>
      <c r="J4" s="933"/>
      <c r="K4" s="933"/>
      <c r="L4" s="933"/>
      <c r="M4" s="933"/>
      <c r="N4" s="933"/>
      <c r="O4" s="933"/>
      <c r="P4" s="933"/>
      <c r="Q4" s="933"/>
      <c r="R4" s="933"/>
      <c r="S4" s="265"/>
      <c r="T4" s="265"/>
      <c r="U4" s="265"/>
      <c r="V4" s="265"/>
      <c r="W4" s="265"/>
      <c r="X4" s="265"/>
      <c r="Y4" s="265"/>
      <c r="Z4" s="265"/>
      <c r="AA4" s="140" t="s">
        <v>298</v>
      </c>
      <c r="AB4" s="141">
        <f>AB3/1125*100</f>
        <v>4.2666666666666666</v>
      </c>
      <c r="AC4" s="141">
        <f t="shared" ref="AC4:BH4" si="0">AC3/1125*100</f>
        <v>0</v>
      </c>
      <c r="AD4" s="141">
        <f t="shared" si="0"/>
        <v>2.0444444444444447</v>
      </c>
      <c r="AE4" s="141">
        <f t="shared" si="0"/>
        <v>0</v>
      </c>
      <c r="AF4" s="141">
        <f t="shared" si="0"/>
        <v>7.1111111111111107</v>
      </c>
      <c r="AG4" s="141">
        <f t="shared" si="0"/>
        <v>0</v>
      </c>
      <c r="AH4" s="141">
        <f t="shared" si="0"/>
        <v>9.3333333333333339</v>
      </c>
      <c r="AI4" s="141">
        <f t="shared" si="0"/>
        <v>0</v>
      </c>
      <c r="AJ4" s="141">
        <f t="shared" si="0"/>
        <v>3.822222222222222</v>
      </c>
      <c r="AK4" s="141">
        <f t="shared" si="0"/>
        <v>0</v>
      </c>
      <c r="AL4" s="141">
        <f t="shared" si="0"/>
        <v>6.666666666666667</v>
      </c>
      <c r="AM4" s="141">
        <f t="shared" si="0"/>
        <v>0</v>
      </c>
      <c r="AN4" s="141">
        <f t="shared" si="0"/>
        <v>3.6444444444444448</v>
      </c>
      <c r="AO4" s="141">
        <f t="shared" si="0"/>
        <v>0</v>
      </c>
      <c r="AP4" s="141">
        <f t="shared" si="0"/>
        <v>8.9777777777777779</v>
      </c>
      <c r="AQ4" s="141">
        <f t="shared" si="0"/>
        <v>0</v>
      </c>
      <c r="AR4" s="141">
        <f t="shared" si="0"/>
        <v>0.71111111111111114</v>
      </c>
      <c r="AS4" s="141">
        <f t="shared" si="0"/>
        <v>0</v>
      </c>
      <c r="AT4" s="141">
        <f t="shared" si="0"/>
        <v>2.9333333333333331</v>
      </c>
      <c r="AU4" s="141">
        <f t="shared" si="0"/>
        <v>0</v>
      </c>
      <c r="AV4" s="141">
        <f t="shared" si="0"/>
        <v>4.7111111111111112</v>
      </c>
      <c r="AW4" s="141">
        <f t="shared" si="0"/>
        <v>0</v>
      </c>
      <c r="AX4" s="141">
        <f t="shared" si="0"/>
        <v>4.6222222222222218</v>
      </c>
      <c r="AY4" s="141">
        <f t="shared" si="0"/>
        <v>0</v>
      </c>
      <c r="AZ4" s="141">
        <f t="shared" si="0"/>
        <v>6.7555555555555546</v>
      </c>
      <c r="BA4" s="141">
        <f t="shared" si="0"/>
        <v>0</v>
      </c>
      <c r="BB4" s="141">
        <f t="shared" si="0"/>
        <v>7.2888888888888896</v>
      </c>
      <c r="BC4" s="141">
        <f t="shared" si="0"/>
        <v>0</v>
      </c>
      <c r="BD4" s="141">
        <f t="shared" si="0"/>
        <v>9.2444444444444436</v>
      </c>
      <c r="BE4" s="141">
        <f t="shared" si="0"/>
        <v>0</v>
      </c>
      <c r="BF4" s="141">
        <f t="shared" si="0"/>
        <v>13.066666666666665</v>
      </c>
      <c r="BG4" s="141">
        <f t="shared" si="0"/>
        <v>0</v>
      </c>
      <c r="BH4" s="141">
        <f t="shared" si="0"/>
        <v>4.8</v>
      </c>
      <c r="BI4" s="140"/>
      <c r="BJ4" s="140"/>
      <c r="BK4" s="140"/>
      <c r="BL4" s="140"/>
    </row>
    <row r="5" spans="1:75">
      <c r="A5" s="932" t="s">
        <v>175</v>
      </c>
      <c r="B5" s="932"/>
      <c r="C5" s="240"/>
      <c r="D5" s="933" t="s">
        <v>174</v>
      </c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  <c r="R5" s="933"/>
      <c r="S5" s="265"/>
      <c r="T5" s="265"/>
      <c r="U5" s="265"/>
      <c r="V5" s="265"/>
      <c r="W5" s="265"/>
      <c r="X5" s="265"/>
      <c r="Y5" s="265"/>
      <c r="Z5" s="265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</row>
    <row r="6" spans="1:75" ht="21" customHeight="1">
      <c r="A6" s="952"/>
      <c r="B6" s="953"/>
      <c r="C6" s="953"/>
      <c r="D6" s="953"/>
      <c r="E6" s="954"/>
      <c r="F6" s="304"/>
      <c r="G6" s="952" t="s">
        <v>21</v>
      </c>
      <c r="H6" s="954"/>
      <c r="I6" s="908" t="s">
        <v>156</v>
      </c>
      <c r="J6" s="909"/>
      <c r="K6" s="909"/>
      <c r="L6" s="909"/>
      <c r="M6" s="909"/>
      <c r="N6" s="909"/>
      <c r="O6" s="909"/>
      <c r="P6" s="909"/>
      <c r="Q6" s="909"/>
      <c r="R6" s="910"/>
      <c r="S6" s="940" t="s">
        <v>60</v>
      </c>
      <c r="T6" s="941"/>
      <c r="U6" s="941"/>
      <c r="V6" s="942"/>
      <c r="W6" s="946" t="s">
        <v>6</v>
      </c>
      <c r="X6" s="947"/>
      <c r="Y6" s="947"/>
      <c r="Z6" s="948"/>
      <c r="AA6" s="918" t="s">
        <v>184</v>
      </c>
      <c r="AB6" s="918"/>
      <c r="AC6" s="918" t="s">
        <v>185</v>
      </c>
      <c r="AD6" s="918"/>
      <c r="AE6" s="918" t="s">
        <v>186</v>
      </c>
      <c r="AF6" s="918"/>
      <c r="AG6" s="918" t="s">
        <v>187</v>
      </c>
      <c r="AH6" s="918"/>
      <c r="AI6" s="918" t="s">
        <v>188</v>
      </c>
      <c r="AJ6" s="918"/>
      <c r="AK6" s="918" t="s">
        <v>189</v>
      </c>
      <c r="AL6" s="918"/>
      <c r="AM6" s="918" t="s">
        <v>190</v>
      </c>
      <c r="AN6" s="918"/>
      <c r="AO6" s="918" t="s">
        <v>191</v>
      </c>
      <c r="AP6" s="918"/>
      <c r="AQ6" s="918" t="s">
        <v>192</v>
      </c>
      <c r="AR6" s="918"/>
      <c r="AS6" s="918" t="s">
        <v>193</v>
      </c>
      <c r="AT6" s="918"/>
      <c r="AU6" s="918" t="s">
        <v>194</v>
      </c>
      <c r="AV6" s="918"/>
      <c r="AW6" s="918" t="s">
        <v>195</v>
      </c>
      <c r="AX6" s="918"/>
      <c r="AY6" s="918" t="s">
        <v>196</v>
      </c>
      <c r="AZ6" s="918"/>
      <c r="BA6" s="918" t="s">
        <v>197</v>
      </c>
      <c r="BB6" s="918"/>
      <c r="BC6" s="918" t="s">
        <v>198</v>
      </c>
      <c r="BD6" s="918"/>
      <c r="BE6" s="918" t="s">
        <v>199</v>
      </c>
      <c r="BF6" s="918"/>
      <c r="BG6" s="918" t="s">
        <v>200</v>
      </c>
      <c r="BH6" s="918"/>
      <c r="BI6" s="918" t="s">
        <v>201</v>
      </c>
      <c r="BJ6" s="918"/>
      <c r="BK6" s="918" t="s">
        <v>17</v>
      </c>
      <c r="BL6" s="918"/>
      <c r="BM6" s="196"/>
    </row>
    <row r="7" spans="1:75">
      <c r="A7" s="936" t="s">
        <v>13</v>
      </c>
      <c r="B7" s="919" t="s">
        <v>56</v>
      </c>
      <c r="C7" s="305"/>
      <c r="D7" s="936" t="s">
        <v>12</v>
      </c>
      <c r="E7" s="936" t="s">
        <v>14</v>
      </c>
      <c r="F7" s="919" t="s">
        <v>35</v>
      </c>
      <c r="G7" s="919" t="s">
        <v>23</v>
      </c>
      <c r="H7" s="938" t="s">
        <v>214</v>
      </c>
      <c r="I7" s="23" t="s">
        <v>204</v>
      </c>
      <c r="J7" s="23" t="s">
        <v>205</v>
      </c>
      <c r="K7" s="23" t="s">
        <v>206</v>
      </c>
      <c r="L7" s="23" t="s">
        <v>207</v>
      </c>
      <c r="M7" s="23" t="s">
        <v>208</v>
      </c>
      <c r="N7" s="23" t="s">
        <v>209</v>
      </c>
      <c r="O7" s="568" t="s">
        <v>984</v>
      </c>
      <c r="P7" s="23" t="s">
        <v>211</v>
      </c>
      <c r="Q7" s="23" t="s">
        <v>212</v>
      </c>
      <c r="R7" s="23" t="s">
        <v>818</v>
      </c>
      <c r="S7" s="943"/>
      <c r="T7" s="944"/>
      <c r="U7" s="944"/>
      <c r="V7" s="945"/>
      <c r="W7" s="949"/>
      <c r="X7" s="950"/>
      <c r="Y7" s="950"/>
      <c r="Z7" s="951"/>
      <c r="AA7" s="918"/>
      <c r="AB7" s="918"/>
      <c r="AC7" s="918" t="s">
        <v>43</v>
      </c>
      <c r="AD7" s="918"/>
      <c r="AE7" s="918" t="s">
        <v>44</v>
      </c>
      <c r="AF7" s="918"/>
      <c r="AG7" s="918" t="s">
        <v>45</v>
      </c>
      <c r="AH7" s="918"/>
      <c r="AI7" s="918" t="s">
        <v>46</v>
      </c>
      <c r="AJ7" s="918"/>
      <c r="AK7" s="918" t="s">
        <v>47</v>
      </c>
      <c r="AL7" s="918"/>
      <c r="AM7" s="918" t="s">
        <v>48</v>
      </c>
      <c r="AN7" s="918"/>
      <c r="AO7" s="918" t="s">
        <v>49</v>
      </c>
      <c r="AP7" s="918"/>
      <c r="AQ7" s="918" t="s">
        <v>50</v>
      </c>
      <c r="AR7" s="918"/>
      <c r="AS7" s="918" t="s">
        <v>51</v>
      </c>
      <c r="AT7" s="918"/>
      <c r="AU7" s="918" t="s">
        <v>52</v>
      </c>
      <c r="AV7" s="918"/>
      <c r="AW7" s="918" t="s">
        <v>53</v>
      </c>
      <c r="AX7" s="918"/>
      <c r="AY7" s="918" t="s">
        <v>54</v>
      </c>
      <c r="AZ7" s="918"/>
      <c r="BA7" s="918" t="s">
        <v>55</v>
      </c>
      <c r="BB7" s="918"/>
      <c r="BC7" s="918" t="s">
        <v>40</v>
      </c>
      <c r="BD7" s="918"/>
      <c r="BE7" s="918" t="s">
        <v>37</v>
      </c>
      <c r="BF7" s="918"/>
      <c r="BG7" s="918"/>
      <c r="BH7" s="918"/>
      <c r="BI7" s="918"/>
      <c r="BJ7" s="918"/>
      <c r="BK7" s="918"/>
      <c r="BL7" s="918"/>
      <c r="BM7" s="191"/>
      <c r="BO7" s="892" t="s">
        <v>234</v>
      </c>
      <c r="BP7" s="892"/>
      <c r="BQ7" s="892"/>
      <c r="BR7" s="892"/>
      <c r="BS7" s="892"/>
      <c r="BT7" s="892" t="s">
        <v>235</v>
      </c>
      <c r="BU7" s="892"/>
      <c r="BV7" s="892"/>
      <c r="BW7" s="886" t="s">
        <v>17</v>
      </c>
    </row>
    <row r="8" spans="1:75" ht="47.25">
      <c r="A8" s="937"/>
      <c r="B8" s="920"/>
      <c r="C8" s="306" t="s">
        <v>20</v>
      </c>
      <c r="D8" s="937"/>
      <c r="E8" s="937"/>
      <c r="F8" s="920"/>
      <c r="G8" s="920"/>
      <c r="H8" s="939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213" t="s">
        <v>7</v>
      </c>
      <c r="T8" s="213" t="s">
        <v>8</v>
      </c>
      <c r="U8" s="213" t="s">
        <v>9</v>
      </c>
      <c r="V8" s="213" t="s">
        <v>10</v>
      </c>
      <c r="W8" s="213" t="s">
        <v>7</v>
      </c>
      <c r="X8" s="213" t="s">
        <v>8</v>
      </c>
      <c r="Y8" s="213" t="s">
        <v>9</v>
      </c>
      <c r="Z8" s="213" t="s">
        <v>10</v>
      </c>
      <c r="AA8" s="245" t="s">
        <v>14</v>
      </c>
      <c r="AB8" s="307" t="s">
        <v>15</v>
      </c>
      <c r="AC8" s="245" t="s">
        <v>14</v>
      </c>
      <c r="AD8" s="245" t="s">
        <v>15</v>
      </c>
      <c r="AE8" s="245" t="s">
        <v>14</v>
      </c>
      <c r="AF8" s="245" t="s">
        <v>15</v>
      </c>
      <c r="AG8" s="245" t="s">
        <v>14</v>
      </c>
      <c r="AH8" s="245" t="s">
        <v>15</v>
      </c>
      <c r="AI8" s="245" t="s">
        <v>14</v>
      </c>
      <c r="AJ8" s="245" t="s">
        <v>15</v>
      </c>
      <c r="AK8" s="245" t="s">
        <v>14</v>
      </c>
      <c r="AL8" s="245" t="s">
        <v>15</v>
      </c>
      <c r="AM8" s="245" t="s">
        <v>14</v>
      </c>
      <c r="AN8" s="245" t="s">
        <v>15</v>
      </c>
      <c r="AO8" s="245" t="s">
        <v>14</v>
      </c>
      <c r="AP8" s="245" t="s">
        <v>15</v>
      </c>
      <c r="AQ8" s="245" t="s">
        <v>14</v>
      </c>
      <c r="AR8" s="245" t="s">
        <v>15</v>
      </c>
      <c r="AS8" s="245" t="s">
        <v>14</v>
      </c>
      <c r="AT8" s="245" t="s">
        <v>15</v>
      </c>
      <c r="AU8" s="245" t="s">
        <v>14</v>
      </c>
      <c r="AV8" s="245" t="s">
        <v>15</v>
      </c>
      <c r="AW8" s="245" t="s">
        <v>14</v>
      </c>
      <c r="AX8" s="245" t="s">
        <v>15</v>
      </c>
      <c r="AY8" s="245" t="s">
        <v>14</v>
      </c>
      <c r="AZ8" s="245" t="s">
        <v>15</v>
      </c>
      <c r="BA8" s="245" t="s">
        <v>14</v>
      </c>
      <c r="BB8" s="245" t="s">
        <v>15</v>
      </c>
      <c r="BC8" s="245" t="s">
        <v>14</v>
      </c>
      <c r="BD8" s="245" t="s">
        <v>15</v>
      </c>
      <c r="BE8" s="245" t="s">
        <v>14</v>
      </c>
      <c r="BF8" s="245" t="s">
        <v>15</v>
      </c>
      <c r="BG8" s="245" t="s">
        <v>14</v>
      </c>
      <c r="BH8" s="245" t="s">
        <v>15</v>
      </c>
      <c r="BI8" s="245" t="s">
        <v>14</v>
      </c>
      <c r="BJ8" s="245" t="s">
        <v>15</v>
      </c>
      <c r="BK8" s="245" t="s">
        <v>14</v>
      </c>
      <c r="BL8" s="245" t="s">
        <v>15</v>
      </c>
      <c r="BM8" s="191"/>
      <c r="BO8" s="155" t="s">
        <v>225</v>
      </c>
      <c r="BP8" s="156" t="s">
        <v>226</v>
      </c>
      <c r="BQ8" s="156" t="s">
        <v>227</v>
      </c>
      <c r="BR8" s="157" t="s">
        <v>228</v>
      </c>
      <c r="BS8" s="156" t="s">
        <v>229</v>
      </c>
      <c r="BT8" s="156" t="s">
        <v>230</v>
      </c>
      <c r="BU8" s="156" t="s">
        <v>231</v>
      </c>
      <c r="BV8" s="156" t="s">
        <v>232</v>
      </c>
      <c r="BW8" s="886"/>
    </row>
    <row r="9" spans="1:75" ht="21" customHeight="1">
      <c r="A9" s="919" t="s">
        <v>91</v>
      </c>
      <c r="B9" s="308">
        <v>23000</v>
      </c>
      <c r="C9" s="308"/>
      <c r="D9" s="158" t="s">
        <v>327</v>
      </c>
      <c r="E9" s="159"/>
      <c r="F9" s="159"/>
      <c r="G9" s="257"/>
      <c r="H9" s="232"/>
      <c r="I9" s="232"/>
      <c r="J9" s="232"/>
      <c r="K9" s="232"/>
      <c r="L9" s="232"/>
      <c r="M9" s="232"/>
      <c r="N9" s="232"/>
      <c r="O9" s="232"/>
      <c r="P9" s="246"/>
      <c r="Q9" s="246"/>
      <c r="R9" s="246"/>
      <c r="S9" s="213"/>
      <c r="T9" s="213"/>
      <c r="U9" s="213"/>
      <c r="V9" s="213"/>
      <c r="W9" s="213"/>
      <c r="X9" s="213"/>
      <c r="Y9" s="213"/>
      <c r="Z9" s="213"/>
      <c r="AA9" s="245"/>
      <c r="AB9" s="307"/>
      <c r="AC9" s="245"/>
      <c r="AD9" s="307"/>
      <c r="AE9" s="245"/>
      <c r="AF9" s="307"/>
      <c r="AG9" s="245"/>
      <c r="AH9" s="307"/>
      <c r="AI9" s="245"/>
      <c r="AJ9" s="307"/>
      <c r="AK9" s="245"/>
      <c r="AL9" s="307"/>
      <c r="AM9" s="245"/>
      <c r="AN9" s="307"/>
      <c r="AO9" s="245"/>
      <c r="AP9" s="307"/>
      <c r="AQ9" s="245"/>
      <c r="AR9" s="307"/>
      <c r="AS9" s="245"/>
      <c r="AT9" s="307"/>
      <c r="AU9" s="245"/>
      <c r="AV9" s="307"/>
      <c r="AW9" s="245"/>
      <c r="AX9" s="307"/>
      <c r="AY9" s="245"/>
      <c r="AZ9" s="307"/>
      <c r="BA9" s="245"/>
      <c r="BB9" s="307"/>
      <c r="BC9" s="245"/>
      <c r="BD9" s="307"/>
      <c r="BE9" s="245"/>
      <c r="BF9" s="307"/>
      <c r="BG9" s="245"/>
      <c r="BH9" s="307"/>
      <c r="BI9" s="245"/>
      <c r="BJ9" s="307"/>
      <c r="BK9" s="245"/>
      <c r="BL9" s="307"/>
      <c r="BM9" s="159"/>
      <c r="BO9" s="257"/>
      <c r="BP9" s="257"/>
      <c r="BQ9" s="257"/>
      <c r="BR9" s="257"/>
      <c r="BS9" s="257"/>
      <c r="BT9" s="257"/>
      <c r="BU9" s="257"/>
      <c r="BV9" s="257"/>
      <c r="BW9" s="257"/>
    </row>
    <row r="10" spans="1:75">
      <c r="A10" s="935"/>
      <c r="B10" s="196">
        <v>23100</v>
      </c>
      <c r="C10" s="196"/>
      <c r="D10" s="158" t="s">
        <v>723</v>
      </c>
      <c r="E10" s="159"/>
      <c r="F10" s="159"/>
      <c r="G10" s="257"/>
      <c r="H10" s="232"/>
      <c r="I10" s="232"/>
      <c r="J10" s="232"/>
      <c r="K10" s="232"/>
      <c r="L10" s="232"/>
      <c r="M10" s="232"/>
      <c r="N10" s="232"/>
      <c r="O10" s="232"/>
      <c r="P10" s="246"/>
      <c r="Q10" s="246"/>
      <c r="R10" s="246"/>
      <c r="S10" s="210"/>
      <c r="T10" s="210"/>
      <c r="U10" s="210"/>
      <c r="V10" s="210"/>
      <c r="W10" s="210"/>
      <c r="X10" s="210"/>
      <c r="Y10" s="210"/>
      <c r="Z10" s="210"/>
      <c r="AA10" s="245"/>
      <c r="AB10" s="307"/>
      <c r="AC10" s="245"/>
      <c r="AD10" s="307"/>
      <c r="AE10" s="245"/>
      <c r="AF10" s="307"/>
      <c r="AG10" s="245"/>
      <c r="AH10" s="307"/>
      <c r="AI10" s="245"/>
      <c r="AJ10" s="307"/>
      <c r="AK10" s="245"/>
      <c r="AL10" s="307"/>
      <c r="AM10" s="245"/>
      <c r="AN10" s="307"/>
      <c r="AO10" s="245"/>
      <c r="AP10" s="307"/>
      <c r="AQ10" s="245"/>
      <c r="AR10" s="307"/>
      <c r="AS10" s="245"/>
      <c r="AT10" s="307"/>
      <c r="AU10" s="245"/>
      <c r="AV10" s="307"/>
      <c r="AW10" s="245"/>
      <c r="AX10" s="307"/>
      <c r="AY10" s="245"/>
      <c r="AZ10" s="307"/>
      <c r="BA10" s="245"/>
      <c r="BB10" s="307"/>
      <c r="BC10" s="245"/>
      <c r="BD10" s="307"/>
      <c r="BE10" s="245"/>
      <c r="BF10" s="307"/>
      <c r="BG10" s="245"/>
      <c r="BH10" s="307"/>
      <c r="BI10" s="245"/>
      <c r="BJ10" s="307"/>
      <c r="BK10" s="245"/>
      <c r="BL10" s="307"/>
      <c r="BM10" s="159"/>
      <c r="BO10" s="254"/>
      <c r="BP10" s="254"/>
      <c r="BQ10" s="254"/>
      <c r="BR10" s="254"/>
      <c r="BS10" s="254"/>
      <c r="BT10" s="254"/>
      <c r="BU10" s="254"/>
      <c r="BV10" s="254"/>
      <c r="BW10" s="255">
        <f>BS10+BV10</f>
        <v>0</v>
      </c>
    </row>
    <row r="11" spans="1:75" s="623" customFormat="1" ht="31.5" customHeight="1">
      <c r="A11" s="935"/>
      <c r="B11" s="637"/>
      <c r="C11" s="638" t="s">
        <v>894</v>
      </c>
      <c r="D11" s="639" t="s">
        <v>724</v>
      </c>
      <c r="E11" s="536" t="s">
        <v>83</v>
      </c>
      <c r="F11" s="536" t="s">
        <v>440</v>
      </c>
      <c r="G11" s="625">
        <f>BK11</f>
        <v>0</v>
      </c>
      <c r="H11" s="621">
        <f>F11*G11</f>
        <v>0</v>
      </c>
      <c r="I11" s="621">
        <f>H11*0.2</f>
        <v>0</v>
      </c>
      <c r="J11" s="621">
        <f>H11*0.8</f>
        <v>0</v>
      </c>
      <c r="K11" s="621"/>
      <c r="L11" s="621"/>
      <c r="M11" s="621"/>
      <c r="N11" s="621"/>
      <c r="O11" s="621"/>
      <c r="P11" s="546"/>
      <c r="Q11" s="546"/>
      <c r="R11" s="546"/>
      <c r="S11" s="532">
        <f>G11*0.25</f>
        <v>0</v>
      </c>
      <c r="T11" s="640">
        <f>G11*0.25</f>
        <v>0</v>
      </c>
      <c r="U11" s="532">
        <f>G11*0.25</f>
        <v>0</v>
      </c>
      <c r="V11" s="532">
        <f>G11*0.25</f>
        <v>0</v>
      </c>
      <c r="W11" s="641">
        <f>S11*F11</f>
        <v>0</v>
      </c>
      <c r="X11" s="641">
        <f>T11*F11</f>
        <v>0</v>
      </c>
      <c r="Y11" s="641">
        <f>U11*F11</f>
        <v>0</v>
      </c>
      <c r="Z11" s="641">
        <f>V11*F11</f>
        <v>0</v>
      </c>
      <c r="AA11" s="532">
        <v>0</v>
      </c>
      <c r="AB11" s="546">
        <f t="shared" ref="AB11:AB59" si="1">AA11*F11</f>
        <v>0</v>
      </c>
      <c r="AC11" s="532">
        <v>0</v>
      </c>
      <c r="AD11" s="546">
        <f t="shared" ref="AD11:AD59" si="2">AC11*F11</f>
        <v>0</v>
      </c>
      <c r="AE11" s="532">
        <v>0</v>
      </c>
      <c r="AF11" s="546">
        <f t="shared" ref="AF11:AF59" si="3">AE11*F11</f>
        <v>0</v>
      </c>
      <c r="AG11" s="532">
        <v>0</v>
      </c>
      <c r="AH11" s="546">
        <f t="shared" ref="AH11:AH60" si="4">AG11*F11</f>
        <v>0</v>
      </c>
      <c r="AI11" s="532">
        <v>0</v>
      </c>
      <c r="AJ11" s="546">
        <f t="shared" ref="AJ11:AJ59" si="5">AI11*F11</f>
        <v>0</v>
      </c>
      <c r="AK11" s="532">
        <v>0</v>
      </c>
      <c r="AL11" s="546">
        <f t="shared" ref="AL11:AL59" si="6">AK11*F11</f>
        <v>0</v>
      </c>
      <c r="AM11" s="532">
        <v>0</v>
      </c>
      <c r="AN11" s="546">
        <f>AM11*F11</f>
        <v>0</v>
      </c>
      <c r="AO11" s="532">
        <v>0</v>
      </c>
      <c r="AP11" s="546">
        <f t="shared" ref="AP11:AP60" si="7">AO11*F11</f>
        <v>0</v>
      </c>
      <c r="AQ11" s="532">
        <v>0</v>
      </c>
      <c r="AR11" s="546">
        <f>AQ11*F11</f>
        <v>0</v>
      </c>
      <c r="AS11" s="532">
        <v>0</v>
      </c>
      <c r="AT11" s="546">
        <f>AS11*F11</f>
        <v>0</v>
      </c>
      <c r="AU11" s="532">
        <v>0</v>
      </c>
      <c r="AV11" s="546">
        <f t="shared" ref="AV11:AV53" si="8">AU11*F11</f>
        <v>0</v>
      </c>
      <c r="AW11" s="532">
        <v>0</v>
      </c>
      <c r="AX11" s="546">
        <f t="shared" ref="AX11:AX53" si="9">AW11*F11</f>
        <v>0</v>
      </c>
      <c r="AY11" s="532">
        <v>0</v>
      </c>
      <c r="AZ11" s="546">
        <f t="shared" ref="AZ11:AZ55" si="10">AY11*F11</f>
        <v>0</v>
      </c>
      <c r="BA11" s="532">
        <v>0</v>
      </c>
      <c r="BB11" s="546">
        <f>BA11*F11</f>
        <v>0</v>
      </c>
      <c r="BC11" s="532">
        <v>0</v>
      </c>
      <c r="BD11" s="546">
        <f t="shared" ref="BD11:BD56" si="11">BC11*F11</f>
        <v>0</v>
      </c>
      <c r="BE11" s="532">
        <v>0</v>
      </c>
      <c r="BF11" s="546">
        <f t="shared" ref="BF11:BF56" si="12">BE11*F11</f>
        <v>0</v>
      </c>
      <c r="BG11" s="532">
        <v>0</v>
      </c>
      <c r="BH11" s="546">
        <f t="shared" ref="BH11:BH53" si="13">BG11*F11</f>
        <v>0</v>
      </c>
      <c r="BI11" s="532"/>
      <c r="BJ11" s="546">
        <f t="shared" ref="BJ11:BJ41" si="14">BI11*F11</f>
        <v>0</v>
      </c>
      <c r="BK11" s="625">
        <f>BI11+BG11+BE11+BC11+BA11+AY11+AW11+AU11+AS11+AQ11+AO11+AM11+AK11+AI11+AG11+AE11+AC11+AA11</f>
        <v>0</v>
      </c>
      <c r="BL11" s="625">
        <f>BJ11+BH11+BF11+BD11+BB11+AZ11+AX11+AV11+AT11+AR11+AP11+AN11+AL11+AJ11+AH11+AF11+AD11+AB11</f>
        <v>0</v>
      </c>
      <c r="BM11" s="536" t="s">
        <v>216</v>
      </c>
      <c r="BO11" s="624"/>
      <c r="BP11" s="624">
        <f>H11</f>
        <v>0</v>
      </c>
      <c r="BQ11" s="624"/>
      <c r="BR11" s="624"/>
      <c r="BS11" s="624">
        <f>BO11+BP11+BQ11+BR11</f>
        <v>0</v>
      </c>
      <c r="BT11" s="624"/>
      <c r="BU11" s="624"/>
      <c r="BV11" s="624">
        <f>BT11+BU11</f>
        <v>0</v>
      </c>
      <c r="BW11" s="625">
        <f t="shared" ref="BW11:BW60" si="15">BS11+BV11</f>
        <v>0</v>
      </c>
    </row>
    <row r="12" spans="1:75" ht="31.5" customHeight="1">
      <c r="A12" s="935"/>
      <c r="B12" s="308"/>
      <c r="C12" s="473" t="s">
        <v>895</v>
      </c>
      <c r="D12" s="134" t="s">
        <v>986</v>
      </c>
      <c r="E12" s="159" t="s">
        <v>83</v>
      </c>
      <c r="F12" s="584">
        <v>400</v>
      </c>
      <c r="G12" s="282">
        <f>BK12</f>
        <v>900</v>
      </c>
      <c r="H12" s="278">
        <f>BL12</f>
        <v>360000</v>
      </c>
      <c r="I12" s="229">
        <f>H12*0.2</f>
        <v>72000</v>
      </c>
      <c r="J12" s="229">
        <f>H12*0.8</f>
        <v>288000</v>
      </c>
      <c r="K12" s="229"/>
      <c r="L12" s="229"/>
      <c r="M12" s="229"/>
      <c r="N12" s="229"/>
      <c r="O12" s="229"/>
      <c r="P12" s="260"/>
      <c r="Q12" s="260"/>
      <c r="R12" s="260"/>
      <c r="S12" s="210">
        <f>G12*0.25</f>
        <v>225</v>
      </c>
      <c r="T12" s="309">
        <f>G12*0.25</f>
        <v>225</v>
      </c>
      <c r="U12" s="310">
        <f>G12*0.25</f>
        <v>225</v>
      </c>
      <c r="V12" s="210">
        <f>G12*0.25</f>
        <v>225</v>
      </c>
      <c r="W12" s="310">
        <f>S12*F12</f>
        <v>90000</v>
      </c>
      <c r="X12" s="310">
        <f>T12*F12</f>
        <v>90000</v>
      </c>
      <c r="Y12" s="310">
        <f>U12*F12</f>
        <v>90000</v>
      </c>
      <c r="Z12" s="310">
        <f>V12*F12</f>
        <v>90000</v>
      </c>
      <c r="AA12" s="257">
        <f>4*2*5</f>
        <v>40</v>
      </c>
      <c r="AB12" s="262">
        <f t="shared" si="1"/>
        <v>16000</v>
      </c>
      <c r="AC12" s="257">
        <f>3*2*5</f>
        <v>30</v>
      </c>
      <c r="AD12" s="262">
        <f t="shared" si="2"/>
        <v>12000</v>
      </c>
      <c r="AE12" s="257">
        <f>4*2*5</f>
        <v>40</v>
      </c>
      <c r="AF12" s="262">
        <f t="shared" si="3"/>
        <v>16000</v>
      </c>
      <c r="AG12" s="257">
        <f>5*2*5</f>
        <v>50</v>
      </c>
      <c r="AH12" s="262">
        <f t="shared" si="4"/>
        <v>20000</v>
      </c>
      <c r="AI12" s="257">
        <v>20</v>
      </c>
      <c r="AJ12" s="262">
        <f t="shared" si="5"/>
        <v>8000</v>
      </c>
      <c r="AK12" s="257">
        <f>5*2*5</f>
        <v>50</v>
      </c>
      <c r="AL12" s="262">
        <f t="shared" si="6"/>
        <v>20000</v>
      </c>
      <c r="AM12" s="257">
        <f>5*2*5</f>
        <v>50</v>
      </c>
      <c r="AN12" s="262">
        <f>AM12*F12</f>
        <v>20000</v>
      </c>
      <c r="AO12" s="257">
        <f>8*2*5</f>
        <v>80</v>
      </c>
      <c r="AP12" s="262">
        <f t="shared" si="7"/>
        <v>32000</v>
      </c>
      <c r="AQ12" s="257">
        <f>2*2*5</f>
        <v>20</v>
      </c>
      <c r="AR12" s="276">
        <f>AQ12*F12</f>
        <v>8000</v>
      </c>
      <c r="AS12" s="257">
        <f>3*2*5</f>
        <v>30</v>
      </c>
      <c r="AT12" s="262">
        <f>AS12*F12</f>
        <v>12000</v>
      </c>
      <c r="AU12" s="257">
        <v>50</v>
      </c>
      <c r="AV12" s="262">
        <f t="shared" si="8"/>
        <v>20000</v>
      </c>
      <c r="AW12" s="257">
        <f>5*2*5</f>
        <v>50</v>
      </c>
      <c r="AX12" s="262">
        <f t="shared" si="9"/>
        <v>20000</v>
      </c>
      <c r="AY12" s="257">
        <f>9*2*5</f>
        <v>90</v>
      </c>
      <c r="AZ12" s="262">
        <f t="shared" si="10"/>
        <v>36000</v>
      </c>
      <c r="BA12" s="257">
        <f>9*2*5</f>
        <v>90</v>
      </c>
      <c r="BB12" s="276">
        <f>BA12*F12</f>
        <v>36000</v>
      </c>
      <c r="BC12" s="257">
        <f>3*2*5</f>
        <v>30</v>
      </c>
      <c r="BD12" s="262">
        <f t="shared" si="11"/>
        <v>12000</v>
      </c>
      <c r="BE12" s="257">
        <f>12*2*5</f>
        <v>120</v>
      </c>
      <c r="BF12" s="262">
        <f t="shared" si="12"/>
        <v>48000</v>
      </c>
      <c r="BG12" s="257">
        <f>6*2*5</f>
        <v>60</v>
      </c>
      <c r="BH12" s="262">
        <f t="shared" si="13"/>
        <v>24000</v>
      </c>
      <c r="BI12" s="257">
        <v>0</v>
      </c>
      <c r="BJ12" s="262">
        <f t="shared" si="14"/>
        <v>0</v>
      </c>
      <c r="BK12" s="255">
        <f>BI12+BG12+BE12+BC12+BA12+AY12+AW12+AU12+AS12+AQ12+AO12+AM12+AK12+AI12+AG12+AE12+AC12+AA12</f>
        <v>900</v>
      </c>
      <c r="BL12" s="255">
        <f>BJ12+BH12+BF12+BD12+BB12+AZ12+AX12+AV12+AT12+AR12+AP12+AN12+AL12+AJ12+AH12+AF12+AD12+AB12</f>
        <v>360000</v>
      </c>
      <c r="BM12" s="159" t="s">
        <v>216</v>
      </c>
      <c r="BO12" s="254"/>
      <c r="BP12" s="254">
        <f>H12</f>
        <v>360000</v>
      </c>
      <c r="BQ12" s="254"/>
      <c r="BR12" s="254"/>
      <c r="BS12" s="254">
        <f>BO12+BP12+BQ12+BR12</f>
        <v>360000</v>
      </c>
      <c r="BT12" s="254"/>
      <c r="BU12" s="254"/>
      <c r="BV12" s="254">
        <f>BT12+BU12</f>
        <v>0</v>
      </c>
      <c r="BW12" s="255">
        <f t="shared" si="15"/>
        <v>360000</v>
      </c>
    </row>
    <row r="13" spans="1:75" s="265" customFormat="1">
      <c r="A13" s="935"/>
      <c r="B13" s="475"/>
      <c r="C13" s="475"/>
      <c r="D13" s="158" t="s">
        <v>428</v>
      </c>
      <c r="E13" s="159" t="s">
        <v>115</v>
      </c>
      <c r="F13" s="135"/>
      <c r="G13" s="245">
        <f t="shared" ref="G13:AL13" si="16">SUM(G11:G12)</f>
        <v>900</v>
      </c>
      <c r="H13" s="245">
        <f t="shared" si="16"/>
        <v>360000</v>
      </c>
      <c r="I13" s="245">
        <f t="shared" si="16"/>
        <v>72000</v>
      </c>
      <c r="J13" s="245">
        <f t="shared" si="16"/>
        <v>288000</v>
      </c>
      <c r="K13" s="245">
        <f t="shared" si="16"/>
        <v>0</v>
      </c>
      <c r="L13" s="245">
        <f t="shared" si="16"/>
        <v>0</v>
      </c>
      <c r="M13" s="245">
        <f t="shared" si="16"/>
        <v>0</v>
      </c>
      <c r="N13" s="245">
        <f t="shared" si="16"/>
        <v>0</v>
      </c>
      <c r="O13" s="245">
        <f t="shared" si="16"/>
        <v>0</v>
      </c>
      <c r="P13" s="245">
        <f t="shared" si="16"/>
        <v>0</v>
      </c>
      <c r="Q13" s="245">
        <f t="shared" si="16"/>
        <v>0</v>
      </c>
      <c r="R13" s="245">
        <f t="shared" si="16"/>
        <v>0</v>
      </c>
      <c r="S13" s="245">
        <f t="shared" si="16"/>
        <v>225</v>
      </c>
      <c r="T13" s="245">
        <f t="shared" si="16"/>
        <v>225</v>
      </c>
      <c r="U13" s="245">
        <f t="shared" si="16"/>
        <v>225</v>
      </c>
      <c r="V13" s="245">
        <f t="shared" si="16"/>
        <v>225</v>
      </c>
      <c r="W13" s="245">
        <f t="shared" si="16"/>
        <v>90000</v>
      </c>
      <c r="X13" s="245">
        <f t="shared" si="16"/>
        <v>90000</v>
      </c>
      <c r="Y13" s="245">
        <f t="shared" si="16"/>
        <v>90000</v>
      </c>
      <c r="Z13" s="245">
        <f t="shared" si="16"/>
        <v>90000</v>
      </c>
      <c r="AA13" s="245">
        <f t="shared" si="16"/>
        <v>40</v>
      </c>
      <c r="AB13" s="245">
        <f t="shared" si="16"/>
        <v>16000</v>
      </c>
      <c r="AC13" s="245">
        <f t="shared" si="16"/>
        <v>30</v>
      </c>
      <c r="AD13" s="245">
        <f t="shared" si="16"/>
        <v>12000</v>
      </c>
      <c r="AE13" s="245">
        <f t="shared" si="16"/>
        <v>40</v>
      </c>
      <c r="AF13" s="245">
        <f t="shared" si="16"/>
        <v>16000</v>
      </c>
      <c r="AG13" s="245">
        <f t="shared" si="16"/>
        <v>50</v>
      </c>
      <c r="AH13" s="245">
        <f t="shared" si="16"/>
        <v>20000</v>
      </c>
      <c r="AI13" s="245">
        <f t="shared" si="16"/>
        <v>20</v>
      </c>
      <c r="AJ13" s="245">
        <f t="shared" si="16"/>
        <v>8000</v>
      </c>
      <c r="AK13" s="245">
        <f t="shared" si="16"/>
        <v>50</v>
      </c>
      <c r="AL13" s="245">
        <f t="shared" si="16"/>
        <v>20000</v>
      </c>
      <c r="AM13" s="245">
        <f t="shared" ref="AM13:BR13" si="17">SUM(AM11:AM12)</f>
        <v>50</v>
      </c>
      <c r="AN13" s="245">
        <f t="shared" si="17"/>
        <v>20000</v>
      </c>
      <c r="AO13" s="245">
        <f t="shared" si="17"/>
        <v>80</v>
      </c>
      <c r="AP13" s="245">
        <f t="shared" si="17"/>
        <v>32000</v>
      </c>
      <c r="AQ13" s="245">
        <f t="shared" si="17"/>
        <v>20</v>
      </c>
      <c r="AR13" s="245">
        <f t="shared" si="17"/>
        <v>8000</v>
      </c>
      <c r="AS13" s="245">
        <f t="shared" si="17"/>
        <v>30</v>
      </c>
      <c r="AT13" s="245">
        <f t="shared" si="17"/>
        <v>12000</v>
      </c>
      <c r="AU13" s="245">
        <f t="shared" si="17"/>
        <v>50</v>
      </c>
      <c r="AV13" s="245">
        <f t="shared" si="17"/>
        <v>20000</v>
      </c>
      <c r="AW13" s="245">
        <f t="shared" si="17"/>
        <v>50</v>
      </c>
      <c r="AX13" s="245">
        <f t="shared" si="17"/>
        <v>20000</v>
      </c>
      <c r="AY13" s="245">
        <f t="shared" si="17"/>
        <v>90</v>
      </c>
      <c r="AZ13" s="245">
        <f t="shared" si="17"/>
        <v>36000</v>
      </c>
      <c r="BA13" s="245">
        <f t="shared" si="17"/>
        <v>90</v>
      </c>
      <c r="BB13" s="245">
        <f t="shared" si="17"/>
        <v>36000</v>
      </c>
      <c r="BC13" s="245">
        <f t="shared" si="17"/>
        <v>30</v>
      </c>
      <c r="BD13" s="245">
        <f t="shared" si="17"/>
        <v>12000</v>
      </c>
      <c r="BE13" s="245">
        <f t="shared" si="17"/>
        <v>120</v>
      </c>
      <c r="BF13" s="245">
        <f t="shared" si="17"/>
        <v>48000</v>
      </c>
      <c r="BG13" s="245">
        <f t="shared" si="17"/>
        <v>60</v>
      </c>
      <c r="BH13" s="245">
        <f t="shared" si="17"/>
        <v>24000</v>
      </c>
      <c r="BI13" s="245">
        <f t="shared" si="17"/>
        <v>0</v>
      </c>
      <c r="BJ13" s="245">
        <f t="shared" si="17"/>
        <v>0</v>
      </c>
      <c r="BK13" s="245">
        <f t="shared" si="17"/>
        <v>900</v>
      </c>
      <c r="BL13" s="245">
        <f t="shared" si="17"/>
        <v>360000</v>
      </c>
      <c r="BM13" s="245">
        <f t="shared" si="17"/>
        <v>0</v>
      </c>
      <c r="BN13" s="245">
        <f t="shared" si="17"/>
        <v>0</v>
      </c>
      <c r="BO13" s="245">
        <f t="shared" si="17"/>
        <v>0</v>
      </c>
      <c r="BP13" s="245">
        <f t="shared" si="17"/>
        <v>360000</v>
      </c>
      <c r="BQ13" s="245">
        <f t="shared" si="17"/>
        <v>0</v>
      </c>
      <c r="BR13" s="245">
        <f t="shared" si="17"/>
        <v>0</v>
      </c>
      <c r="BS13" s="245">
        <f>SUM(BS11:BS12)</f>
        <v>360000</v>
      </c>
      <c r="BT13" s="245">
        <f>SUM(BT11:BT12)</f>
        <v>0</v>
      </c>
      <c r="BU13" s="245">
        <f>SUM(BU11:BU12)</f>
        <v>0</v>
      </c>
      <c r="BV13" s="245">
        <f>SUM(BV11:BV12)</f>
        <v>0</v>
      </c>
      <c r="BW13" s="245">
        <f>SUM(BW11:BW12)</f>
        <v>360000</v>
      </c>
    </row>
    <row r="14" spans="1:75">
      <c r="A14" s="935"/>
      <c r="B14" s="196">
        <v>23200</v>
      </c>
      <c r="C14" s="196"/>
      <c r="D14" s="158" t="s">
        <v>429</v>
      </c>
      <c r="E14" s="159"/>
      <c r="F14" s="159"/>
      <c r="G14" s="257"/>
      <c r="H14" s="471"/>
      <c r="I14" s="471"/>
      <c r="J14" s="471"/>
      <c r="K14" s="471"/>
      <c r="L14" s="471"/>
      <c r="M14" s="471"/>
      <c r="N14" s="471"/>
      <c r="O14" s="471"/>
      <c r="P14" s="475"/>
      <c r="Q14" s="475"/>
      <c r="R14" s="475"/>
      <c r="S14" s="213"/>
      <c r="T14" s="213"/>
      <c r="U14" s="213"/>
      <c r="V14" s="213"/>
      <c r="W14" s="213"/>
      <c r="X14" s="213"/>
      <c r="Y14" s="213"/>
      <c r="Z14" s="213"/>
      <c r="AA14" s="257"/>
      <c r="AB14" s="262">
        <f t="shared" si="1"/>
        <v>0</v>
      </c>
      <c r="AC14" s="257"/>
      <c r="AD14" s="262">
        <f t="shared" si="2"/>
        <v>0</v>
      </c>
      <c r="AE14" s="257"/>
      <c r="AF14" s="262">
        <f t="shared" si="3"/>
        <v>0</v>
      </c>
      <c r="AG14" s="257"/>
      <c r="AH14" s="262">
        <f t="shared" si="4"/>
        <v>0</v>
      </c>
      <c r="AI14" s="245"/>
      <c r="AJ14" s="262">
        <f t="shared" si="5"/>
        <v>0</v>
      </c>
      <c r="AK14" s="245">
        <v>0</v>
      </c>
      <c r="AL14" s="262">
        <f t="shared" si="6"/>
        <v>0</v>
      </c>
      <c r="AM14" s="245"/>
      <c r="AN14" s="262"/>
      <c r="AO14" s="245"/>
      <c r="AP14" s="262">
        <f t="shared" si="7"/>
        <v>0</v>
      </c>
      <c r="AQ14" s="245"/>
      <c r="AR14" s="262"/>
      <c r="AS14" s="245"/>
      <c r="AT14" s="262"/>
      <c r="AU14" s="245"/>
      <c r="AV14" s="262">
        <f t="shared" si="8"/>
        <v>0</v>
      </c>
      <c r="AW14" s="245"/>
      <c r="AX14" s="262">
        <f t="shared" si="9"/>
        <v>0</v>
      </c>
      <c r="AY14" s="245"/>
      <c r="AZ14" s="262">
        <f t="shared" si="10"/>
        <v>0</v>
      </c>
      <c r="BA14" s="245"/>
      <c r="BB14" s="262"/>
      <c r="BC14" s="245"/>
      <c r="BD14" s="262">
        <f t="shared" si="11"/>
        <v>0</v>
      </c>
      <c r="BE14" s="245"/>
      <c r="BF14" s="262">
        <f t="shared" si="12"/>
        <v>0</v>
      </c>
      <c r="BG14" s="245"/>
      <c r="BH14" s="262">
        <f t="shared" si="13"/>
        <v>0</v>
      </c>
      <c r="BI14" s="245"/>
      <c r="BJ14" s="262">
        <f t="shared" si="14"/>
        <v>0</v>
      </c>
      <c r="BK14" s="255">
        <f>BI14+BG14+BE14+BC14+BA14+AY14+AW14+AU14+AS14+AQ14+AO14+AM14+AK14+AI14+AG14+AE14+AC14+AA14</f>
        <v>0</v>
      </c>
      <c r="BL14" s="255">
        <f>BJ14+BH14+BF14+BD14+BB14+AZ14+AX14+AV14+AT14+AR14+AP14+AN14+AL14+AJ14+AH14+AF14+AD14+AB14</f>
        <v>0</v>
      </c>
      <c r="BM14" s="159"/>
      <c r="BO14" s="254"/>
      <c r="BP14" s="254"/>
      <c r="BQ14" s="254"/>
      <c r="BR14" s="254"/>
      <c r="BS14" s="254"/>
      <c r="BT14" s="254"/>
      <c r="BU14" s="254"/>
      <c r="BV14" s="254"/>
      <c r="BW14" s="255">
        <f t="shared" si="15"/>
        <v>0</v>
      </c>
    </row>
    <row r="15" spans="1:75">
      <c r="A15" s="935"/>
      <c r="B15" s="196">
        <v>23300</v>
      </c>
      <c r="C15" s="196"/>
      <c r="D15" s="158" t="s">
        <v>430</v>
      </c>
      <c r="E15" s="159"/>
      <c r="F15" s="159"/>
      <c r="G15" s="257"/>
      <c r="H15" s="471"/>
      <c r="I15" s="471"/>
      <c r="J15" s="471"/>
      <c r="K15" s="471"/>
      <c r="L15" s="471"/>
      <c r="M15" s="471"/>
      <c r="N15" s="471"/>
      <c r="O15" s="471"/>
      <c r="P15" s="475"/>
      <c r="Q15" s="475"/>
      <c r="R15" s="475"/>
      <c r="S15" s="213"/>
      <c r="T15" s="210"/>
      <c r="U15" s="210"/>
      <c r="V15" s="210"/>
      <c r="W15" s="210"/>
      <c r="X15" s="210"/>
      <c r="Y15" s="210"/>
      <c r="Z15" s="210"/>
      <c r="AA15" s="257"/>
      <c r="AB15" s="262">
        <f t="shared" si="1"/>
        <v>0</v>
      </c>
      <c r="AC15" s="257"/>
      <c r="AD15" s="262">
        <f t="shared" si="2"/>
        <v>0</v>
      </c>
      <c r="AE15" s="257"/>
      <c r="AF15" s="262">
        <f t="shared" si="3"/>
        <v>0</v>
      </c>
      <c r="AG15" s="257"/>
      <c r="AH15" s="262">
        <f t="shared" si="4"/>
        <v>0</v>
      </c>
      <c r="AI15" s="245"/>
      <c r="AJ15" s="262">
        <f t="shared" si="5"/>
        <v>0</v>
      </c>
      <c r="AK15" s="245">
        <v>0</v>
      </c>
      <c r="AL15" s="262">
        <f t="shared" si="6"/>
        <v>0</v>
      </c>
      <c r="AM15" s="245"/>
      <c r="AN15" s="262">
        <f>AM15*F15</f>
        <v>0</v>
      </c>
      <c r="AO15" s="245"/>
      <c r="AP15" s="262">
        <f t="shared" si="7"/>
        <v>0</v>
      </c>
      <c r="AQ15" s="245"/>
      <c r="AR15" s="262"/>
      <c r="AS15" s="245"/>
      <c r="AT15" s="262"/>
      <c r="AU15" s="245"/>
      <c r="AV15" s="262">
        <f t="shared" si="8"/>
        <v>0</v>
      </c>
      <c r="AW15" s="245"/>
      <c r="AX15" s="262">
        <f t="shared" si="9"/>
        <v>0</v>
      </c>
      <c r="AY15" s="245"/>
      <c r="AZ15" s="262">
        <f t="shared" si="10"/>
        <v>0</v>
      </c>
      <c r="BA15" s="245"/>
      <c r="BB15" s="262"/>
      <c r="BC15" s="245"/>
      <c r="BD15" s="262">
        <f t="shared" si="11"/>
        <v>0</v>
      </c>
      <c r="BE15" s="245"/>
      <c r="BF15" s="262">
        <f t="shared" si="12"/>
        <v>0</v>
      </c>
      <c r="BG15" s="245"/>
      <c r="BH15" s="262">
        <f t="shared" si="13"/>
        <v>0</v>
      </c>
      <c r="BI15" s="245"/>
      <c r="BJ15" s="262">
        <f t="shared" si="14"/>
        <v>0</v>
      </c>
      <c r="BK15" s="255">
        <f t="shared" ref="BK15:BL19" si="18">BI15+BG15+BE15+BC15+BA15+AY15+AW15+AU15+AS15+AQ15+AO15+AM15+AK15+AI15+AG15+AE15+AC15+AA15</f>
        <v>0</v>
      </c>
      <c r="BL15" s="255">
        <f t="shared" si="18"/>
        <v>0</v>
      </c>
      <c r="BM15" s="159"/>
      <c r="BO15" s="254"/>
      <c r="BP15" s="254"/>
      <c r="BQ15" s="254"/>
      <c r="BR15" s="254"/>
      <c r="BS15" s="254"/>
      <c r="BT15" s="254"/>
      <c r="BU15" s="254"/>
      <c r="BV15" s="254"/>
      <c r="BW15" s="255">
        <f t="shared" si="15"/>
        <v>0</v>
      </c>
    </row>
    <row r="16" spans="1:75">
      <c r="A16" s="935"/>
      <c r="B16" s="308"/>
      <c r="C16" s="308"/>
      <c r="D16" s="166" t="s">
        <v>431</v>
      </c>
      <c r="E16" s="159" t="s">
        <v>82</v>
      </c>
      <c r="F16" s="135" t="s">
        <v>316</v>
      </c>
      <c r="G16" s="537">
        <f>BK16</f>
        <v>6</v>
      </c>
      <c r="H16" s="229">
        <f>BL16</f>
        <v>1340000</v>
      </c>
      <c r="I16" s="229"/>
      <c r="J16" s="229">
        <f>H16*0.8</f>
        <v>1072000</v>
      </c>
      <c r="K16" s="229"/>
      <c r="L16" s="229"/>
      <c r="M16" s="229"/>
      <c r="N16" s="229"/>
      <c r="O16" s="229"/>
      <c r="P16" s="260"/>
      <c r="Q16" s="260">
        <f>H16*0.2</f>
        <v>268000</v>
      </c>
      <c r="R16" s="229"/>
      <c r="S16" s="213">
        <f>G16*0.25</f>
        <v>1.5</v>
      </c>
      <c r="T16" s="309">
        <f>G16*0.25</f>
        <v>1.5</v>
      </c>
      <c r="U16" s="309">
        <f>G16*0.25</f>
        <v>1.5</v>
      </c>
      <c r="V16" s="210">
        <f>G16*0.25</f>
        <v>1.5</v>
      </c>
      <c r="W16" s="310">
        <f>H16:H16*0.25</f>
        <v>335000</v>
      </c>
      <c r="X16" s="310">
        <f>H16:H16*0.1</f>
        <v>134000</v>
      </c>
      <c r="Y16" s="310">
        <f>H16*0.35</f>
        <v>468999.99999999994</v>
      </c>
      <c r="Z16" s="310">
        <f>H16*0.3</f>
        <v>402000</v>
      </c>
      <c r="AA16" s="257">
        <v>0</v>
      </c>
      <c r="AB16" s="262">
        <f t="shared" si="1"/>
        <v>0</v>
      </c>
      <c r="AC16" s="537">
        <v>2</v>
      </c>
      <c r="AD16" s="262">
        <f>200000+40000</f>
        <v>240000</v>
      </c>
      <c r="AE16" s="257"/>
      <c r="AF16" s="262">
        <f t="shared" si="3"/>
        <v>0</v>
      </c>
      <c r="AG16" s="257">
        <v>0</v>
      </c>
      <c r="AH16" s="262">
        <f t="shared" si="4"/>
        <v>0</v>
      </c>
      <c r="AI16" s="257">
        <v>0</v>
      </c>
      <c r="AJ16" s="262">
        <f t="shared" si="5"/>
        <v>0</v>
      </c>
      <c r="AK16" s="257">
        <v>1</v>
      </c>
      <c r="AL16" s="262">
        <f>AK16*F16</f>
        <v>300000</v>
      </c>
      <c r="AM16" s="257">
        <v>0</v>
      </c>
      <c r="AN16" s="262">
        <f>AM16*F16</f>
        <v>0</v>
      </c>
      <c r="AO16" s="257">
        <v>0</v>
      </c>
      <c r="AP16" s="262">
        <f t="shared" si="7"/>
        <v>0</v>
      </c>
      <c r="AQ16" s="257">
        <v>0</v>
      </c>
      <c r="AR16" s="262">
        <f>AQ16*F16</f>
        <v>0</v>
      </c>
      <c r="AS16" s="257">
        <v>2</v>
      </c>
      <c r="AT16" s="262">
        <f>AS16*F16</f>
        <v>600000</v>
      </c>
      <c r="AU16" s="257">
        <v>0</v>
      </c>
      <c r="AV16" s="262">
        <f t="shared" si="8"/>
        <v>0</v>
      </c>
      <c r="AW16" s="257">
        <v>1</v>
      </c>
      <c r="AX16" s="262">
        <v>200000</v>
      </c>
      <c r="AY16" s="257">
        <v>0</v>
      </c>
      <c r="AZ16" s="262">
        <f t="shared" si="10"/>
        <v>0</v>
      </c>
      <c r="BA16" s="257">
        <v>0</v>
      </c>
      <c r="BB16" s="262">
        <v>0</v>
      </c>
      <c r="BC16" s="257"/>
      <c r="BD16" s="262">
        <f t="shared" si="11"/>
        <v>0</v>
      </c>
      <c r="BE16" s="257"/>
      <c r="BF16" s="262">
        <f t="shared" si="12"/>
        <v>0</v>
      </c>
      <c r="BG16" s="257">
        <v>0</v>
      </c>
      <c r="BH16" s="262">
        <f t="shared" si="13"/>
        <v>0</v>
      </c>
      <c r="BI16" s="257"/>
      <c r="BJ16" s="262">
        <f t="shared" si="14"/>
        <v>0</v>
      </c>
      <c r="BK16" s="255">
        <f t="shared" si="18"/>
        <v>6</v>
      </c>
      <c r="BL16" s="255">
        <f t="shared" si="18"/>
        <v>1340000</v>
      </c>
      <c r="BM16" s="159" t="s">
        <v>220</v>
      </c>
      <c r="BO16" s="254"/>
      <c r="BP16" s="254"/>
      <c r="BQ16" s="254">
        <f>H16</f>
        <v>1340000</v>
      </c>
      <c r="BR16" s="254"/>
      <c r="BS16" s="254">
        <f>BR16+BQ16+BP16+BO16</f>
        <v>1340000</v>
      </c>
      <c r="BT16" s="254"/>
      <c r="BU16" s="254"/>
      <c r="BV16" s="254">
        <f>BT16+BU16</f>
        <v>0</v>
      </c>
      <c r="BW16" s="255">
        <f t="shared" si="15"/>
        <v>1340000</v>
      </c>
    </row>
    <row r="17" spans="1:75">
      <c r="A17" s="935"/>
      <c r="B17" s="308">
        <v>0</v>
      </c>
      <c r="C17" s="308"/>
      <c r="D17" s="166" t="s">
        <v>84</v>
      </c>
      <c r="E17" s="159" t="s">
        <v>82</v>
      </c>
      <c r="F17" s="135" t="s">
        <v>317</v>
      </c>
      <c r="G17" s="537">
        <f>BK17</f>
        <v>8</v>
      </c>
      <c r="H17" s="257">
        <f>BL17</f>
        <v>315000</v>
      </c>
      <c r="I17" s="229"/>
      <c r="J17" s="229">
        <f>H17*0.8</f>
        <v>252000</v>
      </c>
      <c r="K17" s="229"/>
      <c r="L17" s="229"/>
      <c r="M17" s="229"/>
      <c r="N17" s="229"/>
      <c r="O17" s="229"/>
      <c r="P17" s="260"/>
      <c r="Q17" s="260">
        <f>H17*0.2</f>
        <v>63000</v>
      </c>
      <c r="R17" s="229"/>
      <c r="S17" s="213">
        <f>G17*0.25</f>
        <v>2</v>
      </c>
      <c r="T17" s="309">
        <f>G17*0.25</f>
        <v>2</v>
      </c>
      <c r="U17" s="309">
        <f>G17*0.25</f>
        <v>2</v>
      </c>
      <c r="V17" s="210">
        <f>G17*0.25</f>
        <v>2</v>
      </c>
      <c r="W17" s="310">
        <f>S17*F17</f>
        <v>90000</v>
      </c>
      <c r="X17" s="310">
        <f>T17*F17</f>
        <v>90000</v>
      </c>
      <c r="Y17" s="310">
        <f>U17*F17</f>
        <v>90000</v>
      </c>
      <c r="Z17" s="310">
        <f>V17*F17</f>
        <v>90000</v>
      </c>
      <c r="AA17" s="257">
        <v>0</v>
      </c>
      <c r="AB17" s="262">
        <f t="shared" si="1"/>
        <v>0</v>
      </c>
      <c r="AC17" s="537">
        <v>2</v>
      </c>
      <c r="AD17" s="262">
        <v>60000</v>
      </c>
      <c r="AE17" s="257"/>
      <c r="AF17" s="262">
        <f t="shared" si="3"/>
        <v>0</v>
      </c>
      <c r="AG17" s="257">
        <v>0</v>
      </c>
      <c r="AH17" s="262">
        <f t="shared" si="4"/>
        <v>0</v>
      </c>
      <c r="AI17" s="257">
        <v>0</v>
      </c>
      <c r="AJ17" s="262">
        <f t="shared" si="5"/>
        <v>0</v>
      </c>
      <c r="AK17" s="257">
        <v>5</v>
      </c>
      <c r="AL17" s="262">
        <f t="shared" si="6"/>
        <v>225000</v>
      </c>
      <c r="AM17" s="257">
        <v>0</v>
      </c>
      <c r="AN17" s="262">
        <f>AM17*F17</f>
        <v>0</v>
      </c>
      <c r="AO17" s="257">
        <v>0</v>
      </c>
      <c r="AP17" s="262">
        <f t="shared" si="7"/>
        <v>0</v>
      </c>
      <c r="AQ17" s="257">
        <v>0</v>
      </c>
      <c r="AR17" s="262">
        <f>AQ17*F17</f>
        <v>0</v>
      </c>
      <c r="AS17" s="257">
        <v>0</v>
      </c>
      <c r="AT17" s="262">
        <f>AS17*F17</f>
        <v>0</v>
      </c>
      <c r="AU17" s="257">
        <v>0</v>
      </c>
      <c r="AV17" s="262">
        <f t="shared" si="8"/>
        <v>0</v>
      </c>
      <c r="AW17" s="257">
        <v>1</v>
      </c>
      <c r="AX17" s="262">
        <v>30000</v>
      </c>
      <c r="AY17" s="257">
        <v>0</v>
      </c>
      <c r="AZ17" s="262">
        <f t="shared" si="10"/>
        <v>0</v>
      </c>
      <c r="BA17" s="257">
        <v>0</v>
      </c>
      <c r="BB17" s="262">
        <f>BA17*F17</f>
        <v>0</v>
      </c>
      <c r="BC17" s="257"/>
      <c r="BD17" s="262">
        <f t="shared" si="11"/>
        <v>0</v>
      </c>
      <c r="BE17" s="257"/>
      <c r="BF17" s="262">
        <f t="shared" si="12"/>
        <v>0</v>
      </c>
      <c r="BG17" s="257">
        <v>0</v>
      </c>
      <c r="BH17" s="262">
        <f t="shared" si="13"/>
        <v>0</v>
      </c>
      <c r="BI17" s="257"/>
      <c r="BJ17" s="262">
        <f t="shared" si="14"/>
        <v>0</v>
      </c>
      <c r="BK17" s="255">
        <f t="shared" si="18"/>
        <v>8</v>
      </c>
      <c r="BL17" s="255">
        <f t="shared" si="18"/>
        <v>315000</v>
      </c>
      <c r="BM17" s="159" t="s">
        <v>220</v>
      </c>
      <c r="BO17" s="254"/>
      <c r="BP17" s="254"/>
      <c r="BQ17" s="254">
        <f>H17</f>
        <v>315000</v>
      </c>
      <c r="BR17" s="254"/>
      <c r="BS17" s="254">
        <f>BO17+BP17+BQ17+BR17</f>
        <v>315000</v>
      </c>
      <c r="BT17" s="254"/>
      <c r="BU17" s="254"/>
      <c r="BV17" s="254">
        <f>BT17+BU17</f>
        <v>0</v>
      </c>
      <c r="BW17" s="255">
        <f t="shared" si="15"/>
        <v>315000</v>
      </c>
    </row>
    <row r="18" spans="1:75" ht="30.75" customHeight="1">
      <c r="A18" s="935"/>
      <c r="B18" s="308"/>
      <c r="C18" s="308"/>
      <c r="D18" s="166" t="s">
        <v>977</v>
      </c>
      <c r="E18" s="159" t="s">
        <v>82</v>
      </c>
      <c r="F18" s="135">
        <v>5000</v>
      </c>
      <c r="G18" s="257">
        <f>BK18</f>
        <v>181</v>
      </c>
      <c r="H18" s="229">
        <f>G18*F18</f>
        <v>905000</v>
      </c>
      <c r="I18" s="229">
        <f>H18*0.2</f>
        <v>181000</v>
      </c>
      <c r="J18" s="229">
        <f>H18*0.8</f>
        <v>724000</v>
      </c>
      <c r="K18" s="229"/>
      <c r="L18" s="229"/>
      <c r="M18" s="229"/>
      <c r="N18" s="229"/>
      <c r="O18" s="229"/>
      <c r="P18" s="260"/>
      <c r="Q18" s="260"/>
      <c r="R18" s="229"/>
      <c r="S18" s="213"/>
      <c r="T18" s="309"/>
      <c r="U18" s="309"/>
      <c r="V18" s="210"/>
      <c r="W18" s="310"/>
      <c r="X18" s="310"/>
      <c r="Y18" s="310"/>
      <c r="Z18" s="310"/>
      <c r="AA18" s="257">
        <f>4*2</f>
        <v>8</v>
      </c>
      <c r="AB18" s="262">
        <f t="shared" si="1"/>
        <v>40000</v>
      </c>
      <c r="AC18" s="257">
        <f>3*2</f>
        <v>6</v>
      </c>
      <c r="AD18" s="262">
        <f t="shared" si="2"/>
        <v>30000</v>
      </c>
      <c r="AE18" s="257">
        <v>6</v>
      </c>
      <c r="AF18" s="262">
        <f t="shared" si="3"/>
        <v>30000</v>
      </c>
      <c r="AG18" s="257">
        <f>5*2</f>
        <v>10</v>
      </c>
      <c r="AH18" s="262">
        <f t="shared" si="4"/>
        <v>50000</v>
      </c>
      <c r="AI18" s="257">
        <f>2*2</f>
        <v>4</v>
      </c>
      <c r="AJ18" s="262">
        <f t="shared" si="5"/>
        <v>20000</v>
      </c>
      <c r="AK18" s="257">
        <f>4*2</f>
        <v>8</v>
      </c>
      <c r="AL18" s="262">
        <f t="shared" si="6"/>
        <v>40000</v>
      </c>
      <c r="AM18" s="257">
        <f>5*2</f>
        <v>10</v>
      </c>
      <c r="AN18" s="262">
        <f>AM18*F18</f>
        <v>50000</v>
      </c>
      <c r="AO18" s="257">
        <f>8*2</f>
        <v>16</v>
      </c>
      <c r="AP18" s="262">
        <f t="shared" si="7"/>
        <v>80000</v>
      </c>
      <c r="AQ18" s="257">
        <f>2*2</f>
        <v>4</v>
      </c>
      <c r="AR18" s="262">
        <f>AQ18*F18</f>
        <v>20000</v>
      </c>
      <c r="AS18" s="257">
        <f>3*2</f>
        <v>6</v>
      </c>
      <c r="AT18" s="262">
        <f>AS18*F18</f>
        <v>30000</v>
      </c>
      <c r="AU18" s="257">
        <f>6*2</f>
        <v>12</v>
      </c>
      <c r="AV18" s="262">
        <f t="shared" si="8"/>
        <v>60000</v>
      </c>
      <c r="AW18" s="257">
        <f>5*2</f>
        <v>10</v>
      </c>
      <c r="AX18" s="262">
        <f t="shared" si="9"/>
        <v>50000</v>
      </c>
      <c r="AY18" s="257">
        <f>9*2</f>
        <v>18</v>
      </c>
      <c r="AZ18" s="262">
        <f t="shared" si="10"/>
        <v>90000</v>
      </c>
      <c r="BA18" s="257">
        <f>9*2</f>
        <v>18</v>
      </c>
      <c r="BB18" s="262">
        <f>BA18*F18</f>
        <v>90000</v>
      </c>
      <c r="BC18" s="257">
        <v>9</v>
      </c>
      <c r="BD18" s="262">
        <f t="shared" si="11"/>
        <v>45000</v>
      </c>
      <c r="BE18" s="257">
        <f>12*2</f>
        <v>24</v>
      </c>
      <c r="BF18" s="262">
        <f t="shared" si="12"/>
        <v>120000</v>
      </c>
      <c r="BG18" s="257">
        <f>6*2</f>
        <v>12</v>
      </c>
      <c r="BH18" s="262">
        <f t="shared" si="13"/>
        <v>60000</v>
      </c>
      <c r="BI18" s="257"/>
      <c r="BJ18" s="262"/>
      <c r="BK18" s="255">
        <f>BI18+BG18+BE18+BC18+BA18+AY18+AW18+AU18+AS18+AQ18+AO18+AM18+AK18+AI18+AG18+AE18+AC18+AA18</f>
        <v>181</v>
      </c>
      <c r="BL18" s="255">
        <f>BJ18+BH18+BF18+BD18+BB18+AZ18+AX18+AV18+AT18+AR18+AP18+AN18+AL18+AJ18+AH18+AF18+AD18+AB18</f>
        <v>905000</v>
      </c>
      <c r="BM18" s="159"/>
      <c r="BO18" s="254"/>
      <c r="BP18" s="254"/>
      <c r="BQ18" s="254"/>
      <c r="BR18" s="254"/>
      <c r="BS18" s="254"/>
      <c r="BT18" s="254"/>
      <c r="BU18" s="254"/>
      <c r="BV18" s="254"/>
      <c r="BW18" s="255"/>
    </row>
    <row r="19" spans="1:75" s="752" customFormat="1">
      <c r="A19" s="935"/>
      <c r="B19" s="740"/>
      <c r="C19" s="740"/>
      <c r="D19" s="739" t="s">
        <v>1021</v>
      </c>
      <c r="E19" s="741" t="s">
        <v>64</v>
      </c>
      <c r="F19" s="742"/>
      <c r="G19" s="743">
        <f>BK19</f>
        <v>12</v>
      </c>
      <c r="H19" s="744">
        <f>BL19</f>
        <v>687000</v>
      </c>
      <c r="I19" s="744"/>
      <c r="J19" s="744"/>
      <c r="K19" s="744"/>
      <c r="L19" s="744"/>
      <c r="M19" s="744">
        <f>H19*0.8</f>
        <v>549600</v>
      </c>
      <c r="N19" s="744"/>
      <c r="O19" s="744"/>
      <c r="P19" s="745"/>
      <c r="Q19" s="745">
        <f>H19*0.2</f>
        <v>137400</v>
      </c>
      <c r="R19" s="744"/>
      <c r="S19" s="746">
        <f>G19*0.25</f>
        <v>3</v>
      </c>
      <c r="T19" s="747">
        <f>G19*0.25</f>
        <v>3</v>
      </c>
      <c r="U19" s="747">
        <f>G19*0.25</f>
        <v>3</v>
      </c>
      <c r="V19" s="748">
        <f>G19*0.25</f>
        <v>3</v>
      </c>
      <c r="W19" s="749">
        <f>S19*F19</f>
        <v>0</v>
      </c>
      <c r="X19" s="749">
        <f>T19*F19</f>
        <v>0</v>
      </c>
      <c r="Y19" s="749">
        <f>U19*F19</f>
        <v>0</v>
      </c>
      <c r="Z19" s="749">
        <f>V19*F19</f>
        <v>0</v>
      </c>
      <c r="AA19" s="743">
        <v>0</v>
      </c>
      <c r="AB19" s="750">
        <f t="shared" si="1"/>
        <v>0</v>
      </c>
      <c r="AC19" s="743">
        <v>0</v>
      </c>
      <c r="AD19" s="750">
        <f t="shared" si="2"/>
        <v>0</v>
      </c>
      <c r="AE19" s="743">
        <v>0</v>
      </c>
      <c r="AF19" s="750">
        <f t="shared" si="3"/>
        <v>0</v>
      </c>
      <c r="AG19" s="743">
        <v>0</v>
      </c>
      <c r="AH19" s="750">
        <f t="shared" si="4"/>
        <v>0</v>
      </c>
      <c r="AI19" s="743">
        <v>0</v>
      </c>
      <c r="AJ19" s="750">
        <f t="shared" si="5"/>
        <v>0</v>
      </c>
      <c r="AK19" s="743">
        <v>0</v>
      </c>
      <c r="AL19" s="750">
        <f t="shared" si="6"/>
        <v>0</v>
      </c>
      <c r="AM19" s="743">
        <v>11</v>
      </c>
      <c r="AN19" s="750">
        <f>524000+100000</f>
        <v>624000</v>
      </c>
      <c r="AO19" s="743">
        <v>0</v>
      </c>
      <c r="AP19" s="750">
        <f t="shared" si="7"/>
        <v>0</v>
      </c>
      <c r="AQ19" s="743">
        <v>0</v>
      </c>
      <c r="AR19" s="750">
        <f>AQ19*F19</f>
        <v>0</v>
      </c>
      <c r="AS19" s="743">
        <v>0</v>
      </c>
      <c r="AT19" s="750">
        <f>AS19*F19</f>
        <v>0</v>
      </c>
      <c r="AU19" s="743">
        <v>1</v>
      </c>
      <c r="AV19" s="750">
        <v>63000</v>
      </c>
      <c r="AW19" s="743">
        <v>0</v>
      </c>
      <c r="AX19" s="750">
        <f t="shared" si="9"/>
        <v>0</v>
      </c>
      <c r="AY19" s="743">
        <v>0</v>
      </c>
      <c r="AZ19" s="750">
        <f t="shared" si="10"/>
        <v>0</v>
      </c>
      <c r="BA19" s="743">
        <v>0</v>
      </c>
      <c r="BB19" s="750">
        <f>BA19*F19</f>
        <v>0</v>
      </c>
      <c r="BC19" s="743">
        <v>0</v>
      </c>
      <c r="BD19" s="750">
        <f t="shared" si="11"/>
        <v>0</v>
      </c>
      <c r="BE19" s="743">
        <v>0</v>
      </c>
      <c r="BF19" s="750">
        <f t="shared" si="12"/>
        <v>0</v>
      </c>
      <c r="BG19" s="743">
        <v>0</v>
      </c>
      <c r="BH19" s="750">
        <f t="shared" si="13"/>
        <v>0</v>
      </c>
      <c r="BI19" s="743"/>
      <c r="BJ19" s="750">
        <f t="shared" si="14"/>
        <v>0</v>
      </c>
      <c r="BK19" s="751">
        <f t="shared" si="18"/>
        <v>12</v>
      </c>
      <c r="BL19" s="751">
        <f t="shared" si="18"/>
        <v>687000</v>
      </c>
      <c r="BM19" s="741" t="s">
        <v>625</v>
      </c>
      <c r="BO19" s="753"/>
      <c r="BP19" s="753"/>
      <c r="BQ19" s="753">
        <f>H19</f>
        <v>687000</v>
      </c>
      <c r="BR19" s="753"/>
      <c r="BS19" s="753">
        <f>BO19+BP19+BQ19+BR19</f>
        <v>687000</v>
      </c>
      <c r="BT19" s="753"/>
      <c r="BU19" s="753"/>
      <c r="BV19" s="753">
        <f>BT19+BU19</f>
        <v>0</v>
      </c>
      <c r="BW19" s="751">
        <f t="shared" si="15"/>
        <v>687000</v>
      </c>
    </row>
    <row r="20" spans="1:75" s="265" customFormat="1">
      <c r="A20" s="935"/>
      <c r="B20" s="475"/>
      <c r="C20" s="475"/>
      <c r="D20" s="158" t="s">
        <v>432</v>
      </c>
      <c r="E20" s="168" t="s">
        <v>115</v>
      </c>
      <c r="F20" s="177" t="s">
        <v>115</v>
      </c>
      <c r="G20" s="307">
        <f>SUM(G16:G19)</f>
        <v>207</v>
      </c>
      <c r="H20" s="307">
        <f t="shared" ref="H20:BS20" si="19">SUM(H16:H19)</f>
        <v>3247000</v>
      </c>
      <c r="I20" s="307">
        <f t="shared" si="19"/>
        <v>181000</v>
      </c>
      <c r="J20" s="307">
        <f t="shared" si="19"/>
        <v>2048000</v>
      </c>
      <c r="K20" s="307">
        <f t="shared" si="19"/>
        <v>0</v>
      </c>
      <c r="L20" s="307">
        <f t="shared" si="19"/>
        <v>0</v>
      </c>
      <c r="M20" s="307">
        <f t="shared" si="19"/>
        <v>549600</v>
      </c>
      <c r="N20" s="307">
        <f t="shared" si="19"/>
        <v>0</v>
      </c>
      <c r="O20" s="307">
        <f t="shared" si="19"/>
        <v>0</v>
      </c>
      <c r="P20" s="307">
        <f t="shared" si="19"/>
        <v>0</v>
      </c>
      <c r="Q20" s="307">
        <f t="shared" si="19"/>
        <v>468400</v>
      </c>
      <c r="R20" s="307">
        <f t="shared" si="19"/>
        <v>0</v>
      </c>
      <c r="S20" s="307">
        <f t="shared" si="19"/>
        <v>6.5</v>
      </c>
      <c r="T20" s="307">
        <f t="shared" si="19"/>
        <v>6.5</v>
      </c>
      <c r="U20" s="307">
        <f t="shared" si="19"/>
        <v>6.5</v>
      </c>
      <c r="V20" s="307">
        <f t="shared" si="19"/>
        <v>6.5</v>
      </c>
      <c r="W20" s="307">
        <f t="shared" si="19"/>
        <v>425000</v>
      </c>
      <c r="X20" s="307">
        <f t="shared" si="19"/>
        <v>224000</v>
      </c>
      <c r="Y20" s="307">
        <f t="shared" si="19"/>
        <v>559000</v>
      </c>
      <c r="Z20" s="307">
        <f t="shared" si="19"/>
        <v>492000</v>
      </c>
      <c r="AA20" s="307">
        <f t="shared" si="19"/>
        <v>8</v>
      </c>
      <c r="AB20" s="307">
        <f t="shared" si="19"/>
        <v>40000</v>
      </c>
      <c r="AC20" s="307">
        <f t="shared" si="19"/>
        <v>10</v>
      </c>
      <c r="AD20" s="307">
        <f t="shared" si="19"/>
        <v>330000</v>
      </c>
      <c r="AE20" s="307">
        <f t="shared" si="19"/>
        <v>6</v>
      </c>
      <c r="AF20" s="307">
        <f t="shared" si="19"/>
        <v>30000</v>
      </c>
      <c r="AG20" s="307">
        <f t="shared" si="19"/>
        <v>10</v>
      </c>
      <c r="AH20" s="307">
        <f t="shared" si="19"/>
        <v>50000</v>
      </c>
      <c r="AI20" s="307">
        <f t="shared" si="19"/>
        <v>4</v>
      </c>
      <c r="AJ20" s="307">
        <f t="shared" si="19"/>
        <v>20000</v>
      </c>
      <c r="AK20" s="307">
        <f t="shared" si="19"/>
        <v>14</v>
      </c>
      <c r="AL20" s="307">
        <f t="shared" si="19"/>
        <v>565000</v>
      </c>
      <c r="AM20" s="307">
        <f t="shared" si="19"/>
        <v>21</v>
      </c>
      <c r="AN20" s="307">
        <f t="shared" si="19"/>
        <v>674000</v>
      </c>
      <c r="AO20" s="307">
        <f t="shared" si="19"/>
        <v>16</v>
      </c>
      <c r="AP20" s="307">
        <f t="shared" si="19"/>
        <v>80000</v>
      </c>
      <c r="AQ20" s="307">
        <f t="shared" si="19"/>
        <v>4</v>
      </c>
      <c r="AR20" s="307">
        <f t="shared" si="19"/>
        <v>20000</v>
      </c>
      <c r="AS20" s="307">
        <f t="shared" si="19"/>
        <v>8</v>
      </c>
      <c r="AT20" s="307">
        <f t="shared" si="19"/>
        <v>630000</v>
      </c>
      <c r="AU20" s="307">
        <f t="shared" si="19"/>
        <v>13</v>
      </c>
      <c r="AV20" s="307">
        <f t="shared" si="19"/>
        <v>123000</v>
      </c>
      <c r="AW20" s="307">
        <f t="shared" si="19"/>
        <v>12</v>
      </c>
      <c r="AX20" s="307">
        <f t="shared" si="19"/>
        <v>280000</v>
      </c>
      <c r="AY20" s="307">
        <f t="shared" si="19"/>
        <v>18</v>
      </c>
      <c r="AZ20" s="307">
        <f t="shared" si="19"/>
        <v>90000</v>
      </c>
      <c r="BA20" s="307">
        <f t="shared" si="19"/>
        <v>18</v>
      </c>
      <c r="BB20" s="307">
        <f t="shared" si="19"/>
        <v>90000</v>
      </c>
      <c r="BC20" s="307">
        <f t="shared" si="19"/>
        <v>9</v>
      </c>
      <c r="BD20" s="307">
        <f t="shared" si="19"/>
        <v>45000</v>
      </c>
      <c r="BE20" s="307">
        <f t="shared" si="19"/>
        <v>24</v>
      </c>
      <c r="BF20" s="307">
        <f t="shared" si="19"/>
        <v>120000</v>
      </c>
      <c r="BG20" s="307">
        <f t="shared" si="19"/>
        <v>12</v>
      </c>
      <c r="BH20" s="307">
        <f t="shared" si="19"/>
        <v>60000</v>
      </c>
      <c r="BI20" s="307">
        <f t="shared" si="19"/>
        <v>0</v>
      </c>
      <c r="BJ20" s="307">
        <f t="shared" si="19"/>
        <v>0</v>
      </c>
      <c r="BK20" s="307">
        <f t="shared" si="19"/>
        <v>207</v>
      </c>
      <c r="BL20" s="307">
        <f t="shared" si="19"/>
        <v>3247000</v>
      </c>
      <c r="BM20" s="307">
        <f t="shared" si="19"/>
        <v>0</v>
      </c>
      <c r="BN20" s="307">
        <f t="shared" si="19"/>
        <v>0</v>
      </c>
      <c r="BO20" s="307">
        <f t="shared" si="19"/>
        <v>0</v>
      </c>
      <c r="BP20" s="307">
        <f t="shared" si="19"/>
        <v>0</v>
      </c>
      <c r="BQ20" s="307">
        <f t="shared" si="19"/>
        <v>2342000</v>
      </c>
      <c r="BR20" s="307">
        <f t="shared" si="19"/>
        <v>0</v>
      </c>
      <c r="BS20" s="307">
        <f t="shared" si="19"/>
        <v>2342000</v>
      </c>
      <c r="BT20" s="307">
        <f>SUM(BT16:BT19)</f>
        <v>0</v>
      </c>
      <c r="BU20" s="307">
        <f>SUM(BU16:BU19)</f>
        <v>0</v>
      </c>
      <c r="BV20" s="307">
        <f>SUM(BV16:BV19)</f>
        <v>0</v>
      </c>
      <c r="BW20" s="307">
        <f>SUM(BW16:BW19)</f>
        <v>2342000</v>
      </c>
    </row>
    <row r="21" spans="1:75">
      <c r="A21" s="935"/>
      <c r="B21" s="196">
        <v>23400</v>
      </c>
      <c r="C21" s="196"/>
      <c r="D21" s="158" t="s">
        <v>433</v>
      </c>
      <c r="E21" s="159"/>
      <c r="F21" s="159"/>
      <c r="G21" s="257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311"/>
      <c r="T21" s="311"/>
      <c r="U21" s="311"/>
      <c r="V21" s="311"/>
      <c r="W21" s="311"/>
      <c r="X21" s="311"/>
      <c r="Y21" s="311"/>
      <c r="Z21" s="311"/>
      <c r="AA21" s="257"/>
      <c r="AB21" s="262">
        <f t="shared" si="1"/>
        <v>0</v>
      </c>
      <c r="AC21" s="257"/>
      <c r="AD21" s="262">
        <f t="shared" si="2"/>
        <v>0</v>
      </c>
      <c r="AE21" s="257"/>
      <c r="AF21" s="262">
        <f t="shared" si="3"/>
        <v>0</v>
      </c>
      <c r="AG21" s="257"/>
      <c r="AH21" s="262">
        <f t="shared" si="4"/>
        <v>0</v>
      </c>
      <c r="AI21" s="257"/>
      <c r="AJ21" s="262">
        <f t="shared" si="5"/>
        <v>0</v>
      </c>
      <c r="AK21" s="257">
        <v>0</v>
      </c>
      <c r="AL21" s="262">
        <f t="shared" si="6"/>
        <v>0</v>
      </c>
      <c r="AM21" s="257"/>
      <c r="AN21" s="262"/>
      <c r="AO21" s="257"/>
      <c r="AP21" s="262">
        <f t="shared" si="7"/>
        <v>0</v>
      </c>
      <c r="AQ21" s="257"/>
      <c r="AR21" s="262"/>
      <c r="AS21" s="257"/>
      <c r="AT21" s="262"/>
      <c r="AU21" s="257"/>
      <c r="AV21" s="262">
        <f t="shared" si="8"/>
        <v>0</v>
      </c>
      <c r="AW21" s="257"/>
      <c r="AX21" s="262">
        <f t="shared" si="9"/>
        <v>0</v>
      </c>
      <c r="AY21" s="257"/>
      <c r="AZ21" s="262">
        <f t="shared" si="10"/>
        <v>0</v>
      </c>
      <c r="BA21" s="257"/>
      <c r="BB21" s="262"/>
      <c r="BC21" s="257"/>
      <c r="BD21" s="262">
        <f t="shared" si="11"/>
        <v>0</v>
      </c>
      <c r="BE21" s="257"/>
      <c r="BF21" s="262">
        <f t="shared" si="12"/>
        <v>0</v>
      </c>
      <c r="BG21" s="257"/>
      <c r="BH21" s="262">
        <f t="shared" si="13"/>
        <v>0</v>
      </c>
      <c r="BI21" s="257"/>
      <c r="BJ21" s="262">
        <f t="shared" si="14"/>
        <v>0</v>
      </c>
      <c r="BK21" s="257"/>
      <c r="BL21" s="262"/>
      <c r="BM21" s="159"/>
      <c r="BO21" s="254"/>
      <c r="BP21" s="254"/>
      <c r="BQ21" s="254"/>
      <c r="BR21" s="254"/>
      <c r="BS21" s="254"/>
      <c r="BT21" s="254"/>
      <c r="BU21" s="254"/>
      <c r="BV21" s="254"/>
      <c r="BW21" s="255">
        <f t="shared" si="15"/>
        <v>0</v>
      </c>
    </row>
    <row r="22" spans="1:75" ht="34.5" customHeight="1">
      <c r="A22" s="935"/>
      <c r="B22" s="253"/>
      <c r="C22" s="669" t="s">
        <v>896</v>
      </c>
      <c r="D22" s="703" t="s">
        <v>725</v>
      </c>
      <c r="E22" s="704" t="s">
        <v>319</v>
      </c>
      <c r="F22" s="705">
        <v>4000</v>
      </c>
      <c r="G22" s="706">
        <f>BK22</f>
        <v>585</v>
      </c>
      <c r="H22" s="229">
        <f>G22*F22</f>
        <v>2340000</v>
      </c>
      <c r="I22" s="229">
        <f>H22*0</f>
        <v>0</v>
      </c>
      <c r="J22" s="229">
        <f>H22*0.8</f>
        <v>1872000</v>
      </c>
      <c r="K22" s="229"/>
      <c r="L22" s="229"/>
      <c r="M22" s="229"/>
      <c r="N22" s="229"/>
      <c r="O22" s="229"/>
      <c r="P22" s="260"/>
      <c r="Q22" s="260">
        <f>H22*0.2</f>
        <v>468000</v>
      </c>
      <c r="R22" s="260"/>
      <c r="S22" s="283">
        <f t="shared" ref="S22:S34" si="20">G22*0.25</f>
        <v>146.25</v>
      </c>
      <c r="T22" s="283">
        <f t="shared" ref="T22:T34" si="21">G22*0.25</f>
        <v>146.25</v>
      </c>
      <c r="U22" s="283">
        <f t="shared" ref="U22:U34" si="22">G22*0.25</f>
        <v>146.25</v>
      </c>
      <c r="V22" s="283">
        <f t="shared" ref="V22:V34" si="23">G22*0.25</f>
        <v>146.25</v>
      </c>
      <c r="W22" s="310">
        <f t="shared" ref="W22:W34" si="24">S22*F22</f>
        <v>585000</v>
      </c>
      <c r="X22" s="310">
        <f t="shared" ref="X22:X34" si="25">T22*F22</f>
        <v>585000</v>
      </c>
      <c r="Y22" s="310">
        <f t="shared" ref="Y22:Y34" si="26">U22*F22</f>
        <v>585000</v>
      </c>
      <c r="Z22" s="310">
        <f t="shared" ref="Z22:Z34" si="27">V22*F22</f>
        <v>585000</v>
      </c>
      <c r="AA22" s="257">
        <v>35</v>
      </c>
      <c r="AB22" s="262">
        <f>AA22*F22</f>
        <v>140000</v>
      </c>
      <c r="AC22" s="257">
        <v>30</v>
      </c>
      <c r="AD22" s="262">
        <f t="shared" si="2"/>
        <v>120000</v>
      </c>
      <c r="AE22" s="257">
        <v>35</v>
      </c>
      <c r="AF22" s="262">
        <f t="shared" si="3"/>
        <v>140000</v>
      </c>
      <c r="AG22" s="257">
        <v>50</v>
      </c>
      <c r="AH22" s="262">
        <f t="shared" si="4"/>
        <v>200000</v>
      </c>
      <c r="AI22" s="257">
        <v>30</v>
      </c>
      <c r="AJ22" s="262">
        <f t="shared" si="5"/>
        <v>120000</v>
      </c>
      <c r="AK22" s="257">
        <v>30</v>
      </c>
      <c r="AL22" s="262">
        <f t="shared" si="6"/>
        <v>120000</v>
      </c>
      <c r="AM22" s="257">
        <v>25</v>
      </c>
      <c r="AN22" s="262">
        <f>AM22*F22</f>
        <v>100000</v>
      </c>
      <c r="AO22" s="257">
        <v>25</v>
      </c>
      <c r="AP22" s="262">
        <f t="shared" si="7"/>
        <v>100000</v>
      </c>
      <c r="AQ22" s="257">
        <v>20</v>
      </c>
      <c r="AR22" s="262">
        <f t="shared" ref="AR22:AR34" si="28">AQ22*F22</f>
        <v>80000</v>
      </c>
      <c r="AS22" s="537">
        <v>30</v>
      </c>
      <c r="AT22" s="262">
        <f t="shared" ref="AT22:AT33" si="29">AS22*F22</f>
        <v>120000</v>
      </c>
      <c r="AU22" s="257">
        <v>40</v>
      </c>
      <c r="AV22" s="262">
        <f t="shared" si="8"/>
        <v>160000</v>
      </c>
      <c r="AW22" s="257">
        <v>40</v>
      </c>
      <c r="AX22" s="262">
        <f t="shared" si="9"/>
        <v>160000</v>
      </c>
      <c r="AY22" s="257">
        <v>40</v>
      </c>
      <c r="AZ22" s="262">
        <f t="shared" si="10"/>
        <v>160000</v>
      </c>
      <c r="BA22" s="257">
        <v>40</v>
      </c>
      <c r="BB22" s="262">
        <f t="shared" ref="BB22:BB34" si="30">BA22*F22</f>
        <v>160000</v>
      </c>
      <c r="BC22" s="257">
        <v>40</v>
      </c>
      <c r="BD22" s="262">
        <f t="shared" si="11"/>
        <v>160000</v>
      </c>
      <c r="BE22" s="257">
        <v>40</v>
      </c>
      <c r="BF22" s="262">
        <f t="shared" si="12"/>
        <v>160000</v>
      </c>
      <c r="BG22" s="257">
        <v>35</v>
      </c>
      <c r="BH22" s="262">
        <f t="shared" si="13"/>
        <v>140000</v>
      </c>
      <c r="BI22" s="257"/>
      <c r="BJ22" s="262">
        <f t="shared" si="14"/>
        <v>0</v>
      </c>
      <c r="BK22" s="255">
        <f t="shared" ref="BK22:BK34" si="31">BI22+BG22+BE22+BC22+BA22+AY22+AW22+AU22+AS22+AQ22+AO22+AM22+AK22+AI22+AG22+AE22+AC22+AA22</f>
        <v>585</v>
      </c>
      <c r="BL22" s="255">
        <f t="shared" ref="BL22:BL34" si="32">BJ22+BH22+BF22+BD22+BB22+AZ22+AX22+AV22+AT22+AR22+AP22+AN22+AL22+AJ22+AH22+AF22+AD22+AB22</f>
        <v>2340000</v>
      </c>
      <c r="BM22" s="704" t="s">
        <v>546</v>
      </c>
      <c r="BO22" s="254"/>
      <c r="BP22" s="254"/>
      <c r="BQ22" s="254">
        <f t="shared" ref="BQ22:BQ34" si="33">H22</f>
        <v>2340000</v>
      </c>
      <c r="BR22" s="254"/>
      <c r="BS22" s="254">
        <f t="shared" ref="BS22:BS34" si="34">BO22+BP22+BQ22+BR22</f>
        <v>2340000</v>
      </c>
      <c r="BT22" s="254"/>
      <c r="BU22" s="254"/>
      <c r="BV22" s="254">
        <f>BT22+BU22</f>
        <v>0</v>
      </c>
      <c r="BW22" s="255">
        <f t="shared" si="15"/>
        <v>2340000</v>
      </c>
    </row>
    <row r="23" spans="1:75" s="752" customFormat="1" ht="45.6" customHeight="1">
      <c r="A23" s="935"/>
      <c r="B23" s="634"/>
      <c r="C23" s="821"/>
      <c r="D23" s="739" t="s">
        <v>997</v>
      </c>
      <c r="E23" s="741" t="s">
        <v>982</v>
      </c>
      <c r="F23" s="742">
        <v>3750</v>
      </c>
      <c r="G23" s="822">
        <f>BK23</f>
        <v>10000</v>
      </c>
      <c r="H23" s="744">
        <f>G23*F23</f>
        <v>37500000</v>
      </c>
      <c r="I23" s="744"/>
      <c r="J23" s="744"/>
      <c r="K23" s="744"/>
      <c r="L23" s="744"/>
      <c r="M23" s="744"/>
      <c r="N23" s="744"/>
      <c r="O23" s="744">
        <f>H23*1</f>
        <v>37500000</v>
      </c>
      <c r="P23" s="745"/>
      <c r="Q23" s="745"/>
      <c r="R23" s="745"/>
      <c r="S23" s="800"/>
      <c r="T23" s="800"/>
      <c r="U23" s="800"/>
      <c r="V23" s="800">
        <f>G23</f>
        <v>10000</v>
      </c>
      <c r="W23" s="749"/>
      <c r="X23" s="749"/>
      <c r="Y23" s="749"/>
      <c r="Z23" s="749">
        <f>H23</f>
        <v>37500000</v>
      </c>
      <c r="AA23" s="743">
        <v>500</v>
      </c>
      <c r="AB23" s="750">
        <f>AA23*F23</f>
        <v>1875000</v>
      </c>
      <c r="AC23" s="743">
        <v>668</v>
      </c>
      <c r="AD23" s="750">
        <f t="shared" si="2"/>
        <v>2505000</v>
      </c>
      <c r="AE23" s="743">
        <v>500</v>
      </c>
      <c r="AF23" s="750">
        <f t="shared" si="3"/>
        <v>1875000</v>
      </c>
      <c r="AG23" s="743">
        <v>500</v>
      </c>
      <c r="AH23" s="750">
        <f t="shared" si="4"/>
        <v>1875000</v>
      </c>
      <c r="AI23" s="743">
        <v>200</v>
      </c>
      <c r="AJ23" s="750">
        <f t="shared" si="5"/>
        <v>750000</v>
      </c>
      <c r="AK23" s="743">
        <v>1168</v>
      </c>
      <c r="AL23" s="750">
        <f t="shared" si="6"/>
        <v>4380000</v>
      </c>
      <c r="AM23" s="743">
        <v>231</v>
      </c>
      <c r="AN23" s="750">
        <f>AM23*F23</f>
        <v>866250</v>
      </c>
      <c r="AO23" s="743">
        <v>500</v>
      </c>
      <c r="AP23" s="750">
        <f t="shared" si="7"/>
        <v>1875000</v>
      </c>
      <c r="AQ23" s="743">
        <v>300</v>
      </c>
      <c r="AR23" s="750">
        <f t="shared" si="28"/>
        <v>1125000</v>
      </c>
      <c r="AS23" s="743">
        <v>500</v>
      </c>
      <c r="AT23" s="750">
        <f t="shared" si="29"/>
        <v>1875000</v>
      </c>
      <c r="AU23" s="743">
        <v>782</v>
      </c>
      <c r="AV23" s="750">
        <f t="shared" si="8"/>
        <v>2932500</v>
      </c>
      <c r="AW23" s="743">
        <v>485</v>
      </c>
      <c r="AX23" s="750">
        <f t="shared" si="9"/>
        <v>1818750</v>
      </c>
      <c r="AY23" s="743">
        <v>512</v>
      </c>
      <c r="AZ23" s="750">
        <f t="shared" si="10"/>
        <v>1920000</v>
      </c>
      <c r="BA23" s="743">
        <v>500</v>
      </c>
      <c r="BB23" s="750">
        <f t="shared" si="30"/>
        <v>1875000</v>
      </c>
      <c r="BC23" s="743">
        <v>1154</v>
      </c>
      <c r="BD23" s="750">
        <f t="shared" si="11"/>
        <v>4327500</v>
      </c>
      <c r="BE23" s="743">
        <v>500</v>
      </c>
      <c r="BF23" s="750">
        <f t="shared" si="12"/>
        <v>1875000</v>
      </c>
      <c r="BG23" s="743">
        <v>1000</v>
      </c>
      <c r="BH23" s="750">
        <f t="shared" si="13"/>
        <v>3750000</v>
      </c>
      <c r="BI23" s="743"/>
      <c r="BJ23" s="750"/>
      <c r="BK23" s="751">
        <f t="shared" ref="BK23" si="35">BI23+BG23+BE23+BC23+BA23+AY23+AW23+AU23+AS23+AQ23+AO23+AM23+AK23+AI23+AG23+AE23+AC23+AA23</f>
        <v>10000</v>
      </c>
      <c r="BL23" s="751">
        <f t="shared" ref="BL23" si="36">BJ23+BH23+BF23+BD23+BB23+AZ23+AX23+AV23+AT23+AR23+AP23+AN23+AL23+AJ23+AH23+AF23+AD23+AB23</f>
        <v>37500000</v>
      </c>
      <c r="BM23" s="741" t="s">
        <v>983</v>
      </c>
      <c r="BO23" s="753"/>
      <c r="BP23" s="753"/>
      <c r="BQ23" s="753"/>
      <c r="BR23" s="753"/>
      <c r="BS23" s="753"/>
      <c r="BT23" s="753"/>
      <c r="BU23" s="753"/>
      <c r="BV23" s="753"/>
      <c r="BW23" s="751"/>
    </row>
    <row r="24" spans="1:75">
      <c r="A24" s="935"/>
      <c r="B24" s="253"/>
      <c r="C24" s="253"/>
      <c r="D24" s="134" t="s">
        <v>1000</v>
      </c>
      <c r="E24" s="159" t="s">
        <v>319</v>
      </c>
      <c r="F24" s="135"/>
      <c r="G24" s="257">
        <f t="shared" ref="G24:G33" si="37">BK24</f>
        <v>1</v>
      </c>
      <c r="H24" s="229">
        <f>BL24</f>
        <v>37000000</v>
      </c>
      <c r="I24" s="229"/>
      <c r="J24" s="229"/>
      <c r="K24" s="229"/>
      <c r="L24" s="229"/>
      <c r="M24" s="229">
        <f>H24</f>
        <v>37000000</v>
      </c>
      <c r="N24" s="229"/>
      <c r="O24" s="229"/>
      <c r="P24" s="260"/>
      <c r="Q24" s="260"/>
      <c r="R24" s="260"/>
      <c r="S24" s="283">
        <f t="shared" si="20"/>
        <v>0.25</v>
      </c>
      <c r="T24" s="283">
        <f t="shared" si="21"/>
        <v>0.25</v>
      </c>
      <c r="U24" s="283">
        <f t="shared" si="22"/>
        <v>0.25</v>
      </c>
      <c r="V24" s="283">
        <f>G24</f>
        <v>1</v>
      </c>
      <c r="W24" s="310">
        <f t="shared" si="24"/>
        <v>0</v>
      </c>
      <c r="X24" s="310">
        <f t="shared" si="25"/>
        <v>0</v>
      </c>
      <c r="Y24" s="310">
        <f t="shared" si="26"/>
        <v>0</v>
      </c>
      <c r="Z24" s="310">
        <f>H24</f>
        <v>37000000</v>
      </c>
      <c r="AA24" s="257">
        <v>0</v>
      </c>
      <c r="AB24" s="262">
        <f t="shared" si="1"/>
        <v>0</v>
      </c>
      <c r="AC24" s="257">
        <v>0</v>
      </c>
      <c r="AD24" s="262">
        <f t="shared" si="2"/>
        <v>0</v>
      </c>
      <c r="AE24" s="257">
        <v>0</v>
      </c>
      <c r="AF24" s="262">
        <f t="shared" si="3"/>
        <v>0</v>
      </c>
      <c r="AG24" s="257">
        <v>0</v>
      </c>
      <c r="AH24" s="262">
        <f t="shared" si="4"/>
        <v>0</v>
      </c>
      <c r="AI24" s="257">
        <v>0</v>
      </c>
      <c r="AJ24" s="262">
        <f t="shared" si="5"/>
        <v>0</v>
      </c>
      <c r="AK24" s="257">
        <v>0</v>
      </c>
      <c r="AL24" s="262">
        <f t="shared" si="6"/>
        <v>0</v>
      </c>
      <c r="AM24" s="257">
        <v>1</v>
      </c>
      <c r="AN24" s="262">
        <v>37000000</v>
      </c>
      <c r="AO24" s="257">
        <v>0</v>
      </c>
      <c r="AP24" s="262">
        <f t="shared" si="7"/>
        <v>0</v>
      </c>
      <c r="AQ24" s="257">
        <v>0</v>
      </c>
      <c r="AR24" s="262">
        <f t="shared" si="28"/>
        <v>0</v>
      </c>
      <c r="AS24" s="257">
        <v>0</v>
      </c>
      <c r="AT24" s="262">
        <f t="shared" si="29"/>
        <v>0</v>
      </c>
      <c r="AU24" s="257">
        <v>0</v>
      </c>
      <c r="AV24" s="262">
        <f t="shared" si="8"/>
        <v>0</v>
      </c>
      <c r="AW24" s="257">
        <v>0</v>
      </c>
      <c r="AX24" s="262">
        <f t="shared" si="9"/>
        <v>0</v>
      </c>
      <c r="AY24" s="257">
        <v>0</v>
      </c>
      <c r="AZ24" s="262">
        <f t="shared" si="10"/>
        <v>0</v>
      </c>
      <c r="BA24" s="257">
        <v>0</v>
      </c>
      <c r="BB24" s="262">
        <f t="shared" si="30"/>
        <v>0</v>
      </c>
      <c r="BC24" s="257">
        <v>0</v>
      </c>
      <c r="BD24" s="262">
        <f t="shared" si="11"/>
        <v>0</v>
      </c>
      <c r="BE24" s="257">
        <v>0</v>
      </c>
      <c r="BF24" s="262">
        <f t="shared" si="12"/>
        <v>0</v>
      </c>
      <c r="BG24" s="257">
        <v>0</v>
      </c>
      <c r="BH24" s="262">
        <f t="shared" si="13"/>
        <v>0</v>
      </c>
      <c r="BI24" s="257">
        <v>0</v>
      </c>
      <c r="BJ24" s="262">
        <f t="shared" si="14"/>
        <v>0</v>
      </c>
      <c r="BK24" s="255">
        <f t="shared" si="31"/>
        <v>1</v>
      </c>
      <c r="BL24" s="255">
        <f t="shared" si="32"/>
        <v>37000000</v>
      </c>
      <c r="BM24" s="159" t="s">
        <v>1001</v>
      </c>
      <c r="BO24" s="254"/>
      <c r="BP24" s="254"/>
      <c r="BQ24" s="254">
        <f t="shared" si="33"/>
        <v>37000000</v>
      </c>
      <c r="BR24" s="254"/>
      <c r="BS24" s="254">
        <f t="shared" si="34"/>
        <v>37000000</v>
      </c>
      <c r="BT24" s="254"/>
      <c r="BU24" s="254"/>
      <c r="BV24" s="254"/>
      <c r="BW24" s="255">
        <f t="shared" si="15"/>
        <v>37000000</v>
      </c>
    </row>
    <row r="25" spans="1:75">
      <c r="A25" s="935"/>
      <c r="B25" s="253"/>
      <c r="C25" s="253"/>
      <c r="D25" s="134" t="s">
        <v>1012</v>
      </c>
      <c r="E25" s="159"/>
      <c r="F25" s="135"/>
      <c r="G25" s="257">
        <v>55</v>
      </c>
      <c r="H25" s="229">
        <f>BL25</f>
        <v>220000</v>
      </c>
      <c r="I25" s="229"/>
      <c r="J25" s="229"/>
      <c r="K25" s="229">
        <f>H25</f>
        <v>220000</v>
      </c>
      <c r="L25" s="229"/>
      <c r="M25" s="229"/>
      <c r="N25" s="229"/>
      <c r="O25" s="229"/>
      <c r="P25" s="260"/>
      <c r="Q25" s="260"/>
      <c r="R25" s="260"/>
      <c r="S25" s="283"/>
      <c r="T25" s="283"/>
      <c r="U25" s="283"/>
      <c r="V25" s="283"/>
      <c r="W25" s="310"/>
      <c r="X25" s="310"/>
      <c r="Y25" s="310"/>
      <c r="Z25" s="310"/>
      <c r="AA25" s="257"/>
      <c r="AB25" s="262"/>
      <c r="AC25" s="257"/>
      <c r="AD25" s="262"/>
      <c r="AE25" s="257"/>
      <c r="AF25" s="262"/>
      <c r="AG25" s="257"/>
      <c r="AH25" s="262"/>
      <c r="AI25" s="257"/>
      <c r="AJ25" s="262"/>
      <c r="AK25" s="257"/>
      <c r="AL25" s="262"/>
      <c r="AM25" s="257"/>
      <c r="AN25" s="262"/>
      <c r="AO25" s="257"/>
      <c r="AP25" s="262"/>
      <c r="AQ25" s="257"/>
      <c r="AR25" s="262"/>
      <c r="AS25" s="257"/>
      <c r="AT25" s="262"/>
      <c r="AU25" s="257">
        <v>55</v>
      </c>
      <c r="AV25" s="262">
        <v>220000</v>
      </c>
      <c r="AW25" s="257"/>
      <c r="AX25" s="262"/>
      <c r="AY25" s="257"/>
      <c r="AZ25" s="262"/>
      <c r="BA25" s="257"/>
      <c r="BB25" s="262"/>
      <c r="BC25" s="257"/>
      <c r="BD25" s="262"/>
      <c r="BE25" s="257"/>
      <c r="BF25" s="262"/>
      <c r="BG25" s="257"/>
      <c r="BH25" s="262"/>
      <c r="BI25" s="257"/>
      <c r="BJ25" s="262"/>
      <c r="BK25" s="255">
        <f t="shared" ref="BK25" si="38">BI25+BG25+BE25+BC25+BA25+AY25+AW25+AU25+AS25+AQ25+AO25+AM25+AK25+AI25+AG25+AE25+AC25+AA25</f>
        <v>55</v>
      </c>
      <c r="BL25" s="255">
        <f t="shared" ref="BL25" si="39">BJ25+BH25+BF25+BD25+BB25+AZ25+AX25+AV25+AT25+AR25+AP25+AN25+AL25+AJ25+AH25+AF25+AD25+AB25</f>
        <v>220000</v>
      </c>
      <c r="BM25" s="159" t="s">
        <v>554</v>
      </c>
      <c r="BO25" s="254"/>
      <c r="BP25" s="254"/>
      <c r="BQ25" s="254"/>
      <c r="BR25" s="254"/>
      <c r="BS25" s="254"/>
      <c r="BT25" s="254"/>
      <c r="BU25" s="254"/>
      <c r="BV25" s="254"/>
      <c r="BW25" s="255"/>
    </row>
    <row r="26" spans="1:75" s="725" customFormat="1" ht="67.5" customHeight="1">
      <c r="A26" s="935"/>
      <c r="B26" s="722"/>
      <c r="C26" s="722"/>
      <c r="D26" s="817" t="s">
        <v>988</v>
      </c>
      <c r="E26" s="724" t="s">
        <v>248</v>
      </c>
      <c r="F26" s="711">
        <v>115000</v>
      </c>
      <c r="G26" s="714">
        <f t="shared" si="37"/>
        <v>129</v>
      </c>
      <c r="H26" s="715">
        <f>G26*F26</f>
        <v>14835000</v>
      </c>
      <c r="I26" s="715"/>
      <c r="J26" s="715"/>
      <c r="K26" s="715"/>
      <c r="L26" s="715"/>
      <c r="M26" s="715">
        <f>H26</f>
        <v>14835000</v>
      </c>
      <c r="N26" s="715"/>
      <c r="O26" s="715"/>
      <c r="P26" s="719"/>
      <c r="Q26" s="719"/>
      <c r="R26" s="719"/>
      <c r="S26" s="774">
        <f t="shared" si="20"/>
        <v>32.25</v>
      </c>
      <c r="T26" s="774">
        <f t="shared" si="21"/>
        <v>32.25</v>
      </c>
      <c r="U26" s="774">
        <f t="shared" si="22"/>
        <v>32.25</v>
      </c>
      <c r="V26" s="774">
        <f t="shared" si="23"/>
        <v>32.25</v>
      </c>
      <c r="W26" s="820">
        <f t="shared" si="24"/>
        <v>3708750</v>
      </c>
      <c r="X26" s="820">
        <f t="shared" si="25"/>
        <v>3708750</v>
      </c>
      <c r="Y26" s="820">
        <f t="shared" si="26"/>
        <v>3708750</v>
      </c>
      <c r="Z26" s="820">
        <f t="shared" si="27"/>
        <v>3708750</v>
      </c>
      <c r="AA26" s="714">
        <v>12</v>
      </c>
      <c r="AB26" s="713">
        <f t="shared" si="1"/>
        <v>1380000</v>
      </c>
      <c r="AC26" s="714">
        <v>5</v>
      </c>
      <c r="AD26" s="713">
        <f t="shared" si="2"/>
        <v>575000</v>
      </c>
      <c r="AE26" s="714">
        <v>10</v>
      </c>
      <c r="AF26" s="713">
        <f t="shared" si="3"/>
        <v>1150000</v>
      </c>
      <c r="AG26" s="714">
        <v>7</v>
      </c>
      <c r="AH26" s="713">
        <f t="shared" si="4"/>
        <v>805000</v>
      </c>
      <c r="AI26" s="714">
        <v>4</v>
      </c>
      <c r="AJ26" s="713">
        <f t="shared" si="5"/>
        <v>460000</v>
      </c>
      <c r="AK26" s="714">
        <v>8</v>
      </c>
      <c r="AL26" s="713">
        <f t="shared" si="6"/>
        <v>920000</v>
      </c>
      <c r="AM26" s="714">
        <v>4</v>
      </c>
      <c r="AN26" s="713">
        <f t="shared" ref="AN26:AN34" si="40">AM26*F26</f>
        <v>460000</v>
      </c>
      <c r="AO26" s="714">
        <v>5</v>
      </c>
      <c r="AP26" s="713">
        <f t="shared" si="7"/>
        <v>575000</v>
      </c>
      <c r="AQ26" s="714">
        <v>7</v>
      </c>
      <c r="AR26" s="713">
        <f t="shared" si="28"/>
        <v>805000</v>
      </c>
      <c r="AS26" s="714">
        <v>12</v>
      </c>
      <c r="AT26" s="713">
        <f t="shared" si="29"/>
        <v>1380000</v>
      </c>
      <c r="AU26" s="714">
        <v>8</v>
      </c>
      <c r="AV26" s="713">
        <f t="shared" si="8"/>
        <v>920000</v>
      </c>
      <c r="AW26" s="714">
        <v>6</v>
      </c>
      <c r="AX26" s="713">
        <f t="shared" si="9"/>
        <v>690000</v>
      </c>
      <c r="AY26" s="714">
        <v>5</v>
      </c>
      <c r="AZ26" s="713">
        <f t="shared" si="10"/>
        <v>575000</v>
      </c>
      <c r="BA26" s="714">
        <v>6</v>
      </c>
      <c r="BB26" s="713">
        <f t="shared" si="30"/>
        <v>690000</v>
      </c>
      <c r="BC26" s="714">
        <v>11</v>
      </c>
      <c r="BD26" s="713">
        <f t="shared" si="11"/>
        <v>1265000</v>
      </c>
      <c r="BE26" s="714">
        <v>5</v>
      </c>
      <c r="BF26" s="713">
        <f t="shared" si="12"/>
        <v>575000</v>
      </c>
      <c r="BG26" s="714">
        <v>14</v>
      </c>
      <c r="BH26" s="713">
        <f t="shared" si="13"/>
        <v>1610000</v>
      </c>
      <c r="BI26" s="714"/>
      <c r="BJ26" s="713"/>
      <c r="BK26" s="727">
        <f t="shared" si="31"/>
        <v>129</v>
      </c>
      <c r="BL26" s="727">
        <f t="shared" si="32"/>
        <v>14835000</v>
      </c>
      <c r="BM26" s="724" t="s">
        <v>551</v>
      </c>
      <c r="BO26" s="726"/>
      <c r="BP26" s="726"/>
      <c r="BQ26" s="726">
        <f t="shared" si="33"/>
        <v>14835000</v>
      </c>
      <c r="BR26" s="726"/>
      <c r="BS26" s="726">
        <f t="shared" si="34"/>
        <v>14835000</v>
      </c>
      <c r="BT26" s="726"/>
      <c r="BU26" s="726"/>
      <c r="BV26" s="726"/>
      <c r="BW26" s="727">
        <f t="shared" si="15"/>
        <v>14835000</v>
      </c>
    </row>
    <row r="27" spans="1:75" s="752" customFormat="1" ht="67.5" customHeight="1">
      <c r="A27" s="935"/>
      <c r="B27" s="634"/>
      <c r="C27" s="634"/>
      <c r="D27" s="823" t="s">
        <v>996</v>
      </c>
      <c r="E27" s="741" t="s">
        <v>555</v>
      </c>
      <c r="F27" s="742">
        <v>115000</v>
      </c>
      <c r="G27" s="743">
        <f t="shared" ref="G27" si="41">BK27</f>
        <v>200</v>
      </c>
      <c r="H27" s="744">
        <f>G27*F27</f>
        <v>23000000</v>
      </c>
      <c r="I27" s="744"/>
      <c r="J27" s="744"/>
      <c r="K27" s="744"/>
      <c r="L27" s="744"/>
      <c r="M27" s="744"/>
      <c r="N27" s="744"/>
      <c r="O27" s="744">
        <f>H27</f>
        <v>23000000</v>
      </c>
      <c r="P27" s="745"/>
      <c r="Q27" s="745"/>
      <c r="R27" s="745"/>
      <c r="S27" s="800"/>
      <c r="T27" s="800"/>
      <c r="U27" s="800"/>
      <c r="V27" s="800">
        <f>G27</f>
        <v>200</v>
      </c>
      <c r="W27" s="749"/>
      <c r="X27" s="749"/>
      <c r="Y27" s="749"/>
      <c r="Z27" s="749">
        <f>H27</f>
        <v>23000000</v>
      </c>
      <c r="AA27" s="743">
        <v>2</v>
      </c>
      <c r="AB27" s="750">
        <f t="shared" ref="AB27" si="42">AA27*F27</f>
        <v>230000</v>
      </c>
      <c r="AC27" s="743">
        <v>2</v>
      </c>
      <c r="AD27" s="750">
        <f t="shared" ref="AD27" si="43">AC27*F27</f>
        <v>230000</v>
      </c>
      <c r="AE27" s="743">
        <v>37</v>
      </c>
      <c r="AF27" s="750">
        <f t="shared" ref="AF27" si="44">AE27*F27</f>
        <v>4255000</v>
      </c>
      <c r="AG27" s="743">
        <v>4</v>
      </c>
      <c r="AH27" s="750">
        <f t="shared" ref="AH27" si="45">AG27*F27</f>
        <v>460000</v>
      </c>
      <c r="AI27" s="743">
        <v>6</v>
      </c>
      <c r="AJ27" s="750">
        <f t="shared" ref="AJ27" si="46">AI27*F27</f>
        <v>690000</v>
      </c>
      <c r="AK27" s="743">
        <v>4</v>
      </c>
      <c r="AL27" s="750">
        <f t="shared" ref="AL27" si="47">AK27*F27</f>
        <v>460000</v>
      </c>
      <c r="AM27" s="743">
        <v>14</v>
      </c>
      <c r="AN27" s="750">
        <f t="shared" ref="AN27" si="48">AM27*F27</f>
        <v>1610000</v>
      </c>
      <c r="AO27" s="743">
        <v>12</v>
      </c>
      <c r="AP27" s="750">
        <f t="shared" ref="AP27" si="49">AO27*F27</f>
        <v>1380000</v>
      </c>
      <c r="AQ27" s="743">
        <v>2</v>
      </c>
      <c r="AR27" s="750">
        <f t="shared" ref="AR27" si="50">AQ27*F27</f>
        <v>230000</v>
      </c>
      <c r="AS27" s="743">
        <v>25</v>
      </c>
      <c r="AT27" s="750">
        <f t="shared" ref="AT27" si="51">AS27*F27</f>
        <v>2875000</v>
      </c>
      <c r="AU27" s="743">
        <v>54</v>
      </c>
      <c r="AV27" s="750">
        <f t="shared" ref="AV27" si="52">AU27*F27</f>
        <v>6210000</v>
      </c>
      <c r="AW27" s="743">
        <v>16</v>
      </c>
      <c r="AX27" s="750">
        <f t="shared" ref="AX27" si="53">AW27*F27</f>
        <v>1840000</v>
      </c>
      <c r="AY27" s="743">
        <v>9</v>
      </c>
      <c r="AZ27" s="750">
        <f t="shared" ref="AZ27" si="54">AY27*F27</f>
        <v>1035000</v>
      </c>
      <c r="BA27" s="743">
        <v>3</v>
      </c>
      <c r="BB27" s="750">
        <f t="shared" ref="BB27" si="55">BA27*F27</f>
        <v>345000</v>
      </c>
      <c r="BC27" s="743">
        <v>3</v>
      </c>
      <c r="BD27" s="750">
        <f t="shared" ref="BD27" si="56">BC27*F27</f>
        <v>345000</v>
      </c>
      <c r="BE27" s="743">
        <v>3</v>
      </c>
      <c r="BF27" s="750">
        <f t="shared" ref="BF27" si="57">BE27*F27</f>
        <v>345000</v>
      </c>
      <c r="BG27" s="743">
        <v>4</v>
      </c>
      <c r="BH27" s="750">
        <f t="shared" ref="BH27" si="58">BG27*F27</f>
        <v>460000</v>
      </c>
      <c r="BI27" s="743"/>
      <c r="BJ27" s="750"/>
      <c r="BK27" s="751">
        <f t="shared" ref="BK27" si="59">BI27+BG27+BE27+BC27+BA27+AY27+AW27+AU27+AS27+AQ27+AO27+AM27+AK27+AI27+AG27+AE27+AC27+AA27</f>
        <v>200</v>
      </c>
      <c r="BL27" s="751">
        <f t="shared" ref="BL27" si="60">BJ27+BH27+BF27+BD27+BB27+AZ27+AX27+AV27+AT27+AR27+AP27+AN27+AL27+AJ27+AH27+AF27+AD27+AB27</f>
        <v>23000000</v>
      </c>
      <c r="BM27" s="741" t="s">
        <v>983</v>
      </c>
      <c r="BO27" s="753"/>
      <c r="BP27" s="753"/>
      <c r="BQ27" s="753"/>
      <c r="BR27" s="753"/>
      <c r="BS27" s="753"/>
      <c r="BT27" s="753"/>
      <c r="BU27" s="753"/>
      <c r="BV27" s="753"/>
      <c r="BW27" s="751"/>
    </row>
    <row r="28" spans="1:75" ht="47.25">
      <c r="A28" s="935"/>
      <c r="B28" s="253"/>
      <c r="C28" s="253"/>
      <c r="D28" s="134" t="s">
        <v>644</v>
      </c>
      <c r="E28" s="159" t="s">
        <v>248</v>
      </c>
      <c r="F28" s="135">
        <v>140000</v>
      </c>
      <c r="G28" s="257">
        <f t="shared" si="37"/>
        <v>0</v>
      </c>
      <c r="H28" s="229">
        <f t="shared" ref="H28:H33" si="61">BL28</f>
        <v>0</v>
      </c>
      <c r="I28" s="229"/>
      <c r="J28" s="229"/>
      <c r="K28" s="229">
        <f>H28</f>
        <v>0</v>
      </c>
      <c r="L28" s="229"/>
      <c r="M28" s="229"/>
      <c r="N28" s="229"/>
      <c r="O28" s="229"/>
      <c r="P28" s="260"/>
      <c r="Q28" s="260"/>
      <c r="R28" s="260"/>
      <c r="S28" s="283">
        <f t="shared" si="20"/>
        <v>0</v>
      </c>
      <c r="T28" s="283">
        <f t="shared" si="21"/>
        <v>0</v>
      </c>
      <c r="U28" s="283">
        <f t="shared" si="22"/>
        <v>0</v>
      </c>
      <c r="V28" s="283">
        <f t="shared" si="23"/>
        <v>0</v>
      </c>
      <c r="W28" s="310">
        <f t="shared" si="24"/>
        <v>0</v>
      </c>
      <c r="X28" s="310">
        <f t="shared" si="25"/>
        <v>0</v>
      </c>
      <c r="Y28" s="310">
        <f t="shared" si="26"/>
        <v>0</v>
      </c>
      <c r="Z28" s="310">
        <f>V28*F28+100000</f>
        <v>100000</v>
      </c>
      <c r="AA28" s="257">
        <v>0</v>
      </c>
      <c r="AB28" s="262">
        <f>AA28*F28</f>
        <v>0</v>
      </c>
      <c r="AC28" s="257">
        <v>0</v>
      </c>
      <c r="AD28" s="262">
        <f>AC28*F28</f>
        <v>0</v>
      </c>
      <c r="AE28" s="257">
        <v>0</v>
      </c>
      <c r="AF28" s="262">
        <f>AE28*F28</f>
        <v>0</v>
      </c>
      <c r="AG28" s="257">
        <v>0</v>
      </c>
      <c r="AH28" s="262">
        <f>AG28*F28</f>
        <v>0</v>
      </c>
      <c r="AI28" s="257">
        <v>0</v>
      </c>
      <c r="AJ28" s="262">
        <f>AI28*F28</f>
        <v>0</v>
      </c>
      <c r="AK28" s="257">
        <v>0</v>
      </c>
      <c r="AL28" s="262">
        <f>AK28*F28</f>
        <v>0</v>
      </c>
      <c r="AM28" s="257">
        <v>0</v>
      </c>
      <c r="AN28" s="262">
        <f>AM28*F28</f>
        <v>0</v>
      </c>
      <c r="AO28" s="257">
        <v>0</v>
      </c>
      <c r="AP28" s="262">
        <f>AO28*F28</f>
        <v>0</v>
      </c>
      <c r="AQ28" s="257">
        <v>0</v>
      </c>
      <c r="AR28" s="262">
        <f>AQ28*F28</f>
        <v>0</v>
      </c>
      <c r="AS28" s="257">
        <v>0</v>
      </c>
      <c r="AT28" s="262">
        <f>AS28*F28</f>
        <v>0</v>
      </c>
      <c r="AU28" s="257">
        <v>0</v>
      </c>
      <c r="AV28" s="262">
        <f>AU28*F28</f>
        <v>0</v>
      </c>
      <c r="AW28" s="257">
        <v>0</v>
      </c>
      <c r="AX28" s="262">
        <f>AW28*F28</f>
        <v>0</v>
      </c>
      <c r="AY28" s="257">
        <v>0</v>
      </c>
      <c r="AZ28" s="262">
        <f>AY28*F28</f>
        <v>0</v>
      </c>
      <c r="BA28" s="257">
        <v>0</v>
      </c>
      <c r="BB28" s="262">
        <f>BA28*F28</f>
        <v>0</v>
      </c>
      <c r="BC28" s="257">
        <v>0</v>
      </c>
      <c r="BD28" s="262">
        <f>BC28*F28</f>
        <v>0</v>
      </c>
      <c r="BE28" s="257">
        <v>0</v>
      </c>
      <c r="BF28" s="262">
        <f>BE28*F28</f>
        <v>0</v>
      </c>
      <c r="BG28" s="257">
        <v>0</v>
      </c>
      <c r="BH28" s="262">
        <f>BG28*F28</f>
        <v>0</v>
      </c>
      <c r="BI28" s="257"/>
      <c r="BJ28" s="262"/>
      <c r="BK28" s="255">
        <f t="shared" si="31"/>
        <v>0</v>
      </c>
      <c r="BL28" s="255">
        <f t="shared" si="32"/>
        <v>0</v>
      </c>
      <c r="BM28" s="159" t="s">
        <v>552</v>
      </c>
      <c r="BO28" s="254"/>
      <c r="BP28" s="254"/>
      <c r="BQ28" s="254">
        <f t="shared" si="33"/>
        <v>0</v>
      </c>
      <c r="BR28" s="254"/>
      <c r="BS28" s="254">
        <f t="shared" si="34"/>
        <v>0</v>
      </c>
      <c r="BT28" s="254"/>
      <c r="BU28" s="254"/>
      <c r="BV28" s="254"/>
      <c r="BW28" s="255">
        <f t="shared" si="15"/>
        <v>0</v>
      </c>
    </row>
    <row r="29" spans="1:75" s="725" customFormat="1" ht="54" customHeight="1">
      <c r="A29" s="935"/>
      <c r="B29" s="722"/>
      <c r="C29" s="722"/>
      <c r="D29" s="817" t="s">
        <v>1025</v>
      </c>
      <c r="E29" s="818" t="s">
        <v>319</v>
      </c>
      <c r="F29" s="819">
        <v>4000</v>
      </c>
      <c r="G29" s="714">
        <f t="shared" si="37"/>
        <v>1710</v>
      </c>
      <c r="H29" s="715">
        <f t="shared" si="61"/>
        <v>6840000</v>
      </c>
      <c r="I29" s="715"/>
      <c r="J29" s="715"/>
      <c r="K29" s="715"/>
      <c r="L29" s="715"/>
      <c r="M29" s="715">
        <f>H29*0.8</f>
        <v>5472000</v>
      </c>
      <c r="N29" s="715"/>
      <c r="O29" s="715"/>
      <c r="P29" s="719"/>
      <c r="Q29" s="719">
        <f>H29*0.2</f>
        <v>1368000</v>
      </c>
      <c r="R29" s="719"/>
      <c r="S29" s="774">
        <f t="shared" si="20"/>
        <v>427.5</v>
      </c>
      <c r="T29" s="774">
        <f t="shared" si="21"/>
        <v>427.5</v>
      </c>
      <c r="U29" s="774">
        <f t="shared" si="22"/>
        <v>427.5</v>
      </c>
      <c r="V29" s="774">
        <f t="shared" si="23"/>
        <v>427.5</v>
      </c>
      <c r="W29" s="820">
        <f t="shared" si="24"/>
        <v>1710000</v>
      </c>
      <c r="X29" s="820">
        <f t="shared" si="25"/>
        <v>1710000</v>
      </c>
      <c r="Y29" s="820">
        <f t="shared" si="26"/>
        <v>1710000</v>
      </c>
      <c r="Z29" s="820">
        <f t="shared" si="27"/>
        <v>1710000</v>
      </c>
      <c r="AA29" s="714">
        <v>167</v>
      </c>
      <c r="AB29" s="713">
        <f t="shared" si="1"/>
        <v>668000</v>
      </c>
      <c r="AC29" s="714">
        <v>45</v>
      </c>
      <c r="AD29" s="713">
        <f t="shared" si="2"/>
        <v>180000</v>
      </c>
      <c r="AE29" s="714">
        <v>134</v>
      </c>
      <c r="AF29" s="713">
        <f t="shared" si="3"/>
        <v>536000</v>
      </c>
      <c r="AG29" s="714">
        <v>93</v>
      </c>
      <c r="AH29" s="713">
        <f t="shared" si="4"/>
        <v>372000</v>
      </c>
      <c r="AI29" s="714">
        <v>36</v>
      </c>
      <c r="AJ29" s="713">
        <f t="shared" si="5"/>
        <v>144000</v>
      </c>
      <c r="AK29" s="714">
        <v>110</v>
      </c>
      <c r="AL29" s="713">
        <f t="shared" si="6"/>
        <v>440000</v>
      </c>
      <c r="AM29" s="714">
        <v>45</v>
      </c>
      <c r="AN29" s="713">
        <f t="shared" si="40"/>
        <v>180000</v>
      </c>
      <c r="AO29" s="714">
        <v>65</v>
      </c>
      <c r="AP29" s="713">
        <f t="shared" si="7"/>
        <v>260000</v>
      </c>
      <c r="AQ29" s="714">
        <v>86</v>
      </c>
      <c r="AR29" s="713">
        <f t="shared" si="28"/>
        <v>344000</v>
      </c>
      <c r="AS29" s="714">
        <v>168</v>
      </c>
      <c r="AT29" s="713">
        <f t="shared" si="29"/>
        <v>672000</v>
      </c>
      <c r="AU29" s="714">
        <v>138</v>
      </c>
      <c r="AV29" s="713">
        <f t="shared" si="8"/>
        <v>552000</v>
      </c>
      <c r="AW29" s="714">
        <v>72</v>
      </c>
      <c r="AX29" s="713">
        <f t="shared" si="9"/>
        <v>288000</v>
      </c>
      <c r="AY29" s="714">
        <v>50</v>
      </c>
      <c r="AZ29" s="713">
        <f t="shared" si="10"/>
        <v>200000</v>
      </c>
      <c r="BA29" s="714">
        <v>84</v>
      </c>
      <c r="BB29" s="713">
        <f t="shared" si="30"/>
        <v>336000</v>
      </c>
      <c r="BC29" s="714">
        <v>149</v>
      </c>
      <c r="BD29" s="713">
        <f t="shared" si="11"/>
        <v>596000</v>
      </c>
      <c r="BE29" s="714">
        <v>41</v>
      </c>
      <c r="BF29" s="713">
        <f t="shared" si="12"/>
        <v>164000</v>
      </c>
      <c r="BG29" s="714">
        <v>227</v>
      </c>
      <c r="BH29" s="713">
        <f t="shared" si="13"/>
        <v>908000</v>
      </c>
      <c r="BI29" s="714">
        <v>0</v>
      </c>
      <c r="BJ29" s="713">
        <f t="shared" si="14"/>
        <v>0</v>
      </c>
      <c r="BK29" s="727">
        <f t="shared" si="31"/>
        <v>1710</v>
      </c>
      <c r="BL29" s="727">
        <f t="shared" si="32"/>
        <v>6840000</v>
      </c>
      <c r="BM29" s="818" t="s">
        <v>551</v>
      </c>
      <c r="BO29" s="726"/>
      <c r="BP29" s="726"/>
      <c r="BQ29" s="726">
        <f t="shared" si="33"/>
        <v>6840000</v>
      </c>
      <c r="BR29" s="726"/>
      <c r="BS29" s="726">
        <f t="shared" si="34"/>
        <v>6840000</v>
      </c>
      <c r="BT29" s="726"/>
      <c r="BU29" s="726"/>
      <c r="BV29" s="726"/>
      <c r="BW29" s="727">
        <f t="shared" si="15"/>
        <v>6840000</v>
      </c>
    </row>
    <row r="30" spans="1:75" s="559" customFormat="1" ht="38.25" customHeight="1">
      <c r="A30" s="935"/>
      <c r="B30" s="533"/>
      <c r="C30" s="533"/>
      <c r="D30" s="554" t="s">
        <v>978</v>
      </c>
      <c r="E30" s="494" t="s">
        <v>979</v>
      </c>
      <c r="F30" s="495">
        <v>1800</v>
      </c>
      <c r="G30" s="537">
        <f t="shared" si="37"/>
        <v>169</v>
      </c>
      <c r="H30" s="555">
        <f t="shared" si="61"/>
        <v>304200</v>
      </c>
      <c r="I30" s="555">
        <f>H30*0.2</f>
        <v>60840</v>
      </c>
      <c r="J30" s="555">
        <f>H30*0.8</f>
        <v>243360</v>
      </c>
      <c r="K30" s="555"/>
      <c r="L30" s="555"/>
      <c r="M30" s="555"/>
      <c r="N30" s="555"/>
      <c r="O30" s="555"/>
      <c r="P30" s="518"/>
      <c r="Q30" s="518"/>
      <c r="R30" s="518"/>
      <c r="S30" s="543"/>
      <c r="T30" s="543"/>
      <c r="U30" s="543"/>
      <c r="V30" s="543">
        <v>1</v>
      </c>
      <c r="W30" s="556">
        <f>S30*F30</f>
        <v>0</v>
      </c>
      <c r="X30" s="556">
        <f>T30*F30</f>
        <v>0</v>
      </c>
      <c r="Y30" s="556">
        <f>U30*F30</f>
        <v>0</v>
      </c>
      <c r="Z30" s="556">
        <f>V30*F30</f>
        <v>1800</v>
      </c>
      <c r="AA30" s="537">
        <v>10</v>
      </c>
      <c r="AB30" s="557">
        <f t="shared" si="1"/>
        <v>18000</v>
      </c>
      <c r="AC30" s="537">
        <v>5</v>
      </c>
      <c r="AD30" s="557">
        <f t="shared" si="2"/>
        <v>9000</v>
      </c>
      <c r="AE30" s="537">
        <v>9</v>
      </c>
      <c r="AF30" s="557">
        <f t="shared" si="3"/>
        <v>16200</v>
      </c>
      <c r="AG30" s="537">
        <v>12</v>
      </c>
      <c r="AH30" s="557">
        <f t="shared" si="4"/>
        <v>21600</v>
      </c>
      <c r="AI30" s="537">
        <v>4</v>
      </c>
      <c r="AJ30" s="557">
        <f t="shared" si="5"/>
        <v>7200</v>
      </c>
      <c r="AK30" s="537">
        <v>8</v>
      </c>
      <c r="AL30" s="557">
        <f t="shared" si="6"/>
        <v>14400</v>
      </c>
      <c r="AM30" s="537">
        <v>12</v>
      </c>
      <c r="AN30" s="557">
        <f t="shared" si="40"/>
        <v>21600</v>
      </c>
      <c r="AO30" s="537">
        <v>8</v>
      </c>
      <c r="AP30" s="557">
        <f t="shared" si="7"/>
        <v>14400</v>
      </c>
      <c r="AQ30" s="537">
        <v>4</v>
      </c>
      <c r="AR30" s="557">
        <f t="shared" si="28"/>
        <v>7200</v>
      </c>
      <c r="AS30" s="537">
        <v>8</v>
      </c>
      <c r="AT30" s="557">
        <f t="shared" si="29"/>
        <v>14400</v>
      </c>
      <c r="AU30" s="537">
        <v>15</v>
      </c>
      <c r="AV30" s="557">
        <f t="shared" si="8"/>
        <v>27000</v>
      </c>
      <c r="AW30" s="537">
        <v>9</v>
      </c>
      <c r="AX30" s="557">
        <f t="shared" si="9"/>
        <v>16200</v>
      </c>
      <c r="AY30" s="537">
        <v>21</v>
      </c>
      <c r="AZ30" s="262">
        <f t="shared" si="10"/>
        <v>37800</v>
      </c>
      <c r="BA30" s="537">
        <v>9</v>
      </c>
      <c r="BB30" s="557">
        <f t="shared" si="30"/>
        <v>16200</v>
      </c>
      <c r="BC30" s="537">
        <v>9</v>
      </c>
      <c r="BD30" s="557">
        <f t="shared" si="11"/>
        <v>16200</v>
      </c>
      <c r="BE30" s="537">
        <v>17</v>
      </c>
      <c r="BF30" s="557">
        <f t="shared" si="12"/>
        <v>30600</v>
      </c>
      <c r="BG30" s="537">
        <v>9</v>
      </c>
      <c r="BH30" s="557">
        <f t="shared" si="13"/>
        <v>16200</v>
      </c>
      <c r="BI30" s="537"/>
      <c r="BJ30" s="557"/>
      <c r="BK30" s="558">
        <f t="shared" si="31"/>
        <v>169</v>
      </c>
      <c r="BL30" s="558">
        <f t="shared" si="32"/>
        <v>304200</v>
      </c>
      <c r="BM30" s="494" t="s">
        <v>581</v>
      </c>
      <c r="BO30" s="560"/>
      <c r="BP30" s="560"/>
      <c r="BQ30" s="560">
        <f t="shared" si="33"/>
        <v>304200</v>
      </c>
      <c r="BR30" s="560"/>
      <c r="BS30" s="560">
        <f t="shared" si="34"/>
        <v>304200</v>
      </c>
      <c r="BT30" s="560"/>
      <c r="BU30" s="560"/>
      <c r="BV30" s="560"/>
      <c r="BW30" s="558">
        <f t="shared" si="15"/>
        <v>304200</v>
      </c>
    </row>
    <row r="31" spans="1:75" ht="33.75" customHeight="1">
      <c r="A31" s="935"/>
      <c r="B31" s="253"/>
      <c r="C31" s="473" t="s">
        <v>897</v>
      </c>
      <c r="D31" s="134" t="s">
        <v>726</v>
      </c>
      <c r="E31" s="159" t="s">
        <v>319</v>
      </c>
      <c r="F31" s="135" t="s">
        <v>318</v>
      </c>
      <c r="G31" s="257">
        <f t="shared" si="37"/>
        <v>0</v>
      </c>
      <c r="H31" s="229">
        <f t="shared" si="61"/>
        <v>0</v>
      </c>
      <c r="I31" s="229">
        <f>H31*0.1</f>
        <v>0</v>
      </c>
      <c r="J31" s="229">
        <f>H31*0.8</f>
        <v>0</v>
      </c>
      <c r="K31" s="229"/>
      <c r="L31" s="229"/>
      <c r="M31" s="229"/>
      <c r="N31" s="229"/>
      <c r="O31" s="229"/>
      <c r="P31" s="260"/>
      <c r="Q31" s="260">
        <f>H31*0.1</f>
        <v>0</v>
      </c>
      <c r="R31" s="260"/>
      <c r="S31" s="283">
        <v>0</v>
      </c>
      <c r="T31" s="283">
        <v>0</v>
      </c>
      <c r="U31" s="283">
        <f t="shared" si="22"/>
        <v>0</v>
      </c>
      <c r="V31" s="283">
        <f t="shared" si="23"/>
        <v>0</v>
      </c>
      <c r="W31" s="310">
        <f t="shared" si="24"/>
        <v>0</v>
      </c>
      <c r="X31" s="310">
        <f t="shared" si="25"/>
        <v>0</v>
      </c>
      <c r="Y31" s="310">
        <f>0</f>
        <v>0</v>
      </c>
      <c r="Z31" s="310">
        <f>H31</f>
        <v>0</v>
      </c>
      <c r="AA31" s="257">
        <v>0</v>
      </c>
      <c r="AB31" s="262">
        <f t="shared" si="1"/>
        <v>0</v>
      </c>
      <c r="AC31" s="257">
        <v>0</v>
      </c>
      <c r="AD31" s="262">
        <f>AC31*F31</f>
        <v>0</v>
      </c>
      <c r="AE31" s="257">
        <v>0</v>
      </c>
      <c r="AF31" s="262">
        <f t="shared" si="3"/>
        <v>0</v>
      </c>
      <c r="AG31" s="257">
        <v>0</v>
      </c>
      <c r="AH31" s="262">
        <f t="shared" si="4"/>
        <v>0</v>
      </c>
      <c r="AI31" s="257">
        <v>0</v>
      </c>
      <c r="AJ31" s="262">
        <f t="shared" si="5"/>
        <v>0</v>
      </c>
      <c r="AK31" s="257">
        <v>0</v>
      </c>
      <c r="AL31" s="262">
        <f t="shared" si="6"/>
        <v>0</v>
      </c>
      <c r="AM31" s="257"/>
      <c r="AN31" s="262">
        <f t="shared" si="40"/>
        <v>0</v>
      </c>
      <c r="AO31" s="257"/>
      <c r="AP31" s="262">
        <f t="shared" si="7"/>
        <v>0</v>
      </c>
      <c r="AQ31" s="257"/>
      <c r="AR31" s="262">
        <f t="shared" si="28"/>
        <v>0</v>
      </c>
      <c r="AS31" s="257">
        <v>0</v>
      </c>
      <c r="AT31" s="262">
        <f t="shared" si="29"/>
        <v>0</v>
      </c>
      <c r="AU31" s="257"/>
      <c r="AV31" s="262">
        <f t="shared" si="8"/>
        <v>0</v>
      </c>
      <c r="AW31" s="257"/>
      <c r="AX31" s="262">
        <f t="shared" si="9"/>
        <v>0</v>
      </c>
      <c r="AY31" s="172">
        <v>0</v>
      </c>
      <c r="AZ31" s="262">
        <f t="shared" si="10"/>
        <v>0</v>
      </c>
      <c r="BA31" s="257"/>
      <c r="BB31" s="262">
        <f t="shared" si="30"/>
        <v>0</v>
      </c>
      <c r="BC31" s="257">
        <v>0</v>
      </c>
      <c r="BD31" s="262">
        <f t="shared" si="11"/>
        <v>0</v>
      </c>
      <c r="BE31" s="257">
        <v>0</v>
      </c>
      <c r="BF31" s="262">
        <f t="shared" si="12"/>
        <v>0</v>
      </c>
      <c r="BG31" s="257">
        <v>0</v>
      </c>
      <c r="BH31" s="262">
        <f t="shared" si="13"/>
        <v>0</v>
      </c>
      <c r="BI31" s="257"/>
      <c r="BJ31" s="262">
        <f t="shared" si="14"/>
        <v>0</v>
      </c>
      <c r="BK31" s="255">
        <f t="shared" si="31"/>
        <v>0</v>
      </c>
      <c r="BL31" s="255">
        <f t="shared" si="32"/>
        <v>0</v>
      </c>
      <c r="BM31" s="159" t="s">
        <v>221</v>
      </c>
      <c r="BO31" s="254"/>
      <c r="BP31" s="254"/>
      <c r="BQ31" s="254">
        <f t="shared" si="33"/>
        <v>0</v>
      </c>
      <c r="BR31" s="254"/>
      <c r="BS31" s="254">
        <f t="shared" si="34"/>
        <v>0</v>
      </c>
      <c r="BT31" s="254"/>
      <c r="BU31" s="254"/>
      <c r="BV31" s="254">
        <f>BT31+BU31</f>
        <v>0</v>
      </c>
      <c r="BW31" s="255">
        <f t="shared" si="15"/>
        <v>0</v>
      </c>
    </row>
    <row r="32" spans="1:75" ht="33.75" customHeight="1">
      <c r="A32" s="935"/>
      <c r="B32" s="253"/>
      <c r="C32" s="253"/>
      <c r="D32" s="134" t="s">
        <v>632</v>
      </c>
      <c r="E32" s="159" t="s">
        <v>631</v>
      </c>
      <c r="F32" s="135">
        <v>10000</v>
      </c>
      <c r="G32" s="257">
        <f t="shared" si="37"/>
        <v>0</v>
      </c>
      <c r="H32" s="229">
        <f t="shared" si="61"/>
        <v>0</v>
      </c>
      <c r="I32" s="229">
        <f>H32*0.1</f>
        <v>0</v>
      </c>
      <c r="J32" s="229">
        <f>H32*0.8</f>
        <v>0</v>
      </c>
      <c r="K32" s="229"/>
      <c r="L32" s="229"/>
      <c r="M32" s="229"/>
      <c r="N32" s="229"/>
      <c r="O32" s="229"/>
      <c r="P32" s="260"/>
      <c r="Q32" s="229">
        <f>H32*0.1</f>
        <v>0</v>
      </c>
      <c r="R32" s="260"/>
      <c r="S32" s="283"/>
      <c r="T32" s="283"/>
      <c r="U32" s="283">
        <v>50</v>
      </c>
      <c r="V32" s="283">
        <v>38</v>
      </c>
      <c r="W32" s="310">
        <f>S32*F32</f>
        <v>0</v>
      </c>
      <c r="X32" s="310">
        <f>T32*F32</f>
        <v>0</v>
      </c>
      <c r="Y32" s="310">
        <f>U32*F32</f>
        <v>500000</v>
      </c>
      <c r="Z32" s="310">
        <f>V32*F32</f>
        <v>380000</v>
      </c>
      <c r="AA32" s="257">
        <v>0</v>
      </c>
      <c r="AB32" s="262">
        <f t="shared" si="1"/>
        <v>0</v>
      </c>
      <c r="AC32" s="257">
        <v>0</v>
      </c>
      <c r="AD32" s="262">
        <f>AC32*F32</f>
        <v>0</v>
      </c>
      <c r="AE32" s="257">
        <v>0</v>
      </c>
      <c r="AF32" s="262">
        <f t="shared" si="3"/>
        <v>0</v>
      </c>
      <c r="AG32" s="257"/>
      <c r="AH32" s="262">
        <f t="shared" si="4"/>
        <v>0</v>
      </c>
      <c r="AI32" s="257"/>
      <c r="AJ32" s="262">
        <f t="shared" si="5"/>
        <v>0</v>
      </c>
      <c r="AK32" s="257"/>
      <c r="AL32" s="262"/>
      <c r="AM32" s="257"/>
      <c r="AN32" s="262">
        <f t="shared" si="40"/>
        <v>0</v>
      </c>
      <c r="AO32" s="257"/>
      <c r="AP32" s="262">
        <f t="shared" si="7"/>
        <v>0</v>
      </c>
      <c r="AQ32" s="257"/>
      <c r="AR32" s="262">
        <f t="shared" si="28"/>
        <v>0</v>
      </c>
      <c r="AS32" s="257"/>
      <c r="AT32" s="262">
        <f t="shared" si="29"/>
        <v>0</v>
      </c>
      <c r="AU32" s="257"/>
      <c r="AV32" s="262">
        <f t="shared" si="8"/>
        <v>0</v>
      </c>
      <c r="AW32" s="257"/>
      <c r="AX32" s="262">
        <f t="shared" si="9"/>
        <v>0</v>
      </c>
      <c r="AY32" s="257"/>
      <c r="AZ32" s="262">
        <f t="shared" si="10"/>
        <v>0</v>
      </c>
      <c r="BA32" s="257"/>
      <c r="BB32" s="262"/>
      <c r="BC32" s="257"/>
      <c r="BD32" s="262">
        <f t="shared" si="11"/>
        <v>0</v>
      </c>
      <c r="BE32" s="257"/>
      <c r="BF32" s="262">
        <f t="shared" si="12"/>
        <v>0</v>
      </c>
      <c r="BG32" s="257"/>
      <c r="BH32" s="262"/>
      <c r="BI32" s="257"/>
      <c r="BJ32" s="262"/>
      <c r="BK32" s="255">
        <f>BI32+BG32+BE32+BC32+BA32+AY32+AW32+AU32+AS32+AQ32+AO32+AM32+AK32+AI32+AG32+AE32+AC32+AA32</f>
        <v>0</v>
      </c>
      <c r="BL32" s="255">
        <f>BJ32+BH32+BF32+BD32+BB32+AZ32+AX32+AV32+AT32+AR32+AP32+AN32+AL32+AJ32+AH32+AF32+AD32+AB32</f>
        <v>0</v>
      </c>
      <c r="BM32" s="159"/>
      <c r="BO32" s="254"/>
      <c r="BP32" s="254"/>
      <c r="BQ32" s="254">
        <f t="shared" si="33"/>
        <v>0</v>
      </c>
      <c r="BR32" s="254"/>
      <c r="BS32" s="254">
        <f t="shared" si="34"/>
        <v>0</v>
      </c>
      <c r="BT32" s="254"/>
      <c r="BU32" s="254"/>
      <c r="BV32" s="254"/>
      <c r="BW32" s="255">
        <f t="shared" si="15"/>
        <v>0</v>
      </c>
    </row>
    <row r="33" spans="1:75" ht="33.75" customHeight="1">
      <c r="A33" s="935"/>
      <c r="B33" s="253"/>
      <c r="C33" s="473" t="s">
        <v>898</v>
      </c>
      <c r="D33" s="196" t="s">
        <v>916</v>
      </c>
      <c r="E33" s="196" t="s">
        <v>81</v>
      </c>
      <c r="F33" s="738">
        <v>5000</v>
      </c>
      <c r="G33" s="257">
        <f t="shared" si="37"/>
        <v>65</v>
      </c>
      <c r="H33" s="229">
        <f t="shared" si="61"/>
        <v>325000</v>
      </c>
      <c r="I33" s="229">
        <f>H33*0.2</f>
        <v>65000</v>
      </c>
      <c r="J33" s="229">
        <f>H33*0.8</f>
        <v>260000</v>
      </c>
      <c r="K33" s="229"/>
      <c r="L33" s="229"/>
      <c r="M33" s="229"/>
      <c r="N33" s="229"/>
      <c r="O33" s="229"/>
      <c r="P33" s="260"/>
      <c r="Q33" s="260"/>
      <c r="R33" s="260"/>
      <c r="S33" s="283"/>
      <c r="T33" s="283"/>
      <c r="U33" s="283"/>
      <c r="V33" s="283">
        <v>2</v>
      </c>
      <c r="W33" s="310">
        <f>S33*F33</f>
        <v>0</v>
      </c>
      <c r="X33" s="310">
        <f>T33*F33</f>
        <v>0</v>
      </c>
      <c r="Y33" s="310">
        <f>U33*F33</f>
        <v>0</v>
      </c>
      <c r="Z33" s="310">
        <f>V33*F33</f>
        <v>10000</v>
      </c>
      <c r="AA33" s="257">
        <v>3</v>
      </c>
      <c r="AB33" s="262">
        <f t="shared" si="1"/>
        <v>15000</v>
      </c>
      <c r="AC33" s="257">
        <v>2</v>
      </c>
      <c r="AD33" s="262">
        <f>AC33*F33</f>
        <v>10000</v>
      </c>
      <c r="AE33" s="257">
        <v>3</v>
      </c>
      <c r="AF33" s="262">
        <f t="shared" si="3"/>
        <v>15000</v>
      </c>
      <c r="AG33" s="257">
        <v>3</v>
      </c>
      <c r="AH33" s="262">
        <f t="shared" si="4"/>
        <v>15000</v>
      </c>
      <c r="AI33" s="257">
        <v>2</v>
      </c>
      <c r="AJ33" s="262">
        <f t="shared" si="5"/>
        <v>10000</v>
      </c>
      <c r="AK33" s="257">
        <v>3</v>
      </c>
      <c r="AL33" s="262">
        <f>AK33*F33</f>
        <v>15000</v>
      </c>
      <c r="AM33" s="257">
        <v>2</v>
      </c>
      <c r="AN33" s="262">
        <f t="shared" si="40"/>
        <v>10000</v>
      </c>
      <c r="AO33" s="537">
        <v>4</v>
      </c>
      <c r="AP33" s="557">
        <f t="shared" si="7"/>
        <v>20000</v>
      </c>
      <c r="AQ33" s="257">
        <v>2</v>
      </c>
      <c r="AR33" s="262">
        <f t="shared" si="28"/>
        <v>10000</v>
      </c>
      <c r="AS33" s="257">
        <v>3</v>
      </c>
      <c r="AT33" s="262">
        <f t="shared" si="29"/>
        <v>15000</v>
      </c>
      <c r="AU33" s="257">
        <v>5</v>
      </c>
      <c r="AV33" s="262">
        <f t="shared" si="8"/>
        <v>25000</v>
      </c>
      <c r="AW33" s="257">
        <v>5</v>
      </c>
      <c r="AX33" s="262">
        <f t="shared" si="9"/>
        <v>25000</v>
      </c>
      <c r="AY33" s="257">
        <v>6</v>
      </c>
      <c r="AZ33" s="262">
        <f t="shared" si="10"/>
        <v>30000</v>
      </c>
      <c r="BA33" s="257">
        <v>7</v>
      </c>
      <c r="BB33" s="262">
        <f t="shared" si="30"/>
        <v>35000</v>
      </c>
      <c r="BC33" s="257">
        <v>3</v>
      </c>
      <c r="BD33" s="262">
        <f t="shared" si="11"/>
        <v>15000</v>
      </c>
      <c r="BE33" s="257">
        <v>6</v>
      </c>
      <c r="BF33" s="262">
        <f t="shared" si="12"/>
        <v>30000</v>
      </c>
      <c r="BG33" s="257">
        <v>6</v>
      </c>
      <c r="BH33" s="165">
        <f t="shared" si="13"/>
        <v>30000</v>
      </c>
      <c r="BI33" s="257"/>
      <c r="BJ33" s="262"/>
      <c r="BK33" s="255">
        <f>BI33+BG33+BE33+BC33+BA33+AY33+AW33+AU33+AS33+AQ33+AO33+AM33+AK33+AI33+AG33+AE33+AC33+AA33</f>
        <v>65</v>
      </c>
      <c r="BL33" s="255">
        <f>BJ33+BH33+BF33+BD33+BB33+AZ33+AX33+AV33+AT33+AR33+AP33+AN33+AL33+AJ33+AH33+AF33+AD33+AB33</f>
        <v>325000</v>
      </c>
      <c r="BM33" s="159"/>
      <c r="BO33" s="254"/>
      <c r="BP33" s="254"/>
      <c r="BQ33" s="254">
        <f t="shared" si="33"/>
        <v>325000</v>
      </c>
      <c r="BR33" s="254"/>
      <c r="BS33" s="254">
        <f t="shared" si="34"/>
        <v>325000</v>
      </c>
      <c r="BT33" s="254"/>
      <c r="BU33" s="254"/>
      <c r="BV33" s="254"/>
      <c r="BW33" s="255">
        <f t="shared" si="15"/>
        <v>325000</v>
      </c>
    </row>
    <row r="34" spans="1:75" s="179" customFormat="1" ht="63">
      <c r="A34" s="935"/>
      <c r="B34" s="519"/>
      <c r="C34" s="473" t="s">
        <v>899</v>
      </c>
      <c r="D34" s="527" t="s">
        <v>962</v>
      </c>
      <c r="E34" s="275" t="s">
        <v>319</v>
      </c>
      <c r="F34" s="274">
        <v>25000</v>
      </c>
      <c r="G34" s="255">
        <f>BK34</f>
        <v>323</v>
      </c>
      <c r="H34" s="255">
        <f>BL34</f>
        <v>8201000</v>
      </c>
      <c r="I34" s="521">
        <f>H34*0.1</f>
        <v>820100</v>
      </c>
      <c r="J34" s="521">
        <f>H34*0.8</f>
        <v>6560800</v>
      </c>
      <c r="K34" s="521"/>
      <c r="L34" s="521"/>
      <c r="M34" s="521"/>
      <c r="N34" s="521"/>
      <c r="O34" s="521"/>
      <c r="P34" s="211"/>
      <c r="Q34" s="211">
        <f>H34*0.1</f>
        <v>820100</v>
      </c>
      <c r="R34" s="211"/>
      <c r="S34" s="528">
        <f t="shared" si="20"/>
        <v>80.75</v>
      </c>
      <c r="T34" s="528">
        <f t="shared" si="21"/>
        <v>80.75</v>
      </c>
      <c r="U34" s="528">
        <f t="shared" si="22"/>
        <v>80.75</v>
      </c>
      <c r="V34" s="528">
        <f t="shared" si="23"/>
        <v>80.75</v>
      </c>
      <c r="W34" s="529">
        <f t="shared" si="24"/>
        <v>2018750</v>
      </c>
      <c r="X34" s="529">
        <f t="shared" si="25"/>
        <v>2018750</v>
      </c>
      <c r="Y34" s="529">
        <f t="shared" si="26"/>
        <v>2018750</v>
      </c>
      <c r="Z34" s="529">
        <f t="shared" si="27"/>
        <v>2018750</v>
      </c>
      <c r="AA34" s="172">
        <v>20</v>
      </c>
      <c r="AB34" s="165">
        <f t="shared" si="1"/>
        <v>500000</v>
      </c>
      <c r="AC34" s="538">
        <v>10</v>
      </c>
      <c r="AD34" s="165">
        <f>250000+72000</f>
        <v>322000</v>
      </c>
      <c r="AE34" s="172">
        <v>20</v>
      </c>
      <c r="AF34" s="165">
        <f t="shared" si="3"/>
        <v>500000</v>
      </c>
      <c r="AG34" s="172">
        <v>30</v>
      </c>
      <c r="AH34" s="165">
        <f t="shared" si="4"/>
        <v>750000</v>
      </c>
      <c r="AI34" s="172">
        <v>15</v>
      </c>
      <c r="AJ34" s="165">
        <f t="shared" si="5"/>
        <v>375000</v>
      </c>
      <c r="AK34" s="172">
        <v>17</v>
      </c>
      <c r="AL34" s="165">
        <f t="shared" si="6"/>
        <v>425000</v>
      </c>
      <c r="AM34" s="172">
        <v>25</v>
      </c>
      <c r="AN34" s="165">
        <f t="shared" si="40"/>
        <v>625000</v>
      </c>
      <c r="AO34" s="172">
        <v>17</v>
      </c>
      <c r="AP34" s="165">
        <f t="shared" si="7"/>
        <v>425000</v>
      </c>
      <c r="AQ34" s="172">
        <v>10</v>
      </c>
      <c r="AR34" s="165">
        <f t="shared" si="28"/>
        <v>250000</v>
      </c>
      <c r="AS34" s="538">
        <v>17</v>
      </c>
      <c r="AT34" s="165">
        <f>(AS34*F34)+54000</f>
        <v>479000</v>
      </c>
      <c r="AU34" s="172">
        <v>17</v>
      </c>
      <c r="AV34" s="165">
        <f t="shared" si="8"/>
        <v>425000</v>
      </c>
      <c r="AW34" s="172">
        <v>15</v>
      </c>
      <c r="AX34" s="165">
        <f t="shared" si="9"/>
        <v>375000</v>
      </c>
      <c r="AY34" s="172">
        <v>25</v>
      </c>
      <c r="AZ34" s="165">
        <f t="shared" si="10"/>
        <v>625000</v>
      </c>
      <c r="BA34" s="172">
        <v>25</v>
      </c>
      <c r="BB34" s="165">
        <f t="shared" si="30"/>
        <v>625000</v>
      </c>
      <c r="BC34" s="172">
        <v>20</v>
      </c>
      <c r="BD34" s="165">
        <f t="shared" si="11"/>
        <v>500000</v>
      </c>
      <c r="BE34" s="172">
        <v>23</v>
      </c>
      <c r="BF34" s="165">
        <f t="shared" si="12"/>
        <v>575000</v>
      </c>
      <c r="BG34" s="172">
        <v>17</v>
      </c>
      <c r="BH34" s="165">
        <f t="shared" si="13"/>
        <v>425000</v>
      </c>
      <c r="BI34" s="172">
        <v>0</v>
      </c>
      <c r="BJ34" s="165">
        <f t="shared" si="14"/>
        <v>0</v>
      </c>
      <c r="BK34" s="255">
        <f t="shared" si="31"/>
        <v>323</v>
      </c>
      <c r="BL34" s="255">
        <f t="shared" si="32"/>
        <v>8201000</v>
      </c>
      <c r="BM34" s="275" t="s">
        <v>221</v>
      </c>
      <c r="BO34" s="530"/>
      <c r="BP34" s="530"/>
      <c r="BQ34" s="530">
        <f t="shared" si="33"/>
        <v>8201000</v>
      </c>
      <c r="BR34" s="530"/>
      <c r="BS34" s="530">
        <f t="shared" si="34"/>
        <v>8201000</v>
      </c>
      <c r="BT34" s="530"/>
      <c r="BU34" s="530"/>
      <c r="BV34" s="530">
        <f>BT34+BU34</f>
        <v>0</v>
      </c>
      <c r="BW34" s="531">
        <f>BS34+BV34</f>
        <v>8201000</v>
      </c>
    </row>
    <row r="35" spans="1:75" s="265" customFormat="1" ht="16.5" customHeight="1">
      <c r="A35" s="935"/>
      <c r="B35" s="475"/>
      <c r="C35" s="473" t="s">
        <v>900</v>
      </c>
      <c r="D35" s="158" t="s">
        <v>434</v>
      </c>
      <c r="E35" s="168" t="s">
        <v>115</v>
      </c>
      <c r="F35" s="177" t="s">
        <v>115</v>
      </c>
      <c r="G35" s="307">
        <f t="shared" ref="G35:AL35" si="62">SUM(G22:G34)</f>
        <v>13237</v>
      </c>
      <c r="H35" s="307">
        <f t="shared" si="62"/>
        <v>130565200</v>
      </c>
      <c r="I35" s="307">
        <f t="shared" si="62"/>
        <v>945940</v>
      </c>
      <c r="J35" s="307">
        <f t="shared" si="62"/>
        <v>8936160</v>
      </c>
      <c r="K35" s="307">
        <f t="shared" si="62"/>
        <v>220000</v>
      </c>
      <c r="L35" s="307">
        <f t="shared" si="62"/>
        <v>0</v>
      </c>
      <c r="M35" s="307">
        <f t="shared" si="62"/>
        <v>57307000</v>
      </c>
      <c r="N35" s="307">
        <f t="shared" si="62"/>
        <v>0</v>
      </c>
      <c r="O35" s="307">
        <f t="shared" si="62"/>
        <v>60500000</v>
      </c>
      <c r="P35" s="307">
        <f t="shared" si="62"/>
        <v>0</v>
      </c>
      <c r="Q35" s="307">
        <f t="shared" si="62"/>
        <v>2656100</v>
      </c>
      <c r="R35" s="307">
        <f t="shared" si="62"/>
        <v>0</v>
      </c>
      <c r="S35" s="307">
        <f t="shared" si="62"/>
        <v>687</v>
      </c>
      <c r="T35" s="307">
        <f t="shared" si="62"/>
        <v>687</v>
      </c>
      <c r="U35" s="307">
        <f t="shared" si="62"/>
        <v>737</v>
      </c>
      <c r="V35" s="307">
        <f t="shared" si="62"/>
        <v>10928.75</v>
      </c>
      <c r="W35" s="307">
        <f t="shared" si="62"/>
        <v>8022500</v>
      </c>
      <c r="X35" s="307">
        <f t="shared" si="62"/>
        <v>8022500</v>
      </c>
      <c r="Y35" s="307">
        <f t="shared" si="62"/>
        <v>8522500</v>
      </c>
      <c r="Z35" s="307">
        <f t="shared" si="62"/>
        <v>106014300</v>
      </c>
      <c r="AA35" s="307">
        <f t="shared" si="62"/>
        <v>749</v>
      </c>
      <c r="AB35" s="307">
        <f t="shared" si="62"/>
        <v>4826000</v>
      </c>
      <c r="AC35" s="307">
        <f t="shared" si="62"/>
        <v>767</v>
      </c>
      <c r="AD35" s="307">
        <f t="shared" si="62"/>
        <v>3951000</v>
      </c>
      <c r="AE35" s="307">
        <f t="shared" si="62"/>
        <v>748</v>
      </c>
      <c r="AF35" s="307">
        <f t="shared" si="62"/>
        <v>8487200</v>
      </c>
      <c r="AG35" s="307">
        <f t="shared" si="62"/>
        <v>699</v>
      </c>
      <c r="AH35" s="307">
        <f t="shared" si="62"/>
        <v>4498600</v>
      </c>
      <c r="AI35" s="307">
        <f t="shared" si="62"/>
        <v>297</v>
      </c>
      <c r="AJ35" s="307">
        <f t="shared" si="62"/>
        <v>2556200</v>
      </c>
      <c r="AK35" s="307">
        <f t="shared" si="62"/>
        <v>1348</v>
      </c>
      <c r="AL35" s="307">
        <f t="shared" si="62"/>
        <v>6774400</v>
      </c>
      <c r="AM35" s="307">
        <f t="shared" ref="AM35:BR35" si="63">SUM(AM22:AM34)</f>
        <v>359</v>
      </c>
      <c r="AN35" s="307">
        <f t="shared" si="63"/>
        <v>40872850</v>
      </c>
      <c r="AO35" s="307">
        <f t="shared" si="63"/>
        <v>636</v>
      </c>
      <c r="AP35" s="307">
        <f t="shared" si="63"/>
        <v>4649400</v>
      </c>
      <c r="AQ35" s="307">
        <f t="shared" si="63"/>
        <v>431</v>
      </c>
      <c r="AR35" s="307">
        <f t="shared" si="63"/>
        <v>2851200</v>
      </c>
      <c r="AS35" s="307">
        <f t="shared" si="63"/>
        <v>763</v>
      </c>
      <c r="AT35" s="307">
        <f t="shared" si="63"/>
        <v>7430400</v>
      </c>
      <c r="AU35" s="307">
        <f t="shared" si="63"/>
        <v>1114</v>
      </c>
      <c r="AV35" s="307">
        <f t="shared" si="63"/>
        <v>11471500</v>
      </c>
      <c r="AW35" s="307">
        <f t="shared" si="63"/>
        <v>648</v>
      </c>
      <c r="AX35" s="307">
        <f t="shared" si="63"/>
        <v>5212950</v>
      </c>
      <c r="AY35" s="307">
        <f t="shared" si="63"/>
        <v>668</v>
      </c>
      <c r="AZ35" s="307">
        <f t="shared" si="63"/>
        <v>4582800</v>
      </c>
      <c r="BA35" s="307">
        <f t="shared" si="63"/>
        <v>674</v>
      </c>
      <c r="BB35" s="307">
        <f t="shared" si="63"/>
        <v>4082200</v>
      </c>
      <c r="BC35" s="307">
        <f t="shared" si="63"/>
        <v>1389</v>
      </c>
      <c r="BD35" s="307">
        <f t="shared" si="63"/>
        <v>7224700</v>
      </c>
      <c r="BE35" s="307">
        <f t="shared" si="63"/>
        <v>635</v>
      </c>
      <c r="BF35" s="307">
        <f t="shared" si="63"/>
        <v>3754600</v>
      </c>
      <c r="BG35" s="307">
        <f t="shared" si="63"/>
        <v>1312</v>
      </c>
      <c r="BH35" s="307">
        <f t="shared" si="63"/>
        <v>7339200</v>
      </c>
      <c r="BI35" s="307">
        <f t="shared" si="63"/>
        <v>0</v>
      </c>
      <c r="BJ35" s="307">
        <f t="shared" si="63"/>
        <v>0</v>
      </c>
      <c r="BK35" s="307">
        <f t="shared" si="63"/>
        <v>13237</v>
      </c>
      <c r="BL35" s="307">
        <f t="shared" si="63"/>
        <v>130565200</v>
      </c>
      <c r="BM35" s="307">
        <f t="shared" si="63"/>
        <v>0</v>
      </c>
      <c r="BN35" s="307">
        <f t="shared" si="63"/>
        <v>0</v>
      </c>
      <c r="BO35" s="307">
        <f t="shared" si="63"/>
        <v>0</v>
      </c>
      <c r="BP35" s="307">
        <f t="shared" si="63"/>
        <v>0</v>
      </c>
      <c r="BQ35" s="307">
        <f t="shared" si="63"/>
        <v>69845200</v>
      </c>
      <c r="BR35" s="307">
        <f t="shared" si="63"/>
        <v>0</v>
      </c>
      <c r="BS35" s="307">
        <f t="shared" ref="BS35:BW35" si="64">SUM(BS22:BS34)</f>
        <v>69845200</v>
      </c>
      <c r="BT35" s="307">
        <f t="shared" si="64"/>
        <v>0</v>
      </c>
      <c r="BU35" s="307">
        <f t="shared" si="64"/>
        <v>0</v>
      </c>
      <c r="BV35" s="307">
        <f t="shared" si="64"/>
        <v>0</v>
      </c>
      <c r="BW35" s="307">
        <f t="shared" si="64"/>
        <v>69845200</v>
      </c>
    </row>
    <row r="36" spans="1:75">
      <c r="A36" s="935"/>
      <c r="B36" s="196">
        <v>23500</v>
      </c>
      <c r="C36" s="473" t="s">
        <v>901</v>
      </c>
      <c r="D36" s="158" t="s">
        <v>435</v>
      </c>
      <c r="E36" s="159"/>
      <c r="F36" s="159"/>
      <c r="G36" s="257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83"/>
      <c r="T36" s="283"/>
      <c r="U36" s="283"/>
      <c r="V36" s="283"/>
      <c r="W36" s="260"/>
      <c r="X36" s="260"/>
      <c r="Y36" s="260"/>
      <c r="Z36" s="260"/>
      <c r="AA36" s="257"/>
      <c r="AB36" s="262">
        <f t="shared" si="1"/>
        <v>0</v>
      </c>
      <c r="AC36" s="257"/>
      <c r="AD36" s="262">
        <f t="shared" si="2"/>
        <v>0</v>
      </c>
      <c r="AE36" s="257"/>
      <c r="AF36" s="262">
        <f t="shared" si="3"/>
        <v>0</v>
      </c>
      <c r="AG36" s="257"/>
      <c r="AH36" s="262">
        <f t="shared" si="4"/>
        <v>0</v>
      </c>
      <c r="AI36" s="257"/>
      <c r="AJ36" s="262">
        <f t="shared" si="5"/>
        <v>0</v>
      </c>
      <c r="AK36" s="257">
        <v>0</v>
      </c>
      <c r="AL36" s="262">
        <f t="shared" si="6"/>
        <v>0</v>
      </c>
      <c r="AM36" s="257"/>
      <c r="AN36" s="262"/>
      <c r="AO36" s="257"/>
      <c r="AP36" s="262">
        <f t="shared" si="7"/>
        <v>0</v>
      </c>
      <c r="AQ36" s="257"/>
      <c r="AR36" s="262"/>
      <c r="AS36" s="257"/>
      <c r="AT36" s="262"/>
      <c r="AU36" s="257"/>
      <c r="AV36" s="262">
        <f t="shared" si="8"/>
        <v>0</v>
      </c>
      <c r="AW36" s="257"/>
      <c r="AX36" s="262">
        <f t="shared" si="9"/>
        <v>0</v>
      </c>
      <c r="AY36" s="257"/>
      <c r="AZ36" s="262">
        <f t="shared" si="10"/>
        <v>0</v>
      </c>
      <c r="BA36" s="257"/>
      <c r="BB36" s="262"/>
      <c r="BC36" s="257"/>
      <c r="BD36" s="262">
        <f t="shared" si="11"/>
        <v>0</v>
      </c>
      <c r="BE36" s="257"/>
      <c r="BF36" s="262">
        <f t="shared" si="12"/>
        <v>0</v>
      </c>
      <c r="BG36" s="257"/>
      <c r="BH36" s="262">
        <f t="shared" si="13"/>
        <v>0</v>
      </c>
      <c r="BI36" s="257"/>
      <c r="BJ36" s="262">
        <f t="shared" si="14"/>
        <v>0</v>
      </c>
      <c r="BK36" s="257">
        <f>AA36+AC36+AE36+AG36+AI36+AK36+AO36+AU36+AW36+AY36+BC36+BE36+BG36+BI36</f>
        <v>0</v>
      </c>
      <c r="BL36" s="262">
        <f>BI36+BG36+BE36+BC36+BA36+AY36+AW36+AU36+AS36+AQ36+AO36+AM36+AK36+AI36+AG36+AE36+AC36+AA36</f>
        <v>0</v>
      </c>
      <c r="BM36" s="159"/>
      <c r="BO36" s="254"/>
      <c r="BP36" s="254"/>
      <c r="BQ36" s="254"/>
      <c r="BR36" s="254"/>
      <c r="BS36" s="254"/>
      <c r="BT36" s="254"/>
      <c r="BU36" s="254"/>
      <c r="BV36" s="254"/>
      <c r="BW36" s="255">
        <f t="shared" si="15"/>
        <v>0</v>
      </c>
    </row>
    <row r="37" spans="1:75">
      <c r="A37" s="935"/>
      <c r="B37" s="196">
        <v>23510</v>
      </c>
      <c r="C37" s="473" t="s">
        <v>902</v>
      </c>
      <c r="D37" s="166" t="s">
        <v>85</v>
      </c>
      <c r="E37" s="159" t="s">
        <v>86</v>
      </c>
      <c r="F37" s="135"/>
      <c r="G37" s="257">
        <f t="shared" ref="G37:H41" si="65">BK37</f>
        <v>0</v>
      </c>
      <c r="H37" s="229">
        <f t="shared" si="65"/>
        <v>0</v>
      </c>
      <c r="I37" s="229">
        <f>H37*0.2</f>
        <v>0</v>
      </c>
      <c r="J37" s="229">
        <f>H37*0.8</f>
        <v>0</v>
      </c>
      <c r="K37" s="229"/>
      <c r="L37" s="229"/>
      <c r="M37" s="229"/>
      <c r="N37" s="229"/>
      <c r="O37" s="229"/>
      <c r="P37" s="260"/>
      <c r="Q37" s="260"/>
      <c r="R37" s="260"/>
      <c r="S37" s="283">
        <f>G37*0.25</f>
        <v>0</v>
      </c>
      <c r="T37" s="283">
        <f>G37*0.25</f>
        <v>0</v>
      </c>
      <c r="U37" s="283">
        <f>G37*0.25</f>
        <v>0</v>
      </c>
      <c r="V37" s="283">
        <f>G37*0.25</f>
        <v>0</v>
      </c>
      <c r="W37" s="310">
        <f>S37*F37</f>
        <v>0</v>
      </c>
      <c r="X37" s="310">
        <f>T37*F37</f>
        <v>0</v>
      </c>
      <c r="Y37" s="310">
        <f>U37*F37</f>
        <v>0</v>
      </c>
      <c r="Z37" s="310">
        <f>V37*F37</f>
        <v>0</v>
      </c>
      <c r="AA37" s="257"/>
      <c r="AB37" s="262">
        <f t="shared" si="1"/>
        <v>0</v>
      </c>
      <c r="AC37" s="257"/>
      <c r="AD37" s="262">
        <f t="shared" si="2"/>
        <v>0</v>
      </c>
      <c r="AE37" s="257"/>
      <c r="AF37" s="262">
        <f t="shared" si="3"/>
        <v>0</v>
      </c>
      <c r="AG37" s="257"/>
      <c r="AH37" s="262">
        <f t="shared" si="4"/>
        <v>0</v>
      </c>
      <c r="AI37" s="257"/>
      <c r="AJ37" s="262">
        <f t="shared" si="5"/>
        <v>0</v>
      </c>
      <c r="AK37" s="257">
        <v>0</v>
      </c>
      <c r="AL37" s="262">
        <f t="shared" si="6"/>
        <v>0</v>
      </c>
      <c r="AM37" s="257"/>
      <c r="AN37" s="262">
        <f>AM37*F37</f>
        <v>0</v>
      </c>
      <c r="AO37" s="257"/>
      <c r="AP37" s="262">
        <f t="shared" si="7"/>
        <v>0</v>
      </c>
      <c r="AQ37" s="257"/>
      <c r="AR37" s="262">
        <f>AQ37*F37</f>
        <v>0</v>
      </c>
      <c r="AS37" s="257"/>
      <c r="AT37" s="262"/>
      <c r="AU37" s="257"/>
      <c r="AV37" s="262">
        <f t="shared" si="8"/>
        <v>0</v>
      </c>
      <c r="AW37" s="257"/>
      <c r="AX37" s="262">
        <f t="shared" si="9"/>
        <v>0</v>
      </c>
      <c r="AY37" s="257"/>
      <c r="AZ37" s="262">
        <f t="shared" si="10"/>
        <v>0</v>
      </c>
      <c r="BA37" s="257"/>
      <c r="BB37" s="262"/>
      <c r="BC37" s="257"/>
      <c r="BD37" s="262">
        <f t="shared" si="11"/>
        <v>0</v>
      </c>
      <c r="BE37" s="257"/>
      <c r="BF37" s="262">
        <f t="shared" si="12"/>
        <v>0</v>
      </c>
      <c r="BG37" s="257"/>
      <c r="BH37" s="262">
        <f t="shared" si="13"/>
        <v>0</v>
      </c>
      <c r="BI37" s="257"/>
      <c r="BJ37" s="262">
        <f t="shared" si="14"/>
        <v>0</v>
      </c>
      <c r="BK37" s="255">
        <f t="shared" ref="BK37:BL41" si="66">BI37+BG37+BE37+BC37+BA37+AY37+AW37+AU37+AS37+AQ37+AO37+AM37+AK37+AI37+AG37+AE37+AC37+AA37</f>
        <v>0</v>
      </c>
      <c r="BL37" s="255">
        <f t="shared" si="66"/>
        <v>0</v>
      </c>
      <c r="BM37" s="159" t="s">
        <v>216</v>
      </c>
      <c r="BO37" s="254"/>
      <c r="BP37" s="254"/>
      <c r="BQ37" s="254">
        <f>H37</f>
        <v>0</v>
      </c>
      <c r="BR37" s="254"/>
      <c r="BS37" s="254">
        <f>BO37+BP37+BQ37+BR37</f>
        <v>0</v>
      </c>
      <c r="BT37" s="254"/>
      <c r="BU37" s="254"/>
      <c r="BV37" s="254">
        <f>BT37+BU37</f>
        <v>0</v>
      </c>
      <c r="BW37" s="255">
        <f t="shared" si="15"/>
        <v>0</v>
      </c>
    </row>
    <row r="38" spans="1:75">
      <c r="A38" s="935"/>
      <c r="B38" s="196">
        <v>23520</v>
      </c>
      <c r="C38" s="473" t="s">
        <v>903</v>
      </c>
      <c r="D38" s="166" t="s">
        <v>727</v>
      </c>
      <c r="E38" s="159" t="s">
        <v>87</v>
      </c>
      <c r="F38" s="135">
        <v>500000</v>
      </c>
      <c r="G38" s="257">
        <f t="shared" si="65"/>
        <v>0</v>
      </c>
      <c r="H38" s="229">
        <f t="shared" si="65"/>
        <v>0</v>
      </c>
      <c r="I38" s="229">
        <f>H38*0.2</f>
        <v>0</v>
      </c>
      <c r="J38" s="229">
        <f>H38*0.8</f>
        <v>0</v>
      </c>
      <c r="K38" s="229"/>
      <c r="L38" s="229"/>
      <c r="M38" s="229"/>
      <c r="N38" s="229"/>
      <c r="O38" s="229"/>
      <c r="P38" s="260"/>
      <c r="Q38" s="260"/>
      <c r="R38" s="260"/>
      <c r="S38" s="283">
        <f>G38*0.25</f>
        <v>0</v>
      </c>
      <c r="T38" s="283">
        <f>G38*0.25</f>
        <v>0</v>
      </c>
      <c r="U38" s="283">
        <f>G38*0.25</f>
        <v>0</v>
      </c>
      <c r="V38" s="283">
        <f>G38*0.25</f>
        <v>0</v>
      </c>
      <c r="W38" s="310">
        <f>S38*F38</f>
        <v>0</v>
      </c>
      <c r="X38" s="310">
        <f>T38*F38</f>
        <v>0</v>
      </c>
      <c r="Y38" s="310">
        <f>U38*F38</f>
        <v>0</v>
      </c>
      <c r="Z38" s="310">
        <f>V38*F38</f>
        <v>0</v>
      </c>
      <c r="AA38" s="257">
        <v>0</v>
      </c>
      <c r="AB38" s="262">
        <f t="shared" si="1"/>
        <v>0</v>
      </c>
      <c r="AC38" s="257">
        <v>0</v>
      </c>
      <c r="AD38" s="262">
        <f t="shared" si="2"/>
        <v>0</v>
      </c>
      <c r="AE38" s="257">
        <v>0</v>
      </c>
      <c r="AF38" s="262">
        <f t="shared" si="3"/>
        <v>0</v>
      </c>
      <c r="AG38" s="257">
        <v>0</v>
      </c>
      <c r="AH38" s="262">
        <f t="shared" si="4"/>
        <v>0</v>
      </c>
      <c r="AI38" s="257">
        <v>0</v>
      </c>
      <c r="AJ38" s="262">
        <f t="shared" si="5"/>
        <v>0</v>
      </c>
      <c r="AK38" s="257">
        <v>0</v>
      </c>
      <c r="AL38" s="262">
        <f t="shared" si="6"/>
        <v>0</v>
      </c>
      <c r="AM38" s="257">
        <v>0</v>
      </c>
      <c r="AN38" s="262">
        <f>AM38*F38</f>
        <v>0</v>
      </c>
      <c r="AO38" s="257">
        <v>0</v>
      </c>
      <c r="AP38" s="262">
        <f t="shared" si="7"/>
        <v>0</v>
      </c>
      <c r="AQ38" s="257">
        <v>0</v>
      </c>
      <c r="AR38" s="262">
        <f>AQ38*F38</f>
        <v>0</v>
      </c>
      <c r="AS38" s="257">
        <v>0</v>
      </c>
      <c r="AT38" s="262">
        <f>AS38*F38</f>
        <v>0</v>
      </c>
      <c r="AU38" s="257">
        <v>0</v>
      </c>
      <c r="AV38" s="262">
        <f t="shared" si="8"/>
        <v>0</v>
      </c>
      <c r="AW38" s="257">
        <v>0</v>
      </c>
      <c r="AX38" s="262">
        <f t="shared" si="9"/>
        <v>0</v>
      </c>
      <c r="AY38" s="257">
        <v>0</v>
      </c>
      <c r="AZ38" s="262">
        <f t="shared" si="10"/>
        <v>0</v>
      </c>
      <c r="BA38" s="257">
        <v>0</v>
      </c>
      <c r="BB38" s="262">
        <f>BA38*F38</f>
        <v>0</v>
      </c>
      <c r="BC38" s="257">
        <v>0</v>
      </c>
      <c r="BD38" s="262">
        <f t="shared" si="11"/>
        <v>0</v>
      </c>
      <c r="BE38" s="257">
        <v>0</v>
      </c>
      <c r="BF38" s="262">
        <f t="shared" si="12"/>
        <v>0</v>
      </c>
      <c r="BG38" s="257">
        <v>0</v>
      </c>
      <c r="BH38" s="262">
        <f t="shared" si="13"/>
        <v>0</v>
      </c>
      <c r="BI38" s="257">
        <v>0</v>
      </c>
      <c r="BJ38" s="262">
        <f t="shared" si="14"/>
        <v>0</v>
      </c>
      <c r="BK38" s="255">
        <f t="shared" si="66"/>
        <v>0</v>
      </c>
      <c r="BL38" s="255">
        <f t="shared" si="66"/>
        <v>0</v>
      </c>
      <c r="BM38" s="159" t="s">
        <v>216</v>
      </c>
      <c r="BO38" s="254"/>
      <c r="BP38" s="254"/>
      <c r="BQ38" s="254">
        <f>H38</f>
        <v>0</v>
      </c>
      <c r="BR38" s="254"/>
      <c r="BS38" s="254">
        <f>BO38+BP38+BQ38+BR38</f>
        <v>0</v>
      </c>
      <c r="BT38" s="254"/>
      <c r="BU38" s="254"/>
      <c r="BV38" s="254">
        <f>BT38+BU38</f>
        <v>0</v>
      </c>
      <c r="BW38" s="255">
        <f t="shared" si="15"/>
        <v>0</v>
      </c>
    </row>
    <row r="39" spans="1:75">
      <c r="A39" s="935"/>
      <c r="B39" s="253"/>
      <c r="C39" s="473" t="s">
        <v>904</v>
      </c>
      <c r="D39" s="166" t="s">
        <v>88</v>
      </c>
      <c r="E39" s="159" t="s">
        <v>89</v>
      </c>
      <c r="F39" s="135" t="s">
        <v>441</v>
      </c>
      <c r="G39" s="257">
        <f t="shared" si="65"/>
        <v>0</v>
      </c>
      <c r="H39" s="229">
        <f t="shared" si="65"/>
        <v>0</v>
      </c>
      <c r="I39" s="229"/>
      <c r="J39" s="229">
        <f>H39*0.8</f>
        <v>0</v>
      </c>
      <c r="K39" s="229"/>
      <c r="L39" s="229"/>
      <c r="M39" s="229"/>
      <c r="N39" s="229"/>
      <c r="O39" s="229"/>
      <c r="P39" s="260"/>
      <c r="Q39" s="260">
        <f>H39*0.2</f>
        <v>0</v>
      </c>
      <c r="R39" s="260"/>
      <c r="S39" s="283">
        <f>G39*0.25</f>
        <v>0</v>
      </c>
      <c r="T39" s="283">
        <f>G39*0.25</f>
        <v>0</v>
      </c>
      <c r="U39" s="283">
        <f>G39*0.25</f>
        <v>0</v>
      </c>
      <c r="V39" s="283">
        <f>G39*0.25</f>
        <v>0</v>
      </c>
      <c r="W39" s="310">
        <f>S39*F39</f>
        <v>0</v>
      </c>
      <c r="X39" s="310">
        <f>T39*F39</f>
        <v>0</v>
      </c>
      <c r="Y39" s="310">
        <f>U39*F39</f>
        <v>0</v>
      </c>
      <c r="Z39" s="310">
        <f>V39*F39</f>
        <v>0</v>
      </c>
      <c r="AA39" s="257">
        <v>0</v>
      </c>
      <c r="AB39" s="262">
        <f t="shared" si="1"/>
        <v>0</v>
      </c>
      <c r="AC39" s="257">
        <v>0</v>
      </c>
      <c r="AD39" s="262">
        <f t="shared" si="2"/>
        <v>0</v>
      </c>
      <c r="AE39" s="257">
        <v>0</v>
      </c>
      <c r="AF39" s="262">
        <f t="shared" si="3"/>
        <v>0</v>
      </c>
      <c r="AG39" s="257">
        <v>0</v>
      </c>
      <c r="AH39" s="262">
        <f t="shared" si="4"/>
        <v>0</v>
      </c>
      <c r="AI39" s="257">
        <v>0</v>
      </c>
      <c r="AJ39" s="262">
        <f t="shared" si="5"/>
        <v>0</v>
      </c>
      <c r="AK39" s="257">
        <v>0</v>
      </c>
      <c r="AL39" s="262">
        <f t="shared" si="6"/>
        <v>0</v>
      </c>
      <c r="AM39" s="257">
        <v>0</v>
      </c>
      <c r="AN39" s="262">
        <f>AM39*F39</f>
        <v>0</v>
      </c>
      <c r="AO39" s="257">
        <v>0</v>
      </c>
      <c r="AP39" s="262">
        <f t="shared" si="7"/>
        <v>0</v>
      </c>
      <c r="AQ39" s="257">
        <v>0</v>
      </c>
      <c r="AR39" s="262">
        <f>AQ39*F39</f>
        <v>0</v>
      </c>
      <c r="AS39" s="257">
        <v>0</v>
      </c>
      <c r="AT39" s="262">
        <f>AS39*F39</f>
        <v>0</v>
      </c>
      <c r="AU39" s="257">
        <v>0</v>
      </c>
      <c r="AV39" s="262">
        <f t="shared" si="8"/>
        <v>0</v>
      </c>
      <c r="AW39" s="257">
        <v>0</v>
      </c>
      <c r="AX39" s="262">
        <f t="shared" si="9"/>
        <v>0</v>
      </c>
      <c r="AY39" s="257">
        <v>0</v>
      </c>
      <c r="AZ39" s="262">
        <f t="shared" si="10"/>
        <v>0</v>
      </c>
      <c r="BA39" s="257">
        <v>0</v>
      </c>
      <c r="BB39" s="262">
        <f>BA39*F39</f>
        <v>0</v>
      </c>
      <c r="BC39" s="257">
        <v>0</v>
      </c>
      <c r="BD39" s="262">
        <f t="shared" si="11"/>
        <v>0</v>
      </c>
      <c r="BE39" s="257">
        <v>0</v>
      </c>
      <c r="BF39" s="262">
        <f t="shared" si="12"/>
        <v>0</v>
      </c>
      <c r="BG39" s="257">
        <v>0</v>
      </c>
      <c r="BH39" s="262">
        <f t="shared" si="13"/>
        <v>0</v>
      </c>
      <c r="BI39" s="257">
        <v>0</v>
      </c>
      <c r="BJ39" s="262">
        <f t="shared" si="14"/>
        <v>0</v>
      </c>
      <c r="BK39" s="255">
        <f t="shared" si="66"/>
        <v>0</v>
      </c>
      <c r="BL39" s="255">
        <f t="shared" si="66"/>
        <v>0</v>
      </c>
      <c r="BM39" s="159" t="s">
        <v>220</v>
      </c>
      <c r="BO39" s="254"/>
      <c r="BP39" s="254"/>
      <c r="BQ39" s="254">
        <f>H39</f>
        <v>0</v>
      </c>
      <c r="BR39" s="254"/>
      <c r="BS39" s="254">
        <f>BO39+BP39+BQ39+BR39</f>
        <v>0</v>
      </c>
      <c r="BT39" s="254"/>
      <c r="BU39" s="254"/>
      <c r="BV39" s="254">
        <f>BT39+BU39</f>
        <v>0</v>
      </c>
      <c r="BW39" s="255">
        <f t="shared" si="15"/>
        <v>0</v>
      </c>
    </row>
    <row r="40" spans="1:75">
      <c r="A40" s="935"/>
      <c r="B40" s="253"/>
      <c r="C40" s="473" t="s">
        <v>905</v>
      </c>
      <c r="D40" s="166" t="s">
        <v>90</v>
      </c>
      <c r="E40" s="159" t="s">
        <v>87</v>
      </c>
      <c r="F40" s="135">
        <v>500000</v>
      </c>
      <c r="G40" s="257">
        <f t="shared" si="65"/>
        <v>0</v>
      </c>
      <c r="H40" s="229">
        <f t="shared" si="65"/>
        <v>0</v>
      </c>
      <c r="I40" s="229"/>
      <c r="J40" s="229">
        <f>H40*0.8</f>
        <v>0</v>
      </c>
      <c r="K40" s="229"/>
      <c r="L40" s="229"/>
      <c r="M40" s="229"/>
      <c r="N40" s="229"/>
      <c r="O40" s="229"/>
      <c r="P40" s="260"/>
      <c r="Q40" s="260">
        <f>H40*0.2</f>
        <v>0</v>
      </c>
      <c r="R40" s="260"/>
      <c r="S40" s="283">
        <f>G40*0.25</f>
        <v>0</v>
      </c>
      <c r="T40" s="283">
        <f>G40*0.25</f>
        <v>0</v>
      </c>
      <c r="U40" s="283">
        <f>G40*0.25</f>
        <v>0</v>
      </c>
      <c r="V40" s="283">
        <f>G40*0.25</f>
        <v>0</v>
      </c>
      <c r="W40" s="310">
        <f>S40*F40</f>
        <v>0</v>
      </c>
      <c r="X40" s="310">
        <f>T40*F40</f>
        <v>0</v>
      </c>
      <c r="Y40" s="310">
        <f>U40*F40</f>
        <v>0</v>
      </c>
      <c r="Z40" s="310">
        <f>V40*F40</f>
        <v>0</v>
      </c>
      <c r="AA40" s="257">
        <v>0</v>
      </c>
      <c r="AB40" s="262">
        <f t="shared" si="1"/>
        <v>0</v>
      </c>
      <c r="AC40" s="257">
        <v>0</v>
      </c>
      <c r="AD40" s="262">
        <f t="shared" si="2"/>
        <v>0</v>
      </c>
      <c r="AE40" s="257">
        <v>0</v>
      </c>
      <c r="AF40" s="262">
        <f t="shared" si="3"/>
        <v>0</v>
      </c>
      <c r="AG40" s="257">
        <v>0</v>
      </c>
      <c r="AH40" s="262">
        <f t="shared" si="4"/>
        <v>0</v>
      </c>
      <c r="AI40" s="257">
        <v>0</v>
      </c>
      <c r="AJ40" s="262">
        <f t="shared" si="5"/>
        <v>0</v>
      </c>
      <c r="AK40" s="257">
        <v>0</v>
      </c>
      <c r="AL40" s="262">
        <f t="shared" si="6"/>
        <v>0</v>
      </c>
      <c r="AM40" s="257">
        <v>0</v>
      </c>
      <c r="AN40" s="262">
        <f>AM40*F40</f>
        <v>0</v>
      </c>
      <c r="AO40" s="257">
        <v>0</v>
      </c>
      <c r="AP40" s="262">
        <f t="shared" si="7"/>
        <v>0</v>
      </c>
      <c r="AQ40" s="257">
        <v>0</v>
      </c>
      <c r="AR40" s="262">
        <f>AQ40*F40</f>
        <v>0</v>
      </c>
      <c r="AS40" s="257">
        <v>0</v>
      </c>
      <c r="AT40" s="262">
        <f>AS40*F40</f>
        <v>0</v>
      </c>
      <c r="AU40" s="257">
        <v>0</v>
      </c>
      <c r="AV40" s="262">
        <f t="shared" si="8"/>
        <v>0</v>
      </c>
      <c r="AW40" s="257">
        <v>0</v>
      </c>
      <c r="AX40" s="262">
        <f t="shared" si="9"/>
        <v>0</v>
      </c>
      <c r="AY40" s="257">
        <v>0</v>
      </c>
      <c r="AZ40" s="262">
        <f t="shared" si="10"/>
        <v>0</v>
      </c>
      <c r="BA40" s="257">
        <v>0</v>
      </c>
      <c r="BB40" s="262">
        <f>BA40*F40</f>
        <v>0</v>
      </c>
      <c r="BC40" s="257">
        <v>0</v>
      </c>
      <c r="BD40" s="262">
        <f t="shared" si="11"/>
        <v>0</v>
      </c>
      <c r="BE40" s="257">
        <v>0</v>
      </c>
      <c r="BF40" s="262">
        <f t="shared" si="12"/>
        <v>0</v>
      </c>
      <c r="BG40" s="257">
        <v>0</v>
      </c>
      <c r="BH40" s="262">
        <f t="shared" si="13"/>
        <v>0</v>
      </c>
      <c r="BI40" s="257">
        <v>0</v>
      </c>
      <c r="BJ40" s="262">
        <f t="shared" si="14"/>
        <v>0</v>
      </c>
      <c r="BK40" s="255">
        <f t="shared" si="66"/>
        <v>0</v>
      </c>
      <c r="BL40" s="255">
        <f t="shared" si="66"/>
        <v>0</v>
      </c>
      <c r="BM40" s="159" t="s">
        <v>216</v>
      </c>
      <c r="BO40" s="254"/>
      <c r="BP40" s="254"/>
      <c r="BQ40" s="254">
        <f>H40</f>
        <v>0</v>
      </c>
      <c r="BR40" s="254"/>
      <c r="BS40" s="254">
        <f>BO40+BP40+BQ40+BR40</f>
        <v>0</v>
      </c>
      <c r="BT40" s="254"/>
      <c r="BU40" s="254"/>
      <c r="BV40" s="254">
        <f>BT40+BU40</f>
        <v>0</v>
      </c>
      <c r="BW40" s="255">
        <f t="shared" si="15"/>
        <v>0</v>
      </c>
    </row>
    <row r="41" spans="1:75">
      <c r="A41" s="935"/>
      <c r="B41" s="253"/>
      <c r="C41" s="473" t="s">
        <v>906</v>
      </c>
      <c r="D41" s="166" t="s">
        <v>436</v>
      </c>
      <c r="E41" s="159" t="s">
        <v>87</v>
      </c>
      <c r="F41" s="135">
        <v>50000</v>
      </c>
      <c r="G41" s="257">
        <f t="shared" si="65"/>
        <v>0</v>
      </c>
      <c r="H41" s="229">
        <f t="shared" si="65"/>
        <v>0</v>
      </c>
      <c r="I41" s="229"/>
      <c r="J41" s="229">
        <f>H41*0.8</f>
        <v>0</v>
      </c>
      <c r="K41" s="229"/>
      <c r="L41" s="229"/>
      <c r="M41" s="229"/>
      <c r="N41" s="229"/>
      <c r="O41" s="229"/>
      <c r="P41" s="260"/>
      <c r="Q41" s="260">
        <f>H41*0.2</f>
        <v>0</v>
      </c>
      <c r="R41" s="260"/>
      <c r="S41" s="283">
        <f>G41*0.25</f>
        <v>0</v>
      </c>
      <c r="T41" s="283">
        <f>G41*0.25</f>
        <v>0</v>
      </c>
      <c r="U41" s="283">
        <f>G41*0.25</f>
        <v>0</v>
      </c>
      <c r="V41" s="283">
        <f>G41*0.25</f>
        <v>0</v>
      </c>
      <c r="W41" s="310">
        <f>S41*F41</f>
        <v>0</v>
      </c>
      <c r="X41" s="310">
        <f>T41*F41</f>
        <v>0</v>
      </c>
      <c r="Y41" s="310">
        <f>U41*F41</f>
        <v>0</v>
      </c>
      <c r="Z41" s="310">
        <f>V41*F41</f>
        <v>0</v>
      </c>
      <c r="AA41" s="257">
        <v>0</v>
      </c>
      <c r="AB41" s="262">
        <f t="shared" si="1"/>
        <v>0</v>
      </c>
      <c r="AC41" s="257">
        <v>0</v>
      </c>
      <c r="AD41" s="262">
        <f t="shared" si="2"/>
        <v>0</v>
      </c>
      <c r="AE41" s="257">
        <v>0</v>
      </c>
      <c r="AF41" s="262">
        <f t="shared" si="3"/>
        <v>0</v>
      </c>
      <c r="AG41" s="257">
        <v>0</v>
      </c>
      <c r="AH41" s="262">
        <f t="shared" si="4"/>
        <v>0</v>
      </c>
      <c r="AI41" s="257">
        <v>0</v>
      </c>
      <c r="AJ41" s="262">
        <f t="shared" si="5"/>
        <v>0</v>
      </c>
      <c r="AK41" s="257">
        <v>0</v>
      </c>
      <c r="AL41" s="262">
        <f t="shared" si="6"/>
        <v>0</v>
      </c>
      <c r="AM41" s="257">
        <v>0</v>
      </c>
      <c r="AN41" s="262">
        <f>AM41*F41</f>
        <v>0</v>
      </c>
      <c r="AO41" s="257">
        <v>0</v>
      </c>
      <c r="AP41" s="262">
        <f t="shared" si="7"/>
        <v>0</v>
      </c>
      <c r="AQ41" s="257">
        <v>0</v>
      </c>
      <c r="AR41" s="262">
        <f>AQ41*F41</f>
        <v>0</v>
      </c>
      <c r="AS41" s="257">
        <v>0</v>
      </c>
      <c r="AT41" s="262">
        <f>AS41*F41</f>
        <v>0</v>
      </c>
      <c r="AU41" s="257">
        <v>0</v>
      </c>
      <c r="AV41" s="262">
        <f t="shared" si="8"/>
        <v>0</v>
      </c>
      <c r="AW41" s="257">
        <v>0</v>
      </c>
      <c r="AX41" s="262">
        <f t="shared" si="9"/>
        <v>0</v>
      </c>
      <c r="AY41" s="257">
        <v>0</v>
      </c>
      <c r="AZ41" s="262">
        <f t="shared" si="10"/>
        <v>0</v>
      </c>
      <c r="BA41" s="257">
        <v>0</v>
      </c>
      <c r="BB41" s="262">
        <f>BA41*F41</f>
        <v>0</v>
      </c>
      <c r="BC41" s="257">
        <v>0</v>
      </c>
      <c r="BD41" s="262">
        <f t="shared" si="11"/>
        <v>0</v>
      </c>
      <c r="BE41" s="257">
        <v>0</v>
      </c>
      <c r="BF41" s="262">
        <f t="shared" si="12"/>
        <v>0</v>
      </c>
      <c r="BG41" s="257">
        <v>0</v>
      </c>
      <c r="BH41" s="262">
        <f t="shared" si="13"/>
        <v>0</v>
      </c>
      <c r="BI41" s="257">
        <v>0</v>
      </c>
      <c r="BJ41" s="262">
        <f t="shared" si="14"/>
        <v>0</v>
      </c>
      <c r="BK41" s="255">
        <f t="shared" si="66"/>
        <v>0</v>
      </c>
      <c r="BL41" s="255">
        <f t="shared" si="66"/>
        <v>0</v>
      </c>
      <c r="BM41" s="159" t="s">
        <v>216</v>
      </c>
      <c r="BO41" s="254"/>
      <c r="BP41" s="254"/>
      <c r="BQ41" s="254">
        <f>H41</f>
        <v>0</v>
      </c>
      <c r="BR41" s="254"/>
      <c r="BS41" s="254">
        <f>BO41+BP41+BQ41+BR41</f>
        <v>0</v>
      </c>
      <c r="BT41" s="254"/>
      <c r="BU41" s="254"/>
      <c r="BV41" s="254">
        <f>BT41+BU41</f>
        <v>0</v>
      </c>
      <c r="BW41" s="255">
        <f t="shared" si="15"/>
        <v>0</v>
      </c>
    </row>
    <row r="42" spans="1:75" s="265" customFormat="1">
      <c r="A42" s="935"/>
      <c r="B42" s="475"/>
      <c r="C42" s="473" t="s">
        <v>907</v>
      </c>
      <c r="D42" s="158" t="s">
        <v>437</v>
      </c>
      <c r="E42" s="168" t="s">
        <v>115</v>
      </c>
      <c r="F42" s="307"/>
      <c r="G42" s="307">
        <f>SUM(G37:G41)</f>
        <v>0</v>
      </c>
      <c r="H42" s="307"/>
      <c r="I42" s="307">
        <f t="shared" ref="I42:BS42" si="67">SUM(I37:I41)</f>
        <v>0</v>
      </c>
      <c r="J42" s="307">
        <f t="shared" si="67"/>
        <v>0</v>
      </c>
      <c r="K42" s="307">
        <f t="shared" si="67"/>
        <v>0</v>
      </c>
      <c r="L42" s="307">
        <f t="shared" si="67"/>
        <v>0</v>
      </c>
      <c r="M42" s="307">
        <f t="shared" si="67"/>
        <v>0</v>
      </c>
      <c r="N42" s="307">
        <f t="shared" si="67"/>
        <v>0</v>
      </c>
      <c r="O42" s="307">
        <f t="shared" si="67"/>
        <v>0</v>
      </c>
      <c r="P42" s="307">
        <f t="shared" si="67"/>
        <v>0</v>
      </c>
      <c r="Q42" s="307">
        <f t="shared" si="67"/>
        <v>0</v>
      </c>
      <c r="R42" s="307">
        <f t="shared" si="67"/>
        <v>0</v>
      </c>
      <c r="S42" s="307">
        <f t="shared" si="67"/>
        <v>0</v>
      </c>
      <c r="T42" s="307">
        <f t="shared" si="67"/>
        <v>0</v>
      </c>
      <c r="U42" s="307">
        <f t="shared" si="67"/>
        <v>0</v>
      </c>
      <c r="V42" s="307">
        <f t="shared" si="67"/>
        <v>0</v>
      </c>
      <c r="W42" s="307">
        <f t="shared" si="67"/>
        <v>0</v>
      </c>
      <c r="X42" s="307">
        <f t="shared" si="67"/>
        <v>0</v>
      </c>
      <c r="Y42" s="307">
        <f t="shared" si="67"/>
        <v>0</v>
      </c>
      <c r="Z42" s="307">
        <f t="shared" si="67"/>
        <v>0</v>
      </c>
      <c r="AA42" s="307">
        <f t="shared" si="67"/>
        <v>0</v>
      </c>
      <c r="AB42" s="307">
        <f t="shared" si="67"/>
        <v>0</v>
      </c>
      <c r="AC42" s="307">
        <f t="shared" si="67"/>
        <v>0</v>
      </c>
      <c r="AD42" s="307">
        <f t="shared" si="67"/>
        <v>0</v>
      </c>
      <c r="AE42" s="307">
        <f t="shared" si="67"/>
        <v>0</v>
      </c>
      <c r="AF42" s="307">
        <f t="shared" si="67"/>
        <v>0</v>
      </c>
      <c r="AG42" s="307">
        <f t="shared" si="67"/>
        <v>0</v>
      </c>
      <c r="AH42" s="307">
        <f t="shared" si="67"/>
        <v>0</v>
      </c>
      <c r="AI42" s="307">
        <f t="shared" si="67"/>
        <v>0</v>
      </c>
      <c r="AJ42" s="307">
        <f t="shared" si="67"/>
        <v>0</v>
      </c>
      <c r="AK42" s="307">
        <f t="shared" si="67"/>
        <v>0</v>
      </c>
      <c r="AL42" s="307">
        <f t="shared" si="67"/>
        <v>0</v>
      </c>
      <c r="AM42" s="307">
        <f t="shared" si="67"/>
        <v>0</v>
      </c>
      <c r="AN42" s="307">
        <f t="shared" si="67"/>
        <v>0</v>
      </c>
      <c r="AO42" s="307">
        <f t="shared" si="67"/>
        <v>0</v>
      </c>
      <c r="AP42" s="307">
        <f t="shared" si="67"/>
        <v>0</v>
      </c>
      <c r="AQ42" s="307">
        <f t="shared" si="67"/>
        <v>0</v>
      </c>
      <c r="AR42" s="307">
        <f t="shared" si="67"/>
        <v>0</v>
      </c>
      <c r="AS42" s="307">
        <f t="shared" si="67"/>
        <v>0</v>
      </c>
      <c r="AT42" s="307">
        <f t="shared" si="67"/>
        <v>0</v>
      </c>
      <c r="AU42" s="307">
        <f t="shared" si="67"/>
        <v>0</v>
      </c>
      <c r="AV42" s="307">
        <f t="shared" si="67"/>
        <v>0</v>
      </c>
      <c r="AW42" s="307">
        <f t="shared" si="67"/>
        <v>0</v>
      </c>
      <c r="AX42" s="307">
        <f t="shared" si="67"/>
        <v>0</v>
      </c>
      <c r="AY42" s="307">
        <f t="shared" si="67"/>
        <v>0</v>
      </c>
      <c r="AZ42" s="307">
        <f t="shared" si="67"/>
        <v>0</v>
      </c>
      <c r="BA42" s="307">
        <f t="shared" si="67"/>
        <v>0</v>
      </c>
      <c r="BB42" s="307">
        <f t="shared" si="67"/>
        <v>0</v>
      </c>
      <c r="BC42" s="307">
        <f t="shared" si="67"/>
        <v>0</v>
      </c>
      <c r="BD42" s="307">
        <f t="shared" si="67"/>
        <v>0</v>
      </c>
      <c r="BE42" s="307">
        <f t="shared" si="67"/>
        <v>0</v>
      </c>
      <c r="BF42" s="307">
        <f t="shared" si="67"/>
        <v>0</v>
      </c>
      <c r="BG42" s="307">
        <f t="shared" si="67"/>
        <v>0</v>
      </c>
      <c r="BH42" s="307">
        <f t="shared" si="67"/>
        <v>0</v>
      </c>
      <c r="BI42" s="307">
        <f t="shared" si="67"/>
        <v>0</v>
      </c>
      <c r="BJ42" s="307">
        <f t="shared" si="67"/>
        <v>0</v>
      </c>
      <c r="BK42" s="307">
        <f t="shared" si="67"/>
        <v>0</v>
      </c>
      <c r="BL42" s="307">
        <f t="shared" si="67"/>
        <v>0</v>
      </c>
      <c r="BM42" s="307">
        <f t="shared" si="67"/>
        <v>0</v>
      </c>
      <c r="BN42" s="307">
        <f t="shared" si="67"/>
        <v>0</v>
      </c>
      <c r="BO42" s="307">
        <f t="shared" si="67"/>
        <v>0</v>
      </c>
      <c r="BP42" s="307">
        <f t="shared" si="67"/>
        <v>0</v>
      </c>
      <c r="BQ42" s="307">
        <f t="shared" si="67"/>
        <v>0</v>
      </c>
      <c r="BR42" s="307">
        <f t="shared" si="67"/>
        <v>0</v>
      </c>
      <c r="BS42" s="307">
        <f t="shared" si="67"/>
        <v>0</v>
      </c>
      <c r="BT42" s="307">
        <f>SUM(BT37:BT41)</f>
        <v>0</v>
      </c>
      <c r="BU42" s="307">
        <f>SUM(BU37:BU41)</f>
        <v>0</v>
      </c>
      <c r="BV42" s="307">
        <f>SUM(BV37:BV41)</f>
        <v>0</v>
      </c>
      <c r="BW42" s="307">
        <f>SUM(BW37:BW41)</f>
        <v>0</v>
      </c>
    </row>
    <row r="43" spans="1:75" ht="28.5" customHeight="1">
      <c r="A43" s="935"/>
      <c r="B43" s="196">
        <v>23600</v>
      </c>
      <c r="C43" s="473"/>
      <c r="D43" s="205" t="s">
        <v>582</v>
      </c>
      <c r="E43" s="159"/>
      <c r="F43" s="159"/>
      <c r="G43" s="257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7"/>
      <c r="AB43" s="262">
        <f t="shared" si="1"/>
        <v>0</v>
      </c>
      <c r="AC43" s="257"/>
      <c r="AD43" s="262">
        <f t="shared" si="2"/>
        <v>0</v>
      </c>
      <c r="AE43" s="257"/>
      <c r="AF43" s="262">
        <f t="shared" si="3"/>
        <v>0</v>
      </c>
      <c r="AG43" s="257"/>
      <c r="AH43" s="262">
        <f t="shared" si="4"/>
        <v>0</v>
      </c>
      <c r="AI43" s="253"/>
      <c r="AJ43" s="262">
        <f t="shared" si="5"/>
        <v>0</v>
      </c>
      <c r="AK43" s="253">
        <v>0</v>
      </c>
      <c r="AL43" s="262">
        <f t="shared" si="6"/>
        <v>0</v>
      </c>
      <c r="AM43" s="253"/>
      <c r="AN43" s="262"/>
      <c r="AO43" s="253"/>
      <c r="AP43" s="262">
        <f t="shared" si="7"/>
        <v>0</v>
      </c>
      <c r="AQ43" s="253"/>
      <c r="AR43" s="262"/>
      <c r="AS43" s="253"/>
      <c r="AT43" s="262"/>
      <c r="AU43" s="253"/>
      <c r="AV43" s="262">
        <f>AU43*F43</f>
        <v>0</v>
      </c>
      <c r="AW43" s="253"/>
      <c r="AX43" s="262">
        <f t="shared" si="9"/>
        <v>0</v>
      </c>
      <c r="AY43" s="253"/>
      <c r="AZ43" s="262">
        <f t="shared" si="10"/>
        <v>0</v>
      </c>
      <c r="BA43" s="253"/>
      <c r="BB43" s="262"/>
      <c r="BC43" s="253"/>
      <c r="BD43" s="262">
        <f t="shared" si="11"/>
        <v>0</v>
      </c>
      <c r="BE43" s="253"/>
      <c r="BF43" s="262">
        <f t="shared" si="12"/>
        <v>0</v>
      </c>
      <c r="BG43" s="253"/>
      <c r="BH43" s="262">
        <f t="shared" si="13"/>
        <v>0</v>
      </c>
      <c r="BI43" s="253"/>
      <c r="BJ43" s="262"/>
      <c r="BK43" s="257"/>
      <c r="BL43" s="262"/>
      <c r="BM43" s="159"/>
      <c r="BO43" s="254"/>
      <c r="BP43" s="254"/>
      <c r="BQ43" s="254"/>
      <c r="BR43" s="254"/>
      <c r="BS43" s="254"/>
      <c r="BT43" s="254"/>
      <c r="BU43" s="254"/>
      <c r="BV43" s="254"/>
      <c r="BW43" s="255">
        <f t="shared" si="15"/>
        <v>0</v>
      </c>
    </row>
    <row r="44" spans="1:75" ht="31.5">
      <c r="A44" s="935"/>
      <c r="B44" s="196"/>
      <c r="C44" s="473" t="s">
        <v>908</v>
      </c>
      <c r="D44" s="134" t="s">
        <v>728</v>
      </c>
      <c r="E44" s="136" t="s">
        <v>16</v>
      </c>
      <c r="F44" s="135">
        <v>50000</v>
      </c>
      <c r="G44" s="257">
        <f>BK44</f>
        <v>15</v>
      </c>
      <c r="H44" s="257">
        <f>BL44</f>
        <v>2145000</v>
      </c>
      <c r="I44" s="313">
        <f>H44*0.1</f>
        <v>214500</v>
      </c>
      <c r="J44" s="313">
        <f>H44*0.8</f>
        <v>1716000</v>
      </c>
      <c r="K44" s="253"/>
      <c r="L44" s="253"/>
      <c r="M44" s="253"/>
      <c r="N44" s="253"/>
      <c r="O44" s="253"/>
      <c r="P44" s="253"/>
      <c r="Q44" s="313">
        <f>H44*0.1</f>
        <v>214500</v>
      </c>
      <c r="R44" s="253"/>
      <c r="S44" s="253">
        <f>G44*0.5</f>
        <v>7.5</v>
      </c>
      <c r="T44" s="253">
        <f>G44*0.5</f>
        <v>7.5</v>
      </c>
      <c r="U44" s="253"/>
      <c r="V44" s="253"/>
      <c r="W44" s="314">
        <f>H44*0.5</f>
        <v>1072500</v>
      </c>
      <c r="X44" s="314">
        <f>H44*0.5</f>
        <v>1072500</v>
      </c>
      <c r="Y44" s="253"/>
      <c r="Z44" s="253"/>
      <c r="AA44" s="257">
        <v>1</v>
      </c>
      <c r="AB44" s="202">
        <f t="shared" ref="AB44:AB50" si="68">AA44*F44</f>
        <v>50000</v>
      </c>
      <c r="AC44" s="537">
        <v>1</v>
      </c>
      <c r="AD44" s="202">
        <v>1000000</v>
      </c>
      <c r="AE44" s="537">
        <v>1</v>
      </c>
      <c r="AF44" s="202">
        <f t="shared" si="3"/>
        <v>50000</v>
      </c>
      <c r="AG44" s="257">
        <v>1</v>
      </c>
      <c r="AH44" s="262">
        <f t="shared" si="4"/>
        <v>50000</v>
      </c>
      <c r="AI44" s="253">
        <v>1</v>
      </c>
      <c r="AJ44" s="202">
        <f>AI44*F44</f>
        <v>50000</v>
      </c>
      <c r="AK44" s="253">
        <v>1</v>
      </c>
      <c r="AL44" s="202">
        <f>AK44*F44</f>
        <v>50000</v>
      </c>
      <c r="AM44" s="253">
        <v>1</v>
      </c>
      <c r="AN44" s="202">
        <f>AM44*F44</f>
        <v>50000</v>
      </c>
      <c r="AO44" s="253">
        <v>1</v>
      </c>
      <c r="AP44" s="202">
        <f>AO44*F44</f>
        <v>50000</v>
      </c>
      <c r="AQ44" s="253">
        <v>1</v>
      </c>
      <c r="AR44" s="202">
        <f>AQ44*F44</f>
        <v>50000</v>
      </c>
      <c r="AS44" s="253">
        <v>1</v>
      </c>
      <c r="AT44" s="202">
        <f t="shared" ref="AT44:AT50" si="69">AS44*F44</f>
        <v>50000</v>
      </c>
      <c r="AU44" s="253">
        <v>1</v>
      </c>
      <c r="AV44" s="202">
        <f>AU44*F44</f>
        <v>50000</v>
      </c>
      <c r="AW44" s="253">
        <v>1</v>
      </c>
      <c r="AX44" s="202">
        <f t="shared" si="9"/>
        <v>50000</v>
      </c>
      <c r="AY44" s="253">
        <v>1</v>
      </c>
      <c r="AZ44" s="202">
        <f>AY44*F44</f>
        <v>50000</v>
      </c>
      <c r="BA44" s="253">
        <v>1</v>
      </c>
      <c r="BB44" s="202">
        <f>BA44*F44</f>
        <v>50000</v>
      </c>
      <c r="BC44" s="533">
        <v>1</v>
      </c>
      <c r="BD44" s="202">
        <v>495000</v>
      </c>
      <c r="BE44" s="634">
        <v>0</v>
      </c>
      <c r="BF44" s="632">
        <f>BE44*F44</f>
        <v>0</v>
      </c>
      <c r="BG44" s="533">
        <v>0</v>
      </c>
      <c r="BH44" s="511">
        <f>BG44*F44</f>
        <v>0</v>
      </c>
      <c r="BI44" s="253"/>
      <c r="BJ44" s="262"/>
      <c r="BK44" s="255">
        <f t="shared" ref="BK44:BK56" si="70">BI44+BG44+BE44+BC44+BA44+AY44+AW44+AU44+AS44+AQ44+AO44+AM44+AK44+AI44+AG44+AE44+AC44+AA44</f>
        <v>15</v>
      </c>
      <c r="BL44" s="255">
        <f t="shared" ref="BL44:BL56" si="71">BJ44+BH44+BF44+BD44+BB44+AZ44+AX44+AV44+AT44+AR44+AP44+AN44+AL44+AJ44+AH44+AF44+AD44+AB44</f>
        <v>2145000</v>
      </c>
      <c r="BM44" s="315" t="s">
        <v>219</v>
      </c>
      <c r="BO44" s="254">
        <f>H44</f>
        <v>2145000</v>
      </c>
      <c r="BP44" s="254"/>
      <c r="BQ44" s="254"/>
      <c r="BR44" s="254"/>
      <c r="BS44" s="163">
        <f t="shared" ref="BS44:BS56" si="72">BO44+BP44+BQ44+BR44</f>
        <v>2145000</v>
      </c>
      <c r="BT44" s="254"/>
      <c r="BU44" s="254"/>
      <c r="BV44" s="254"/>
      <c r="BW44" s="255">
        <f t="shared" si="15"/>
        <v>2145000</v>
      </c>
    </row>
    <row r="45" spans="1:75" ht="31.5">
      <c r="A45" s="935"/>
      <c r="B45" s="196"/>
      <c r="C45" s="473" t="s">
        <v>824</v>
      </c>
      <c r="D45" s="134" t="s">
        <v>670</v>
      </c>
      <c r="E45" s="136"/>
      <c r="F45" s="135">
        <v>500000</v>
      </c>
      <c r="G45" s="257">
        <f>BK45</f>
        <v>4</v>
      </c>
      <c r="H45" s="257">
        <f>BL45</f>
        <v>2150000</v>
      </c>
      <c r="I45" s="313">
        <f>H45*0.1</f>
        <v>215000</v>
      </c>
      <c r="J45" s="313">
        <f>H45*0.8</f>
        <v>1720000</v>
      </c>
      <c r="K45" s="253"/>
      <c r="L45" s="253"/>
      <c r="M45" s="253"/>
      <c r="N45" s="253"/>
      <c r="O45" s="253"/>
      <c r="P45" s="253"/>
      <c r="Q45" s="313">
        <f>H45*0.1</f>
        <v>215000</v>
      </c>
      <c r="R45" s="253"/>
      <c r="S45" s="253">
        <f>G45*0.5</f>
        <v>2</v>
      </c>
      <c r="T45" s="253">
        <f>G45*0.5</f>
        <v>2</v>
      </c>
      <c r="U45" s="253"/>
      <c r="V45" s="253"/>
      <c r="W45" s="314">
        <f>H45*0.5</f>
        <v>1075000</v>
      </c>
      <c r="X45" s="314">
        <f>H45*0.5</f>
        <v>1075000</v>
      </c>
      <c r="Y45" s="253"/>
      <c r="Z45" s="253"/>
      <c r="AA45" s="257"/>
      <c r="AB45" s="202">
        <f t="shared" si="68"/>
        <v>0</v>
      </c>
      <c r="AC45" s="257">
        <v>0</v>
      </c>
      <c r="AD45" s="202">
        <f t="shared" si="2"/>
        <v>0</v>
      </c>
      <c r="AE45" s="257">
        <v>0</v>
      </c>
      <c r="AF45" s="202">
        <f t="shared" si="3"/>
        <v>0</v>
      </c>
      <c r="AG45" s="257">
        <v>1</v>
      </c>
      <c r="AH45" s="202">
        <f t="shared" si="4"/>
        <v>500000</v>
      </c>
      <c r="AI45" s="253">
        <v>0</v>
      </c>
      <c r="AJ45" s="202">
        <f>AI45*F45</f>
        <v>0</v>
      </c>
      <c r="AK45" s="253">
        <v>0</v>
      </c>
      <c r="AL45" s="202">
        <f>AK45*F45</f>
        <v>0</v>
      </c>
      <c r="AM45" s="253">
        <v>0</v>
      </c>
      <c r="AN45" s="202">
        <f>AM45*F45</f>
        <v>0</v>
      </c>
      <c r="AO45" s="253">
        <v>1</v>
      </c>
      <c r="AP45" s="202">
        <f>AO45*F45</f>
        <v>500000</v>
      </c>
      <c r="AQ45" s="253"/>
      <c r="AR45" s="202">
        <f>AQ45*F45</f>
        <v>0</v>
      </c>
      <c r="AS45" s="253">
        <v>0</v>
      </c>
      <c r="AT45" s="202">
        <f t="shared" si="69"/>
        <v>0</v>
      </c>
      <c r="AU45" s="253">
        <v>0</v>
      </c>
      <c r="AV45" s="202">
        <f>AU45*F45</f>
        <v>0</v>
      </c>
      <c r="AW45" s="533">
        <v>1</v>
      </c>
      <c r="AX45" s="511">
        <f>(AW45*F45)+150000</f>
        <v>650000</v>
      </c>
      <c r="AY45" s="253"/>
      <c r="AZ45" s="202">
        <f>AY45*F45</f>
        <v>0</v>
      </c>
      <c r="BA45" s="253"/>
      <c r="BB45" s="202">
        <f>BA45*F45</f>
        <v>0</v>
      </c>
      <c r="BC45" s="533">
        <v>0</v>
      </c>
      <c r="BD45" s="511">
        <f t="shared" ref="BD45:BD49" si="73">BC45*F45</f>
        <v>0</v>
      </c>
      <c r="BE45" s="253"/>
      <c r="BF45" s="202">
        <f>BE45*F45</f>
        <v>0</v>
      </c>
      <c r="BG45" s="253">
        <v>1</v>
      </c>
      <c r="BH45" s="202">
        <f>BG45*F45</f>
        <v>500000</v>
      </c>
      <c r="BI45" s="253"/>
      <c r="BJ45" s="262"/>
      <c r="BK45" s="255">
        <f t="shared" si="70"/>
        <v>4</v>
      </c>
      <c r="BL45" s="255">
        <f t="shared" si="71"/>
        <v>2150000</v>
      </c>
      <c r="BM45" s="315" t="s">
        <v>219</v>
      </c>
      <c r="BO45" s="254">
        <f>H45</f>
        <v>2150000</v>
      </c>
      <c r="BP45" s="254"/>
      <c r="BQ45" s="254"/>
      <c r="BR45" s="254"/>
      <c r="BS45" s="163">
        <f t="shared" si="72"/>
        <v>2150000</v>
      </c>
      <c r="BT45" s="254"/>
      <c r="BU45" s="254"/>
      <c r="BV45" s="254"/>
      <c r="BW45" s="255">
        <f t="shared" si="15"/>
        <v>2150000</v>
      </c>
    </row>
    <row r="46" spans="1:75" ht="31.5">
      <c r="A46" s="935"/>
      <c r="B46" s="196"/>
      <c r="C46" s="473"/>
      <c r="D46" s="134" t="s">
        <v>633</v>
      </c>
      <c r="E46" s="136" t="s">
        <v>248</v>
      </c>
      <c r="F46" s="135">
        <v>100000</v>
      </c>
      <c r="G46" s="257">
        <f>BK46</f>
        <v>0</v>
      </c>
      <c r="H46" s="229">
        <f>F46*G46</f>
        <v>0</v>
      </c>
      <c r="I46" s="313">
        <f>H46*0.1</f>
        <v>0</v>
      </c>
      <c r="J46" s="313">
        <f>H46*0.8</f>
        <v>0</v>
      </c>
      <c r="K46" s="253"/>
      <c r="L46" s="253"/>
      <c r="M46" s="253"/>
      <c r="N46" s="253"/>
      <c r="O46" s="253"/>
      <c r="P46" s="253"/>
      <c r="Q46" s="313">
        <f>H46*0.1</f>
        <v>0</v>
      </c>
      <c r="R46" s="253"/>
      <c r="S46" s="253"/>
      <c r="T46" s="253"/>
      <c r="U46" s="253"/>
      <c r="V46" s="253">
        <v>1</v>
      </c>
      <c r="W46" s="310">
        <f>S46*F46</f>
        <v>0</v>
      </c>
      <c r="X46" s="310">
        <f>T46*F46</f>
        <v>0</v>
      </c>
      <c r="Y46" s="310">
        <f>U46*F46</f>
        <v>0</v>
      </c>
      <c r="Z46" s="310">
        <f>V46*F46</f>
        <v>100000</v>
      </c>
      <c r="AA46" s="257">
        <v>0</v>
      </c>
      <c r="AB46" s="202">
        <f t="shared" si="68"/>
        <v>0</v>
      </c>
      <c r="AC46" s="257">
        <v>0</v>
      </c>
      <c r="AD46" s="202">
        <f t="shared" si="2"/>
        <v>0</v>
      </c>
      <c r="AE46" s="257">
        <v>0</v>
      </c>
      <c r="AF46" s="202">
        <f t="shared" si="3"/>
        <v>0</v>
      </c>
      <c r="AG46" s="257">
        <v>0</v>
      </c>
      <c r="AH46" s="202">
        <f t="shared" si="4"/>
        <v>0</v>
      </c>
      <c r="AI46" s="253">
        <v>0</v>
      </c>
      <c r="AJ46" s="202">
        <f>AI46*F46</f>
        <v>0</v>
      </c>
      <c r="AK46" s="253">
        <v>0</v>
      </c>
      <c r="AL46" s="202">
        <f>AK46*F46</f>
        <v>0</v>
      </c>
      <c r="AM46" s="253">
        <v>0</v>
      </c>
      <c r="AN46" s="202">
        <f>AM46*F46</f>
        <v>0</v>
      </c>
      <c r="AO46" s="253">
        <v>0</v>
      </c>
      <c r="AP46" s="202">
        <f>AO46*F46</f>
        <v>0</v>
      </c>
      <c r="AQ46" s="253">
        <v>0</v>
      </c>
      <c r="AR46" s="202">
        <f>AQ46*F46</f>
        <v>0</v>
      </c>
      <c r="AS46" s="253">
        <v>0</v>
      </c>
      <c r="AT46" s="202">
        <f t="shared" si="69"/>
        <v>0</v>
      </c>
      <c r="AU46" s="253">
        <v>0</v>
      </c>
      <c r="AV46" s="202">
        <f>AU46*F46</f>
        <v>0</v>
      </c>
      <c r="AW46" s="253">
        <v>0</v>
      </c>
      <c r="AX46" s="202">
        <f t="shared" si="9"/>
        <v>0</v>
      </c>
      <c r="AY46" s="253">
        <v>0</v>
      </c>
      <c r="AZ46" s="202">
        <f>AY46*F46</f>
        <v>0</v>
      </c>
      <c r="BA46" s="253">
        <v>0</v>
      </c>
      <c r="BB46" s="202">
        <f>BA46*F46</f>
        <v>0</v>
      </c>
      <c r="BC46" s="253">
        <v>0</v>
      </c>
      <c r="BD46" s="202">
        <f t="shared" si="73"/>
        <v>0</v>
      </c>
      <c r="BE46" s="253">
        <v>0</v>
      </c>
      <c r="BF46" s="202">
        <f>BE46*F46</f>
        <v>0</v>
      </c>
      <c r="BG46" s="253">
        <v>0</v>
      </c>
      <c r="BH46" s="202">
        <f>BG46*F46</f>
        <v>0</v>
      </c>
      <c r="BI46" s="253"/>
      <c r="BJ46" s="262"/>
      <c r="BK46" s="255">
        <f t="shared" si="70"/>
        <v>0</v>
      </c>
      <c r="BL46" s="255">
        <f t="shared" si="71"/>
        <v>0</v>
      </c>
      <c r="BM46" s="315"/>
      <c r="BO46" s="254"/>
      <c r="BP46" s="254"/>
      <c r="BQ46" s="254">
        <f>H46</f>
        <v>0</v>
      </c>
      <c r="BR46" s="254"/>
      <c r="BS46" s="163">
        <f t="shared" si="72"/>
        <v>0</v>
      </c>
      <c r="BT46" s="254"/>
      <c r="BU46" s="254"/>
      <c r="BV46" s="254"/>
      <c r="BW46" s="255">
        <f t="shared" si="15"/>
        <v>0</v>
      </c>
    </row>
    <row r="47" spans="1:75">
      <c r="A47" s="935"/>
      <c r="B47" s="196"/>
      <c r="C47" s="644"/>
      <c r="D47" s="134" t="s">
        <v>929</v>
      </c>
      <c r="E47" s="136" t="s">
        <v>631</v>
      </c>
      <c r="F47" s="135">
        <v>5000</v>
      </c>
      <c r="G47" s="257">
        <f>BK47</f>
        <v>0</v>
      </c>
      <c r="H47" s="229">
        <f>F47*G47</f>
        <v>0</v>
      </c>
      <c r="I47" s="313"/>
      <c r="J47" s="313"/>
      <c r="K47" s="218">
        <f>H47*1</f>
        <v>0</v>
      </c>
      <c r="L47" s="253"/>
      <c r="M47" s="253"/>
      <c r="N47" s="253"/>
      <c r="O47" s="253"/>
      <c r="P47" s="253"/>
      <c r="Q47" s="313"/>
      <c r="R47" s="253"/>
      <c r="S47" s="253"/>
      <c r="T47" s="253"/>
      <c r="U47" s="253"/>
      <c r="V47" s="253"/>
      <c r="W47" s="310"/>
      <c r="X47" s="310"/>
      <c r="Y47" s="310"/>
      <c r="Z47" s="310"/>
      <c r="AA47" s="257">
        <v>0</v>
      </c>
      <c r="AB47" s="202">
        <f t="shared" si="68"/>
        <v>0</v>
      </c>
      <c r="AC47" s="257">
        <v>0</v>
      </c>
      <c r="AD47" s="202">
        <f t="shared" si="2"/>
        <v>0</v>
      </c>
      <c r="AE47" s="257">
        <v>0</v>
      </c>
      <c r="AF47" s="202">
        <f t="shared" si="3"/>
        <v>0</v>
      </c>
      <c r="AG47" s="257">
        <v>0</v>
      </c>
      <c r="AH47" s="202">
        <f t="shared" si="4"/>
        <v>0</v>
      </c>
      <c r="AI47" s="253">
        <v>0</v>
      </c>
      <c r="AJ47" s="202">
        <f>AI47*F47</f>
        <v>0</v>
      </c>
      <c r="AK47" s="253">
        <v>0</v>
      </c>
      <c r="AL47" s="202">
        <f>AK47*F47</f>
        <v>0</v>
      </c>
      <c r="AM47" s="253">
        <v>0</v>
      </c>
      <c r="AN47" s="202">
        <f>AM47*F47</f>
        <v>0</v>
      </c>
      <c r="AO47" s="253">
        <v>0</v>
      </c>
      <c r="AP47" s="202">
        <f>AO47*F47</f>
        <v>0</v>
      </c>
      <c r="AQ47" s="253">
        <v>0</v>
      </c>
      <c r="AR47" s="202">
        <f>AQ47*F47</f>
        <v>0</v>
      </c>
      <c r="AS47" s="253">
        <v>0</v>
      </c>
      <c r="AT47" s="202">
        <f t="shared" si="69"/>
        <v>0</v>
      </c>
      <c r="AU47" s="253">
        <v>0</v>
      </c>
      <c r="AV47" s="202">
        <f>AU47*F47</f>
        <v>0</v>
      </c>
      <c r="AW47" s="253">
        <v>0</v>
      </c>
      <c r="AX47" s="202">
        <f t="shared" si="9"/>
        <v>0</v>
      </c>
      <c r="AY47" s="253">
        <v>0</v>
      </c>
      <c r="AZ47" s="202">
        <f>AY47*F47</f>
        <v>0</v>
      </c>
      <c r="BA47" s="253">
        <v>0</v>
      </c>
      <c r="BB47" s="202">
        <f>BA47*F47</f>
        <v>0</v>
      </c>
      <c r="BC47" s="253">
        <v>0</v>
      </c>
      <c r="BD47" s="202">
        <f t="shared" si="73"/>
        <v>0</v>
      </c>
      <c r="BE47" s="253">
        <v>0</v>
      </c>
      <c r="BF47" s="202">
        <f>BE47*F47</f>
        <v>0</v>
      </c>
      <c r="BG47" s="253">
        <v>0</v>
      </c>
      <c r="BH47" s="202">
        <f>BG47*F47</f>
        <v>0</v>
      </c>
      <c r="BI47" s="253"/>
      <c r="BJ47" s="262"/>
      <c r="BK47" s="255">
        <f>BI47+BG47+BE47+BC47+BA47+AY47+AW47+AU47+AS47+AQ47+AO47+AM47+AK47+AI47+AG47+AE47+AC47+AA47</f>
        <v>0</v>
      </c>
      <c r="BL47" s="255">
        <f>BJ47+BH47+BF47+BD47+BB47+AZ47+AX47+AV47+AT47+AR47+AP47+AN47+AL47+AJ47+AH47+AF47+AD47+AB47</f>
        <v>0</v>
      </c>
      <c r="BM47" s="315" t="s">
        <v>987</v>
      </c>
      <c r="BO47" s="254"/>
      <c r="BP47" s="254"/>
      <c r="BQ47" s="254"/>
      <c r="BR47" s="254"/>
      <c r="BS47" s="163"/>
      <c r="BT47" s="254"/>
      <c r="BU47" s="254"/>
      <c r="BV47" s="254"/>
      <c r="BW47" s="255"/>
    </row>
    <row r="48" spans="1:75" s="139" customFormat="1" ht="47.25">
      <c r="A48" s="935"/>
      <c r="B48" s="155"/>
      <c r="C48" s="644"/>
      <c r="D48" s="316" t="s">
        <v>928</v>
      </c>
      <c r="E48" s="155" t="s">
        <v>248</v>
      </c>
      <c r="F48" s="317">
        <v>700000</v>
      </c>
      <c r="G48" s="206">
        <f t="shared" ref="G48:G53" si="74">BK48</f>
        <v>0</v>
      </c>
      <c r="H48" s="207">
        <f>BL48</f>
        <v>0</v>
      </c>
      <c r="I48" s="207"/>
      <c r="J48" s="207"/>
      <c r="K48" s="218">
        <f>H48*1</f>
        <v>0</v>
      </c>
      <c r="L48" s="318"/>
      <c r="M48" s="318"/>
      <c r="N48" s="318"/>
      <c r="O48" s="318"/>
      <c r="P48" s="318"/>
      <c r="Q48" s="218">
        <f>H48*0</f>
        <v>0</v>
      </c>
      <c r="R48" s="318">
        <f>H48*0</f>
        <v>0</v>
      </c>
      <c r="S48" s="150">
        <f>G48*0.25</f>
        <v>0</v>
      </c>
      <c r="T48" s="150">
        <f>G48*0.25</f>
        <v>0</v>
      </c>
      <c r="U48" s="150">
        <f>G48*0.25</f>
        <v>0</v>
      </c>
      <c r="V48" s="150">
        <f>G48*0.25</f>
        <v>0</v>
      </c>
      <c r="W48" s="211">
        <f>H48*0.25</f>
        <v>0</v>
      </c>
      <c r="X48" s="211">
        <f>H48*0.25</f>
        <v>0</v>
      </c>
      <c r="Y48" s="211">
        <f>H48*0.25</f>
        <v>0</v>
      </c>
      <c r="Z48" s="211">
        <f>H48*0.25</f>
        <v>0</v>
      </c>
      <c r="AA48" s="180">
        <v>0</v>
      </c>
      <c r="AB48" s="202">
        <f t="shared" si="68"/>
        <v>0</v>
      </c>
      <c r="AC48" s="180">
        <v>0</v>
      </c>
      <c r="AD48" s="202">
        <f t="shared" si="2"/>
        <v>0</v>
      </c>
      <c r="AE48" s="180">
        <v>0</v>
      </c>
      <c r="AF48" s="202">
        <f t="shared" si="3"/>
        <v>0</v>
      </c>
      <c r="AG48" s="180">
        <v>0</v>
      </c>
      <c r="AH48" s="202">
        <f t="shared" si="4"/>
        <v>0</v>
      </c>
      <c r="AI48" s="180">
        <v>0</v>
      </c>
      <c r="AJ48" s="202">
        <f t="shared" si="5"/>
        <v>0</v>
      </c>
      <c r="AK48" s="180">
        <v>0</v>
      </c>
      <c r="AL48" s="202">
        <f t="shared" si="6"/>
        <v>0</v>
      </c>
      <c r="AM48" s="180">
        <v>0</v>
      </c>
      <c r="AN48" s="202">
        <f>AM48*F48</f>
        <v>0</v>
      </c>
      <c r="AO48" s="180">
        <v>0</v>
      </c>
      <c r="AP48" s="202">
        <f t="shared" si="7"/>
        <v>0</v>
      </c>
      <c r="AQ48" s="180">
        <v>0</v>
      </c>
      <c r="AR48" s="202">
        <f>AQ48*F48</f>
        <v>0</v>
      </c>
      <c r="AS48" s="180">
        <v>0</v>
      </c>
      <c r="AT48" s="202">
        <f t="shared" si="69"/>
        <v>0</v>
      </c>
      <c r="AU48" s="180">
        <v>0</v>
      </c>
      <c r="AV48" s="202">
        <f t="shared" si="8"/>
        <v>0</v>
      </c>
      <c r="AW48" s="180">
        <v>0</v>
      </c>
      <c r="AX48" s="202">
        <f t="shared" si="9"/>
        <v>0</v>
      </c>
      <c r="AY48" s="180">
        <v>0</v>
      </c>
      <c r="AZ48" s="202">
        <f t="shared" si="10"/>
        <v>0</v>
      </c>
      <c r="BA48" s="180">
        <v>0</v>
      </c>
      <c r="BB48" s="202">
        <f>BA48*F48</f>
        <v>0</v>
      </c>
      <c r="BC48" s="180">
        <v>0</v>
      </c>
      <c r="BD48" s="202">
        <f t="shared" si="73"/>
        <v>0</v>
      </c>
      <c r="BE48" s="180">
        <v>0</v>
      </c>
      <c r="BF48" s="202">
        <f t="shared" si="12"/>
        <v>0</v>
      </c>
      <c r="BG48" s="180">
        <v>0</v>
      </c>
      <c r="BH48" s="202">
        <f t="shared" si="13"/>
        <v>0</v>
      </c>
      <c r="BI48" s="180">
        <v>0</v>
      </c>
      <c r="BJ48" s="202">
        <f>BI48*F48</f>
        <v>0</v>
      </c>
      <c r="BK48" s="255">
        <f t="shared" si="70"/>
        <v>0</v>
      </c>
      <c r="BL48" s="255">
        <f t="shared" si="71"/>
        <v>0</v>
      </c>
      <c r="BM48" s="236" t="s">
        <v>611</v>
      </c>
      <c r="BN48" s="219">
        <f>BJ48+BH48+BF48+BD48+BB48+AZ48+AX48+AV48+AT48+AR48+AP48+AN48+AL48+AJ48+AH48+AF48+AD48+AB48</f>
        <v>0</v>
      </c>
      <c r="BO48" s="202"/>
      <c r="BP48" s="202"/>
      <c r="BQ48" s="254">
        <f>H48</f>
        <v>0</v>
      </c>
      <c r="BR48" s="202"/>
      <c r="BS48" s="163">
        <f t="shared" si="72"/>
        <v>0</v>
      </c>
      <c r="BT48" s="202"/>
      <c r="BU48" s="202"/>
      <c r="BV48" s="202"/>
      <c r="BW48" s="255">
        <f t="shared" si="15"/>
        <v>0</v>
      </c>
    </row>
    <row r="49" spans="1:75" s="139" customFormat="1">
      <c r="A49" s="935"/>
      <c r="B49" s="155"/>
      <c r="C49" s="473" t="s">
        <v>909</v>
      </c>
      <c r="D49" s="316" t="s">
        <v>736</v>
      </c>
      <c r="E49" s="155"/>
      <c r="F49" s="317">
        <v>700000</v>
      </c>
      <c r="G49" s="206">
        <f t="shared" si="74"/>
        <v>0</v>
      </c>
      <c r="H49" s="207">
        <f>BL49</f>
        <v>0</v>
      </c>
      <c r="I49" s="313">
        <f>H49*0.2</f>
        <v>0</v>
      </c>
      <c r="J49" s="313">
        <f>H49*0.8</f>
        <v>0</v>
      </c>
      <c r="K49" s="218"/>
      <c r="L49" s="318"/>
      <c r="M49" s="218">
        <v>0</v>
      </c>
      <c r="N49" s="318"/>
      <c r="O49" s="318"/>
      <c r="P49" s="318"/>
      <c r="Q49" s="313">
        <f>H49*0</f>
        <v>0</v>
      </c>
      <c r="R49" s="318"/>
      <c r="S49" s="150">
        <f>G49*0.25</f>
        <v>0</v>
      </c>
      <c r="T49" s="150">
        <f>G49*0.25</f>
        <v>0</v>
      </c>
      <c r="U49" s="150">
        <f>G49*0.25</f>
        <v>0</v>
      </c>
      <c r="V49" s="150">
        <f>G49*0.25</f>
        <v>0</v>
      </c>
      <c r="W49" s="211">
        <f>S49*F49</f>
        <v>0</v>
      </c>
      <c r="X49" s="211">
        <f>T49*F49</f>
        <v>0</v>
      </c>
      <c r="Y49" s="211">
        <f>U49*F49</f>
        <v>0</v>
      </c>
      <c r="Z49" s="211">
        <f>V49*F49</f>
        <v>0</v>
      </c>
      <c r="AA49" s="180">
        <v>0</v>
      </c>
      <c r="AB49" s="202">
        <f t="shared" si="68"/>
        <v>0</v>
      </c>
      <c r="AC49" s="180">
        <v>0</v>
      </c>
      <c r="AD49" s="202">
        <f t="shared" si="2"/>
        <v>0</v>
      </c>
      <c r="AE49" s="180"/>
      <c r="AF49" s="202"/>
      <c r="AG49" s="180">
        <v>0</v>
      </c>
      <c r="AH49" s="202">
        <f t="shared" si="4"/>
        <v>0</v>
      </c>
      <c r="AI49" s="180">
        <v>0</v>
      </c>
      <c r="AJ49" s="202"/>
      <c r="AK49" s="180">
        <v>0</v>
      </c>
      <c r="AL49" s="202"/>
      <c r="AM49" s="180"/>
      <c r="AN49" s="202"/>
      <c r="AO49" s="180">
        <v>0</v>
      </c>
      <c r="AP49" s="202">
        <f t="shared" si="7"/>
        <v>0</v>
      </c>
      <c r="AQ49" s="180"/>
      <c r="AR49" s="202"/>
      <c r="AS49" s="180">
        <v>0</v>
      </c>
      <c r="AT49" s="202">
        <f t="shared" si="69"/>
        <v>0</v>
      </c>
      <c r="AU49" s="180"/>
      <c r="AV49" s="202"/>
      <c r="AW49" s="180">
        <v>0</v>
      </c>
      <c r="AX49" s="202">
        <f t="shared" si="9"/>
        <v>0</v>
      </c>
      <c r="AY49" s="180"/>
      <c r="AZ49" s="202"/>
      <c r="BA49" s="180"/>
      <c r="BB49" s="202"/>
      <c r="BC49" s="180">
        <v>0</v>
      </c>
      <c r="BD49" s="202">
        <f t="shared" si="73"/>
        <v>0</v>
      </c>
      <c r="BE49" s="180">
        <v>0</v>
      </c>
      <c r="BF49" s="202">
        <f t="shared" si="12"/>
        <v>0</v>
      </c>
      <c r="BG49" s="180">
        <v>0</v>
      </c>
      <c r="BH49" s="202">
        <f t="shared" si="13"/>
        <v>0</v>
      </c>
      <c r="BI49" s="180"/>
      <c r="BJ49" s="202"/>
      <c r="BK49" s="255">
        <f t="shared" si="70"/>
        <v>0</v>
      </c>
      <c r="BL49" s="255">
        <f t="shared" si="71"/>
        <v>0</v>
      </c>
      <c r="BM49" s="315" t="s">
        <v>944</v>
      </c>
      <c r="BN49" s="219"/>
      <c r="BO49" s="202">
        <f>H49</f>
        <v>0</v>
      </c>
      <c r="BP49" s="202"/>
      <c r="BQ49" s="254"/>
      <c r="BR49" s="202"/>
      <c r="BS49" s="163">
        <f t="shared" si="72"/>
        <v>0</v>
      </c>
      <c r="BT49" s="202"/>
      <c r="BU49" s="202"/>
      <c r="BV49" s="202"/>
      <c r="BW49" s="255">
        <f t="shared" si="15"/>
        <v>0</v>
      </c>
    </row>
    <row r="50" spans="1:75" s="666" customFormat="1">
      <c r="A50" s="935"/>
      <c r="B50" s="673"/>
      <c r="C50" s="674"/>
      <c r="D50" s="754" t="s">
        <v>668</v>
      </c>
      <c r="E50" s="16" t="s">
        <v>248</v>
      </c>
      <c r="F50" s="755">
        <v>800000</v>
      </c>
      <c r="G50" s="756">
        <f t="shared" si="74"/>
        <v>0</v>
      </c>
      <c r="H50" s="661">
        <f>G50*F50</f>
        <v>0</v>
      </c>
      <c r="I50" s="661"/>
      <c r="J50" s="661"/>
      <c r="K50" s="675"/>
      <c r="L50" s="676"/>
      <c r="M50" s="675">
        <f>H50</f>
        <v>0</v>
      </c>
      <c r="N50" s="676"/>
      <c r="O50" s="676"/>
      <c r="P50" s="676"/>
      <c r="Q50" s="675"/>
      <c r="R50" s="676"/>
      <c r="S50" s="670">
        <f>G50*0.25</f>
        <v>0</v>
      </c>
      <c r="T50" s="670">
        <f>G50*0.25</f>
        <v>0</v>
      </c>
      <c r="U50" s="670">
        <f>G50*0.25</f>
        <v>0</v>
      </c>
      <c r="V50" s="670">
        <f>G50*0.25</f>
        <v>0</v>
      </c>
      <c r="W50" s="662">
        <f>S50*F50</f>
        <v>0</v>
      </c>
      <c r="X50" s="662">
        <f>T50*F50</f>
        <v>0</v>
      </c>
      <c r="Y50" s="662">
        <f>U50*F50</f>
        <v>0</v>
      </c>
      <c r="Z50" s="662">
        <f>V50*F50</f>
        <v>0</v>
      </c>
      <c r="AA50" s="663">
        <v>0</v>
      </c>
      <c r="AB50" s="548">
        <f t="shared" si="68"/>
        <v>0</v>
      </c>
      <c r="AC50" s="663">
        <v>0</v>
      </c>
      <c r="AD50" s="548">
        <f t="shared" si="2"/>
        <v>0</v>
      </c>
      <c r="AE50" s="663">
        <v>0</v>
      </c>
      <c r="AF50" s="548">
        <f t="shared" si="3"/>
        <v>0</v>
      </c>
      <c r="AG50" s="663">
        <v>0</v>
      </c>
      <c r="AH50" s="548">
        <f t="shared" si="4"/>
        <v>0</v>
      </c>
      <c r="AI50" s="663">
        <v>0</v>
      </c>
      <c r="AJ50" s="548">
        <f t="shared" si="5"/>
        <v>0</v>
      </c>
      <c r="AK50" s="663">
        <v>0</v>
      </c>
      <c r="AL50" s="548">
        <f t="shared" si="6"/>
        <v>0</v>
      </c>
      <c r="AM50" s="663">
        <v>0</v>
      </c>
      <c r="AN50" s="548">
        <f>AM50*F50</f>
        <v>0</v>
      </c>
      <c r="AO50" s="663">
        <v>0</v>
      </c>
      <c r="AP50" s="548">
        <f t="shared" si="7"/>
        <v>0</v>
      </c>
      <c r="AQ50" s="663">
        <v>0</v>
      </c>
      <c r="AR50" s="548">
        <f t="shared" ref="AR50:AR56" si="75">AQ50*F50</f>
        <v>0</v>
      </c>
      <c r="AS50" s="663">
        <v>0</v>
      </c>
      <c r="AT50" s="548">
        <f t="shared" si="69"/>
        <v>0</v>
      </c>
      <c r="AU50" s="663">
        <v>0</v>
      </c>
      <c r="AV50" s="548">
        <f t="shared" si="8"/>
        <v>0</v>
      </c>
      <c r="AW50" s="663">
        <v>0</v>
      </c>
      <c r="AX50" s="548">
        <f t="shared" si="9"/>
        <v>0</v>
      </c>
      <c r="AY50" s="663">
        <v>0</v>
      </c>
      <c r="AZ50" s="548">
        <f t="shared" si="10"/>
        <v>0</v>
      </c>
      <c r="BA50" s="663">
        <v>0</v>
      </c>
      <c r="BB50" s="548">
        <f>BA50*F50</f>
        <v>0</v>
      </c>
      <c r="BC50" s="663">
        <v>0</v>
      </c>
      <c r="BD50" s="548">
        <f t="shared" si="11"/>
        <v>0</v>
      </c>
      <c r="BE50" s="663">
        <v>0</v>
      </c>
      <c r="BF50" s="548">
        <f t="shared" si="12"/>
        <v>0</v>
      </c>
      <c r="BG50" s="663">
        <v>0</v>
      </c>
      <c r="BH50" s="548">
        <f t="shared" si="13"/>
        <v>0</v>
      </c>
      <c r="BI50" s="663"/>
      <c r="BJ50" s="548"/>
      <c r="BK50" s="672">
        <f t="shared" si="70"/>
        <v>0</v>
      </c>
      <c r="BL50" s="672">
        <f t="shared" si="71"/>
        <v>0</v>
      </c>
      <c r="BM50" s="667" t="s">
        <v>579</v>
      </c>
      <c r="BN50" s="664"/>
      <c r="BO50" s="548"/>
      <c r="BP50" s="548"/>
      <c r="BQ50" s="671">
        <f>H50</f>
        <v>0</v>
      </c>
      <c r="BR50" s="548"/>
      <c r="BS50" s="665">
        <f t="shared" si="72"/>
        <v>0</v>
      </c>
      <c r="BT50" s="548"/>
      <c r="BU50" s="548"/>
      <c r="BV50" s="548"/>
      <c r="BW50" s="672">
        <f t="shared" si="15"/>
        <v>0</v>
      </c>
    </row>
    <row r="51" spans="1:75" s="139" customFormat="1">
      <c r="A51" s="935"/>
      <c r="B51" s="155"/>
      <c r="C51" s="473"/>
      <c r="D51" s="316" t="s">
        <v>669</v>
      </c>
      <c r="E51" s="155" t="s">
        <v>248</v>
      </c>
      <c r="F51" s="317">
        <v>50000</v>
      </c>
      <c r="G51" s="206">
        <f>BK51</f>
        <v>10</v>
      </c>
      <c r="H51" s="207">
        <f>G51*F51</f>
        <v>500000</v>
      </c>
      <c r="I51" s="313">
        <f>H51*0.2</f>
        <v>100000</v>
      </c>
      <c r="J51" s="313">
        <f>H51*0.8</f>
        <v>400000</v>
      </c>
      <c r="K51" s="218"/>
      <c r="L51" s="318"/>
      <c r="M51" s="218"/>
      <c r="N51" s="318"/>
      <c r="O51" s="318"/>
      <c r="P51" s="318"/>
      <c r="Q51" s="313">
        <v>0</v>
      </c>
      <c r="R51" s="318"/>
      <c r="S51" s="150"/>
      <c r="T51" s="150"/>
      <c r="U51" s="150"/>
      <c r="V51" s="150"/>
      <c r="W51" s="211"/>
      <c r="X51" s="211"/>
      <c r="Y51" s="211"/>
      <c r="Z51" s="211"/>
      <c r="AA51" s="180"/>
      <c r="AB51" s="202"/>
      <c r="AC51" s="180"/>
      <c r="AD51" s="202"/>
      <c r="AE51" s="180"/>
      <c r="AF51" s="202"/>
      <c r="AG51" s="180">
        <v>5</v>
      </c>
      <c r="AH51" s="202">
        <f t="shared" si="4"/>
        <v>250000</v>
      </c>
      <c r="AI51" s="180"/>
      <c r="AJ51" s="202"/>
      <c r="AK51" s="180">
        <v>0</v>
      </c>
      <c r="AL51" s="202"/>
      <c r="AM51" s="180"/>
      <c r="AN51" s="202"/>
      <c r="AO51" s="180"/>
      <c r="AP51" s="202"/>
      <c r="AQ51" s="180">
        <v>5</v>
      </c>
      <c r="AR51" s="202">
        <f t="shared" si="75"/>
        <v>250000</v>
      </c>
      <c r="AS51" s="180">
        <v>0</v>
      </c>
      <c r="AT51" s="202"/>
      <c r="AU51" s="180"/>
      <c r="AV51" s="202"/>
      <c r="AW51" s="180"/>
      <c r="AX51" s="202"/>
      <c r="AY51" s="180"/>
      <c r="AZ51" s="202"/>
      <c r="BA51" s="180"/>
      <c r="BB51" s="202"/>
      <c r="BC51" s="180"/>
      <c r="BD51" s="202"/>
      <c r="BE51" s="180"/>
      <c r="BF51" s="202"/>
      <c r="BG51" s="180"/>
      <c r="BH51" s="202"/>
      <c r="BI51" s="180"/>
      <c r="BJ51" s="202"/>
      <c r="BK51" s="255">
        <f>BI51+BG51+BE51+BC51+BA51+AY51+AW51+AU51+AS51+AQ51+AO51+AM51+AK51+AI51+AG51+AE51+AC51+AA51</f>
        <v>10</v>
      </c>
      <c r="BL51" s="255">
        <f>BJ51+BH51+BF51+BD51+BB51+AZ51+AX51+AV51+AT51+AR51+AP51+AN51+AL51+AJ51+AH51+AF51+AD51+AB51</f>
        <v>500000</v>
      </c>
      <c r="BM51" s="315" t="s">
        <v>944</v>
      </c>
      <c r="BN51" s="219"/>
      <c r="BO51" s="202"/>
      <c r="BP51" s="202"/>
      <c r="BQ51" s="254"/>
      <c r="BR51" s="202"/>
      <c r="BS51" s="163"/>
      <c r="BT51" s="202"/>
      <c r="BU51" s="202"/>
      <c r="BV51" s="202"/>
      <c r="BW51" s="255"/>
    </row>
    <row r="52" spans="1:75" s="139" customFormat="1" ht="31.5">
      <c r="A52" s="935"/>
      <c r="B52" s="155"/>
      <c r="C52" s="644"/>
      <c r="D52" s="316" t="s">
        <v>927</v>
      </c>
      <c r="E52" s="155" t="s">
        <v>555</v>
      </c>
      <c r="F52" s="317">
        <v>300000</v>
      </c>
      <c r="G52" s="206">
        <f t="shared" si="74"/>
        <v>0</v>
      </c>
      <c r="H52" s="207">
        <f>BL52</f>
        <v>0</v>
      </c>
      <c r="I52" s="207"/>
      <c r="J52" s="207"/>
      <c r="K52" s="218">
        <f>H52*1</f>
        <v>0</v>
      </c>
      <c r="L52" s="318"/>
      <c r="M52" s="318"/>
      <c r="N52" s="318"/>
      <c r="O52" s="318"/>
      <c r="P52" s="318"/>
      <c r="Q52" s="218"/>
      <c r="R52" s="318"/>
      <c r="S52" s="150">
        <f>G52*0.25</f>
        <v>0</v>
      </c>
      <c r="T52" s="150">
        <f>G52*0.25</f>
        <v>0</v>
      </c>
      <c r="U52" s="150">
        <f>G52*0.25</f>
        <v>0</v>
      </c>
      <c r="V52" s="150">
        <f>G52*0.25</f>
        <v>0</v>
      </c>
      <c r="W52" s="211">
        <f>H52*0.25</f>
        <v>0</v>
      </c>
      <c r="X52" s="211">
        <f>H52*0.25</f>
        <v>0</v>
      </c>
      <c r="Y52" s="211">
        <f>H52*0.25</f>
        <v>0</v>
      </c>
      <c r="Z52" s="211">
        <f>H52*0.25</f>
        <v>0</v>
      </c>
      <c r="AA52" s="180">
        <v>0</v>
      </c>
      <c r="AB52" s="202">
        <f>AA52*F52</f>
        <v>0</v>
      </c>
      <c r="AC52" s="180">
        <v>0</v>
      </c>
      <c r="AD52" s="202">
        <f t="shared" si="2"/>
        <v>0</v>
      </c>
      <c r="AE52" s="180">
        <v>0</v>
      </c>
      <c r="AF52" s="202">
        <f t="shared" si="3"/>
        <v>0</v>
      </c>
      <c r="AG52" s="180">
        <v>0</v>
      </c>
      <c r="AH52" s="202">
        <f t="shared" si="4"/>
        <v>0</v>
      </c>
      <c r="AI52" s="180">
        <v>0</v>
      </c>
      <c r="AJ52" s="202">
        <f t="shared" si="5"/>
        <v>0</v>
      </c>
      <c r="AK52" s="180">
        <v>0</v>
      </c>
      <c r="AL52" s="202">
        <f t="shared" si="6"/>
        <v>0</v>
      </c>
      <c r="AM52" s="180">
        <v>0</v>
      </c>
      <c r="AN52" s="202">
        <f>AM52*F52</f>
        <v>0</v>
      </c>
      <c r="AO52" s="180">
        <v>0</v>
      </c>
      <c r="AP52" s="202">
        <f t="shared" si="7"/>
        <v>0</v>
      </c>
      <c r="AQ52" s="180">
        <v>0</v>
      </c>
      <c r="AR52" s="202">
        <f t="shared" si="75"/>
        <v>0</v>
      </c>
      <c r="AS52" s="180">
        <v>0</v>
      </c>
      <c r="AT52" s="202">
        <f>AS52*F52</f>
        <v>0</v>
      </c>
      <c r="AU52" s="180">
        <v>0</v>
      </c>
      <c r="AV52" s="202">
        <f t="shared" si="8"/>
        <v>0</v>
      </c>
      <c r="AW52" s="180">
        <v>0</v>
      </c>
      <c r="AX52" s="202">
        <f t="shared" si="9"/>
        <v>0</v>
      </c>
      <c r="AY52" s="180">
        <v>0</v>
      </c>
      <c r="AZ52" s="202">
        <f t="shared" si="10"/>
        <v>0</v>
      </c>
      <c r="BA52" s="180">
        <v>0</v>
      </c>
      <c r="BB52" s="202">
        <f>BA52*F52</f>
        <v>0</v>
      </c>
      <c r="BC52" s="180">
        <v>0</v>
      </c>
      <c r="BD52" s="202">
        <f t="shared" si="11"/>
        <v>0</v>
      </c>
      <c r="BE52" s="180">
        <v>0</v>
      </c>
      <c r="BF52" s="202">
        <f t="shared" si="12"/>
        <v>0</v>
      </c>
      <c r="BG52" s="180">
        <v>0</v>
      </c>
      <c r="BH52" s="202">
        <f t="shared" si="13"/>
        <v>0</v>
      </c>
      <c r="BI52" s="180"/>
      <c r="BJ52" s="202"/>
      <c r="BK52" s="255">
        <f t="shared" si="70"/>
        <v>0</v>
      </c>
      <c r="BL52" s="255">
        <f t="shared" si="71"/>
        <v>0</v>
      </c>
      <c r="BM52" s="236" t="s">
        <v>554</v>
      </c>
      <c r="BN52" s="219"/>
      <c r="BO52" s="202"/>
      <c r="BP52" s="202"/>
      <c r="BQ52" s="254">
        <f>H52</f>
        <v>0</v>
      </c>
      <c r="BR52" s="202"/>
      <c r="BS52" s="163">
        <f t="shared" si="72"/>
        <v>0</v>
      </c>
      <c r="BT52" s="202"/>
      <c r="BU52" s="202"/>
      <c r="BV52" s="202"/>
      <c r="BW52" s="255">
        <f t="shared" si="15"/>
        <v>0</v>
      </c>
    </row>
    <row r="53" spans="1:75" s="139" customFormat="1" ht="31.5">
      <c r="A53" s="935"/>
      <c r="B53" s="196"/>
      <c r="C53" s="214" t="s">
        <v>910</v>
      </c>
      <c r="D53" s="134" t="s">
        <v>454</v>
      </c>
      <c r="E53" s="159" t="s">
        <v>32</v>
      </c>
      <c r="F53" s="135" t="s">
        <v>318</v>
      </c>
      <c r="G53" s="206">
        <f t="shared" si="74"/>
        <v>178</v>
      </c>
      <c r="H53" s="207">
        <f>G53*F53</f>
        <v>1780000</v>
      </c>
      <c r="I53" s="207">
        <f>0.2*H53</f>
        <v>356000</v>
      </c>
      <c r="J53" s="207">
        <f>0.8*H53</f>
        <v>1424000</v>
      </c>
      <c r="K53" s="207"/>
      <c r="L53" s="207"/>
      <c r="M53" s="207"/>
      <c r="N53" s="207"/>
      <c r="O53" s="207"/>
      <c r="P53" s="207"/>
      <c r="Q53" s="207"/>
      <c r="R53" s="207"/>
      <c r="S53" s="212">
        <f>G53*0.25</f>
        <v>44.5</v>
      </c>
      <c r="T53" s="212">
        <f>G53*0.25</f>
        <v>44.5</v>
      </c>
      <c r="U53" s="212">
        <f>G53*0.25</f>
        <v>44.5</v>
      </c>
      <c r="V53" s="212">
        <f>G53*0.25</f>
        <v>44.5</v>
      </c>
      <c r="W53" s="211">
        <f>S53*F53</f>
        <v>445000</v>
      </c>
      <c r="X53" s="211">
        <f>T53*F53</f>
        <v>445000</v>
      </c>
      <c r="Y53" s="211">
        <f>U53*F53</f>
        <v>445000</v>
      </c>
      <c r="Z53" s="211">
        <f>V53*F53</f>
        <v>445000</v>
      </c>
      <c r="AA53" s="212">
        <v>12</v>
      </c>
      <c r="AB53" s="202">
        <f>AA53*F53</f>
        <v>120000</v>
      </c>
      <c r="AC53" s="212">
        <v>12</v>
      </c>
      <c r="AD53" s="202">
        <f t="shared" si="2"/>
        <v>120000</v>
      </c>
      <c r="AE53" s="212">
        <v>12</v>
      </c>
      <c r="AF53" s="202">
        <f t="shared" si="3"/>
        <v>120000</v>
      </c>
      <c r="AG53" s="212">
        <v>12</v>
      </c>
      <c r="AH53" s="202">
        <f t="shared" si="4"/>
        <v>120000</v>
      </c>
      <c r="AI53" s="212">
        <v>12</v>
      </c>
      <c r="AJ53" s="202">
        <f t="shared" si="5"/>
        <v>120000</v>
      </c>
      <c r="AK53" s="212">
        <v>12</v>
      </c>
      <c r="AL53" s="202">
        <f t="shared" si="6"/>
        <v>120000</v>
      </c>
      <c r="AM53" s="212">
        <v>12</v>
      </c>
      <c r="AN53" s="202">
        <f>AM53*F53</f>
        <v>120000</v>
      </c>
      <c r="AO53" s="212">
        <v>12</v>
      </c>
      <c r="AP53" s="202">
        <f t="shared" si="7"/>
        <v>120000</v>
      </c>
      <c r="AQ53" s="212">
        <v>12</v>
      </c>
      <c r="AR53" s="202">
        <f t="shared" si="75"/>
        <v>120000</v>
      </c>
      <c r="AS53" s="212">
        <v>12</v>
      </c>
      <c r="AT53" s="202">
        <f>AS53*F53</f>
        <v>120000</v>
      </c>
      <c r="AU53" s="505">
        <v>0</v>
      </c>
      <c r="AV53" s="511">
        <f t="shared" si="8"/>
        <v>0</v>
      </c>
      <c r="AW53" s="212">
        <v>12</v>
      </c>
      <c r="AX53" s="202">
        <f t="shared" si="9"/>
        <v>120000</v>
      </c>
      <c r="AY53" s="211">
        <v>10</v>
      </c>
      <c r="AZ53" s="202">
        <f t="shared" si="10"/>
        <v>100000</v>
      </c>
      <c r="BA53" s="212">
        <v>12</v>
      </c>
      <c r="BB53" s="202">
        <f>BA53*F53</f>
        <v>120000</v>
      </c>
      <c r="BC53" s="212">
        <v>12</v>
      </c>
      <c r="BD53" s="202">
        <f t="shared" si="11"/>
        <v>120000</v>
      </c>
      <c r="BE53" s="635">
        <v>0</v>
      </c>
      <c r="BF53" s="632">
        <f t="shared" si="12"/>
        <v>0</v>
      </c>
      <c r="BG53" s="212">
        <v>12</v>
      </c>
      <c r="BH53" s="202">
        <f t="shared" si="13"/>
        <v>120000</v>
      </c>
      <c r="BI53" s="212"/>
      <c r="BJ53" s="202">
        <f>BI53*F53</f>
        <v>0</v>
      </c>
      <c r="BK53" s="255">
        <f t="shared" si="70"/>
        <v>178</v>
      </c>
      <c r="BL53" s="255">
        <f t="shared" si="71"/>
        <v>1780000</v>
      </c>
      <c r="BM53" s="159" t="s">
        <v>570</v>
      </c>
      <c r="BN53" s="219">
        <f>BJ53+BH53+BF53+BD53+BB53+AZ53+AX53+AV53+AT53+AR53+AP53+AN53+AL53+AJ53+AH53+AF53+AD53+AB53</f>
        <v>1780000</v>
      </c>
      <c r="BO53" s="207"/>
      <c r="BP53" s="163"/>
      <c r="BQ53" s="163">
        <f>H53</f>
        <v>1780000</v>
      </c>
      <c r="BR53" s="163"/>
      <c r="BS53" s="163">
        <f t="shared" si="72"/>
        <v>1780000</v>
      </c>
      <c r="BT53" s="163"/>
      <c r="BU53" s="163"/>
      <c r="BV53" s="163"/>
      <c r="BW53" s="255">
        <f t="shared" si="15"/>
        <v>1780000</v>
      </c>
    </row>
    <row r="54" spans="1:75" ht="47.25">
      <c r="A54" s="935"/>
      <c r="B54" s="196"/>
      <c r="C54" s="196"/>
      <c r="D54" s="134" t="s">
        <v>574</v>
      </c>
      <c r="E54" s="159" t="s">
        <v>86</v>
      </c>
      <c r="F54" s="135">
        <v>3000000</v>
      </c>
      <c r="G54" s="206">
        <f>BK54</f>
        <v>3</v>
      </c>
      <c r="H54" s="206">
        <f>BL54</f>
        <v>2946888</v>
      </c>
      <c r="I54" s="253">
        <f>H54*0.2</f>
        <v>589377.6</v>
      </c>
      <c r="J54" s="253">
        <f>H54*0.8</f>
        <v>2357510.4</v>
      </c>
      <c r="K54" s="253"/>
      <c r="L54" s="253"/>
      <c r="M54" s="253"/>
      <c r="N54" s="253"/>
      <c r="O54" s="253"/>
      <c r="P54" s="253"/>
      <c r="Q54" s="253"/>
      <c r="R54" s="253"/>
      <c r="S54" s="253">
        <v>0</v>
      </c>
      <c r="T54" s="253">
        <v>0</v>
      </c>
      <c r="U54" s="253">
        <v>3</v>
      </c>
      <c r="V54" s="253">
        <v>12</v>
      </c>
      <c r="W54" s="253">
        <f>S54*F54</f>
        <v>0</v>
      </c>
      <c r="X54" s="253">
        <f>T54*F54</f>
        <v>0</v>
      </c>
      <c r="Y54" s="319">
        <f>H54*0.5</f>
        <v>1473444</v>
      </c>
      <c r="Z54" s="319">
        <f>H54*0.5</f>
        <v>1473444</v>
      </c>
      <c r="AA54" s="257">
        <v>0</v>
      </c>
      <c r="AB54" s="262">
        <f>AA54*F54</f>
        <v>0</v>
      </c>
      <c r="AC54" s="257">
        <v>0</v>
      </c>
      <c r="AD54" s="262">
        <f>AC54*F54</f>
        <v>0</v>
      </c>
      <c r="AE54" s="257">
        <v>0</v>
      </c>
      <c r="AF54" s="262">
        <f>AE54*F54</f>
        <v>0</v>
      </c>
      <c r="AG54" s="257">
        <v>0</v>
      </c>
      <c r="AH54" s="262">
        <f>AG54*F54</f>
        <v>0</v>
      </c>
      <c r="AI54" s="253">
        <v>0</v>
      </c>
      <c r="AJ54" s="262">
        <f>AI54*F54</f>
        <v>0</v>
      </c>
      <c r="AK54" s="253">
        <v>0</v>
      </c>
      <c r="AL54" s="262">
        <f>AK54*F54</f>
        <v>0</v>
      </c>
      <c r="AM54" s="253">
        <v>0</v>
      </c>
      <c r="AN54" s="262">
        <f>AM54*F54</f>
        <v>0</v>
      </c>
      <c r="AO54" s="253">
        <v>0</v>
      </c>
      <c r="AP54" s="202">
        <f t="shared" si="7"/>
        <v>0</v>
      </c>
      <c r="AQ54" s="253">
        <v>0</v>
      </c>
      <c r="AR54" s="262">
        <f t="shared" si="75"/>
        <v>0</v>
      </c>
      <c r="AS54" s="253">
        <v>1</v>
      </c>
      <c r="AT54" s="262">
        <v>500863</v>
      </c>
      <c r="AU54" s="533">
        <v>1</v>
      </c>
      <c r="AV54" s="557">
        <v>1805000</v>
      </c>
      <c r="AW54" s="533">
        <v>1</v>
      </c>
      <c r="AX54" s="557">
        <v>641025</v>
      </c>
      <c r="AY54" s="253">
        <v>0</v>
      </c>
      <c r="AZ54" s="202">
        <f t="shared" si="10"/>
        <v>0</v>
      </c>
      <c r="BA54" s="253">
        <v>0</v>
      </c>
      <c r="BB54" s="262">
        <f>BA54*F54</f>
        <v>0</v>
      </c>
      <c r="BC54" s="253">
        <v>0</v>
      </c>
      <c r="BD54" s="202">
        <f t="shared" si="11"/>
        <v>0</v>
      </c>
      <c r="BE54" s="253">
        <v>0</v>
      </c>
      <c r="BF54" s="202">
        <f t="shared" si="12"/>
        <v>0</v>
      </c>
      <c r="BG54" s="253">
        <v>0</v>
      </c>
      <c r="BH54" s="262">
        <f>BG54*F54</f>
        <v>0</v>
      </c>
      <c r="BI54" s="253"/>
      <c r="BJ54" s="262"/>
      <c r="BK54" s="255">
        <f t="shared" si="70"/>
        <v>3</v>
      </c>
      <c r="BL54" s="255">
        <f t="shared" si="71"/>
        <v>2946888</v>
      </c>
      <c r="BM54" s="159" t="s">
        <v>216</v>
      </c>
      <c r="BO54" s="254">
        <f>H54</f>
        <v>2946888</v>
      </c>
      <c r="BP54" s="254"/>
      <c r="BQ54" s="254"/>
      <c r="BR54" s="254"/>
      <c r="BS54" s="163">
        <f t="shared" si="72"/>
        <v>2946888</v>
      </c>
      <c r="BT54" s="254"/>
      <c r="BU54" s="254"/>
      <c r="BV54" s="254"/>
      <c r="BW54" s="255">
        <f t="shared" si="15"/>
        <v>2946888</v>
      </c>
    </row>
    <row r="55" spans="1:75" ht="29.25" customHeight="1">
      <c r="A55" s="935"/>
      <c r="B55" s="196"/>
      <c r="C55" s="473" t="s">
        <v>911</v>
      </c>
      <c r="D55" s="710" t="s">
        <v>681</v>
      </c>
      <c r="E55" s="159" t="s">
        <v>86</v>
      </c>
      <c r="F55" s="135">
        <v>1000000</v>
      </c>
      <c r="G55" s="206">
        <f>BK55</f>
        <v>17</v>
      </c>
      <c r="H55" s="206">
        <f>BL55</f>
        <v>16800000</v>
      </c>
      <c r="I55" s="207">
        <v>0</v>
      </c>
      <c r="J55" s="207">
        <f>0.8*H55</f>
        <v>13440000</v>
      </c>
      <c r="K55" s="253"/>
      <c r="L55" s="253"/>
      <c r="M55" s="253"/>
      <c r="N55" s="253"/>
      <c r="O55" s="253"/>
      <c r="P55" s="253"/>
      <c r="Q55" s="257">
        <f>H55*0.2</f>
        <v>3360000</v>
      </c>
      <c r="R55" s="253"/>
      <c r="S55" s="253"/>
      <c r="T55" s="253"/>
      <c r="U55" s="253"/>
      <c r="V55" s="253"/>
      <c r="W55" s="253"/>
      <c r="X55" s="253"/>
      <c r="Y55" s="319"/>
      <c r="Z55" s="319"/>
      <c r="AA55" s="257">
        <v>1</v>
      </c>
      <c r="AB55" s="262">
        <f>AA55*F55</f>
        <v>1000000</v>
      </c>
      <c r="AC55" s="257">
        <v>1</v>
      </c>
      <c r="AD55" s="262">
        <f>AC55*F55</f>
        <v>1000000</v>
      </c>
      <c r="AE55" s="257">
        <v>1</v>
      </c>
      <c r="AF55" s="262">
        <f>AE55*F55</f>
        <v>1000000</v>
      </c>
      <c r="AG55" s="257">
        <v>1</v>
      </c>
      <c r="AH55" s="262">
        <f>AG55*F55</f>
        <v>1000000</v>
      </c>
      <c r="AI55" s="253">
        <v>1</v>
      </c>
      <c r="AJ55" s="262">
        <f>AI55*F55</f>
        <v>1000000</v>
      </c>
      <c r="AK55" s="253">
        <v>1</v>
      </c>
      <c r="AL55" s="262">
        <f>AK55*F55</f>
        <v>1000000</v>
      </c>
      <c r="AM55" s="253">
        <v>1</v>
      </c>
      <c r="AN55" s="262">
        <f>AM55*F55</f>
        <v>1000000</v>
      </c>
      <c r="AO55" s="253">
        <v>1</v>
      </c>
      <c r="AP55" s="202">
        <f t="shared" si="7"/>
        <v>1000000</v>
      </c>
      <c r="AQ55" s="253">
        <v>1</v>
      </c>
      <c r="AR55" s="262">
        <f t="shared" si="75"/>
        <v>1000000</v>
      </c>
      <c r="AS55" s="253">
        <v>1</v>
      </c>
      <c r="AT55" s="262">
        <f>AS55*F55</f>
        <v>1000000</v>
      </c>
      <c r="AU55" s="253">
        <v>1</v>
      </c>
      <c r="AV55" s="262">
        <f>AU55*F55</f>
        <v>1000000</v>
      </c>
      <c r="AW55" s="253">
        <v>1</v>
      </c>
      <c r="AX55" s="262">
        <f>AW55*F55</f>
        <v>1000000</v>
      </c>
      <c r="AY55" s="253">
        <v>1</v>
      </c>
      <c r="AZ55" s="262">
        <f t="shared" si="10"/>
        <v>1000000</v>
      </c>
      <c r="BA55" s="253">
        <v>1</v>
      </c>
      <c r="BB55" s="262">
        <f>BA55*F55</f>
        <v>1000000</v>
      </c>
      <c r="BC55" s="253">
        <v>1</v>
      </c>
      <c r="BD55" s="202">
        <f t="shared" si="11"/>
        <v>1000000</v>
      </c>
      <c r="BE55" s="533">
        <v>1</v>
      </c>
      <c r="BF55" s="511">
        <v>800000</v>
      </c>
      <c r="BG55" s="253">
        <v>1</v>
      </c>
      <c r="BH55" s="262">
        <f>BG55*F55</f>
        <v>1000000</v>
      </c>
      <c r="BI55" s="253"/>
      <c r="BJ55" s="262"/>
      <c r="BK55" s="255">
        <f t="shared" si="70"/>
        <v>17</v>
      </c>
      <c r="BL55" s="255">
        <f t="shared" si="71"/>
        <v>16800000</v>
      </c>
      <c r="BM55" s="159" t="s">
        <v>216</v>
      </c>
      <c r="BO55" s="254"/>
      <c r="BP55" s="254"/>
      <c r="BQ55" s="254"/>
      <c r="BR55" s="254"/>
      <c r="BS55" s="163"/>
      <c r="BT55" s="254"/>
      <c r="BU55" s="254"/>
      <c r="BV55" s="254"/>
      <c r="BW55" s="255"/>
    </row>
    <row r="56" spans="1:75" ht="31.5">
      <c r="A56" s="935"/>
      <c r="B56" s="196">
        <v>23610</v>
      </c>
      <c r="C56" s="473" t="s">
        <v>912</v>
      </c>
      <c r="D56" s="134" t="s">
        <v>729</v>
      </c>
      <c r="E56" s="159" t="s">
        <v>86</v>
      </c>
      <c r="F56" s="135">
        <v>1000000</v>
      </c>
      <c r="G56" s="206">
        <f>BK56</f>
        <v>0</v>
      </c>
      <c r="H56" s="207">
        <f>G56*F56</f>
        <v>0</v>
      </c>
      <c r="I56" s="257"/>
      <c r="J56" s="257">
        <f>H56*0.8</f>
        <v>0</v>
      </c>
      <c r="K56" s="257">
        <f t="shared" ref="K56:P56" si="76">K54</f>
        <v>0</v>
      </c>
      <c r="L56" s="257">
        <f t="shared" si="76"/>
        <v>0</v>
      </c>
      <c r="M56" s="257">
        <f t="shared" si="76"/>
        <v>0</v>
      </c>
      <c r="N56" s="257">
        <f t="shared" si="76"/>
        <v>0</v>
      </c>
      <c r="O56" s="257">
        <f t="shared" si="76"/>
        <v>0</v>
      </c>
      <c r="P56" s="257">
        <f t="shared" si="76"/>
        <v>0</v>
      </c>
      <c r="Q56" s="257">
        <f>H56*0.2</f>
        <v>0</v>
      </c>
      <c r="R56" s="257">
        <f>R54</f>
        <v>0</v>
      </c>
      <c r="S56" s="257">
        <v>0</v>
      </c>
      <c r="T56" s="257">
        <v>0</v>
      </c>
      <c r="U56" s="257">
        <v>0</v>
      </c>
      <c r="V56" s="257">
        <v>2</v>
      </c>
      <c r="W56" s="253">
        <f>S56*F56</f>
        <v>0</v>
      </c>
      <c r="X56" s="253">
        <f>T56*F56</f>
        <v>0</v>
      </c>
      <c r="Y56" s="319">
        <f>U56*F56</f>
        <v>0</v>
      </c>
      <c r="Z56" s="319">
        <f>H56*1</f>
        <v>0</v>
      </c>
      <c r="AA56" s="257">
        <v>0</v>
      </c>
      <c r="AB56" s="257">
        <f>AA56*F56</f>
        <v>0</v>
      </c>
      <c r="AC56" s="257">
        <v>0</v>
      </c>
      <c r="AD56" s="257">
        <f>AC56*F56</f>
        <v>0</v>
      </c>
      <c r="AE56" s="257">
        <v>0</v>
      </c>
      <c r="AF56" s="257">
        <f>AE56*F56</f>
        <v>0</v>
      </c>
      <c r="AG56" s="257">
        <v>0</v>
      </c>
      <c r="AH56" s="257">
        <f>AG56*F56</f>
        <v>0</v>
      </c>
      <c r="AI56" s="257">
        <v>0</v>
      </c>
      <c r="AJ56" s="257">
        <f>AI56*F56</f>
        <v>0</v>
      </c>
      <c r="AK56" s="257">
        <v>0</v>
      </c>
      <c r="AL56" s="257">
        <f>AK56*F56</f>
        <v>0</v>
      </c>
      <c r="AM56" s="257">
        <v>0</v>
      </c>
      <c r="AN56" s="257">
        <f>AM56*F56</f>
        <v>0</v>
      </c>
      <c r="AO56" s="257">
        <v>0</v>
      </c>
      <c r="AP56" s="257">
        <f>AO56*F56</f>
        <v>0</v>
      </c>
      <c r="AQ56" s="257">
        <v>0</v>
      </c>
      <c r="AR56" s="262">
        <f t="shared" si="75"/>
        <v>0</v>
      </c>
      <c r="AS56" s="257">
        <v>0</v>
      </c>
      <c r="AT56" s="262">
        <f>AS56*F56</f>
        <v>0</v>
      </c>
      <c r="AU56" s="257">
        <v>0</v>
      </c>
      <c r="AV56" s="257">
        <f>AU56*F56</f>
        <v>0</v>
      </c>
      <c r="AW56" s="257">
        <v>0</v>
      </c>
      <c r="AX56" s="257">
        <f>AW56*F56</f>
        <v>0</v>
      </c>
      <c r="AY56" s="257">
        <v>0</v>
      </c>
      <c r="AZ56" s="257">
        <f>AY56*F56</f>
        <v>0</v>
      </c>
      <c r="BA56" s="257">
        <v>0</v>
      </c>
      <c r="BB56" s="257">
        <f>BA56*F56</f>
        <v>0</v>
      </c>
      <c r="BC56" s="257">
        <v>0</v>
      </c>
      <c r="BD56" s="202">
        <f t="shared" si="11"/>
        <v>0</v>
      </c>
      <c r="BE56" s="257">
        <v>0</v>
      </c>
      <c r="BF56" s="202">
        <f t="shared" si="12"/>
        <v>0</v>
      </c>
      <c r="BG56" s="257">
        <v>0</v>
      </c>
      <c r="BH56" s="262">
        <f>BG56*F56</f>
        <v>0</v>
      </c>
      <c r="BI56" s="257">
        <f>BI54</f>
        <v>0</v>
      </c>
      <c r="BJ56" s="257">
        <f>BJ54</f>
        <v>0</v>
      </c>
      <c r="BK56" s="255">
        <f t="shared" si="70"/>
        <v>0</v>
      </c>
      <c r="BL56" s="255">
        <f t="shared" si="71"/>
        <v>0</v>
      </c>
      <c r="BM56" s="159" t="s">
        <v>220</v>
      </c>
      <c r="BO56" s="254"/>
      <c r="BP56" s="254"/>
      <c r="BQ56" s="254">
        <f>H56</f>
        <v>0</v>
      </c>
      <c r="BR56" s="254"/>
      <c r="BS56" s="163">
        <f t="shared" si="72"/>
        <v>0</v>
      </c>
      <c r="BT56" s="254"/>
      <c r="BU56" s="254"/>
      <c r="BV56" s="254">
        <f>BT56+BU56</f>
        <v>0</v>
      </c>
      <c r="BW56" s="255">
        <f t="shared" si="15"/>
        <v>0</v>
      </c>
    </row>
    <row r="57" spans="1:75" s="265" customFormat="1" ht="31.5">
      <c r="A57" s="935"/>
      <c r="B57" s="228"/>
      <c r="C57" s="214" t="s">
        <v>913</v>
      </c>
      <c r="D57" s="205" t="s">
        <v>583</v>
      </c>
      <c r="E57" s="168"/>
      <c r="F57" s="320"/>
      <c r="G57" s="320">
        <f>SUM(G44:G56)</f>
        <v>227</v>
      </c>
      <c r="H57" s="320">
        <f t="shared" ref="H57:BS57" si="77">SUM(H44:H56)</f>
        <v>26321888</v>
      </c>
      <c r="I57" s="320">
        <f t="shared" si="77"/>
        <v>1474877.6</v>
      </c>
      <c r="J57" s="320">
        <f t="shared" si="77"/>
        <v>21057510.399999999</v>
      </c>
      <c r="K57" s="320">
        <f t="shared" si="77"/>
        <v>0</v>
      </c>
      <c r="L57" s="320">
        <f t="shared" si="77"/>
        <v>0</v>
      </c>
      <c r="M57" s="320">
        <f t="shared" si="77"/>
        <v>0</v>
      </c>
      <c r="N57" s="320">
        <f t="shared" si="77"/>
        <v>0</v>
      </c>
      <c r="O57" s="320">
        <f t="shared" si="77"/>
        <v>0</v>
      </c>
      <c r="P57" s="320">
        <f t="shared" si="77"/>
        <v>0</v>
      </c>
      <c r="Q57" s="320">
        <f t="shared" si="77"/>
        <v>3789500</v>
      </c>
      <c r="R57" s="320">
        <f t="shared" si="77"/>
        <v>0</v>
      </c>
      <c r="S57" s="320">
        <f t="shared" si="77"/>
        <v>54</v>
      </c>
      <c r="T57" s="320">
        <f t="shared" si="77"/>
        <v>54</v>
      </c>
      <c r="U57" s="320">
        <f t="shared" si="77"/>
        <v>47.5</v>
      </c>
      <c r="V57" s="320">
        <f t="shared" si="77"/>
        <v>59.5</v>
      </c>
      <c r="W57" s="320">
        <f t="shared" si="77"/>
        <v>2592500</v>
      </c>
      <c r="X57" s="320">
        <f t="shared" si="77"/>
        <v>2592500</v>
      </c>
      <c r="Y57" s="320">
        <f t="shared" si="77"/>
        <v>1918444</v>
      </c>
      <c r="Z57" s="320">
        <f t="shared" si="77"/>
        <v>2018444</v>
      </c>
      <c r="AA57" s="320">
        <f t="shared" si="77"/>
        <v>14</v>
      </c>
      <c r="AB57" s="320">
        <f t="shared" si="77"/>
        <v>1170000</v>
      </c>
      <c r="AC57" s="320">
        <f t="shared" si="77"/>
        <v>14</v>
      </c>
      <c r="AD57" s="320">
        <f t="shared" si="77"/>
        <v>2120000</v>
      </c>
      <c r="AE57" s="320">
        <f t="shared" si="77"/>
        <v>14</v>
      </c>
      <c r="AF57" s="320">
        <f t="shared" si="77"/>
        <v>1170000</v>
      </c>
      <c r="AG57" s="320">
        <f t="shared" si="77"/>
        <v>20</v>
      </c>
      <c r="AH57" s="320">
        <f t="shared" si="77"/>
        <v>1920000</v>
      </c>
      <c r="AI57" s="320">
        <f t="shared" si="77"/>
        <v>14</v>
      </c>
      <c r="AJ57" s="320">
        <f t="shared" si="77"/>
        <v>1170000</v>
      </c>
      <c r="AK57" s="320">
        <f t="shared" si="77"/>
        <v>14</v>
      </c>
      <c r="AL57" s="320">
        <f t="shared" si="77"/>
        <v>1170000</v>
      </c>
      <c r="AM57" s="320">
        <f t="shared" si="77"/>
        <v>14</v>
      </c>
      <c r="AN57" s="320">
        <f t="shared" si="77"/>
        <v>1170000</v>
      </c>
      <c r="AO57" s="320">
        <f t="shared" si="77"/>
        <v>15</v>
      </c>
      <c r="AP57" s="320">
        <f t="shared" si="77"/>
        <v>1670000</v>
      </c>
      <c r="AQ57" s="320">
        <f t="shared" si="77"/>
        <v>19</v>
      </c>
      <c r="AR57" s="320">
        <f t="shared" si="77"/>
        <v>1420000</v>
      </c>
      <c r="AS57" s="320">
        <f t="shared" si="77"/>
        <v>15</v>
      </c>
      <c r="AT57" s="320">
        <f t="shared" si="77"/>
        <v>1670863</v>
      </c>
      <c r="AU57" s="320">
        <f t="shared" si="77"/>
        <v>3</v>
      </c>
      <c r="AV57" s="320">
        <f t="shared" si="77"/>
        <v>2855000</v>
      </c>
      <c r="AW57" s="320">
        <f t="shared" si="77"/>
        <v>16</v>
      </c>
      <c r="AX57" s="320">
        <f t="shared" si="77"/>
        <v>2461025</v>
      </c>
      <c r="AY57" s="320">
        <f t="shared" si="77"/>
        <v>12</v>
      </c>
      <c r="AZ57" s="320">
        <f t="shared" si="77"/>
        <v>1150000</v>
      </c>
      <c r="BA57" s="320">
        <f t="shared" si="77"/>
        <v>14</v>
      </c>
      <c r="BB57" s="320">
        <f t="shared" si="77"/>
        <v>1170000</v>
      </c>
      <c r="BC57" s="320">
        <f t="shared" si="77"/>
        <v>14</v>
      </c>
      <c r="BD57" s="320">
        <f t="shared" si="77"/>
        <v>1615000</v>
      </c>
      <c r="BE57" s="320">
        <f t="shared" si="77"/>
        <v>1</v>
      </c>
      <c r="BF57" s="320">
        <f t="shared" si="77"/>
        <v>800000</v>
      </c>
      <c r="BG57" s="320">
        <f t="shared" si="77"/>
        <v>14</v>
      </c>
      <c r="BH57" s="320">
        <f t="shared" si="77"/>
        <v>1620000</v>
      </c>
      <c r="BI57" s="320">
        <f t="shared" si="77"/>
        <v>0</v>
      </c>
      <c r="BJ57" s="320">
        <f t="shared" si="77"/>
        <v>0</v>
      </c>
      <c r="BK57" s="320">
        <f t="shared" si="77"/>
        <v>227</v>
      </c>
      <c r="BL57" s="320">
        <f t="shared" si="77"/>
        <v>26321888</v>
      </c>
      <c r="BM57" s="320">
        <f t="shared" si="77"/>
        <v>0</v>
      </c>
      <c r="BN57" s="320">
        <f t="shared" si="77"/>
        <v>1780000</v>
      </c>
      <c r="BO57" s="320">
        <f t="shared" si="77"/>
        <v>7241888</v>
      </c>
      <c r="BP57" s="320">
        <f t="shared" si="77"/>
        <v>0</v>
      </c>
      <c r="BQ57" s="320">
        <f t="shared" si="77"/>
        <v>1780000</v>
      </c>
      <c r="BR57" s="320">
        <f t="shared" si="77"/>
        <v>0</v>
      </c>
      <c r="BS57" s="320">
        <f t="shared" si="77"/>
        <v>9021888</v>
      </c>
      <c r="BT57" s="320">
        <f>SUM(BT44:BT56)</f>
        <v>0</v>
      </c>
      <c r="BU57" s="320">
        <f>SUM(BU44:BU56)</f>
        <v>0</v>
      </c>
      <c r="BV57" s="320">
        <f>SUM(BV44:BV56)</f>
        <v>0</v>
      </c>
      <c r="BW57" s="320">
        <f>SUM(BW44:BW56)</f>
        <v>9021888</v>
      </c>
    </row>
    <row r="58" spans="1:75">
      <c r="A58" s="935"/>
      <c r="B58" s="196">
        <v>23620</v>
      </c>
      <c r="C58" s="214" t="s">
        <v>914</v>
      </c>
      <c r="D58" s="158" t="s">
        <v>438</v>
      </c>
      <c r="E58" s="159"/>
      <c r="F58" s="159"/>
      <c r="G58" s="257"/>
      <c r="H58" s="229"/>
      <c r="I58" s="229"/>
      <c r="J58" s="229"/>
      <c r="K58" s="229"/>
      <c r="L58" s="229"/>
      <c r="M58" s="229"/>
      <c r="N58" s="229"/>
      <c r="O58" s="229"/>
      <c r="P58" s="260"/>
      <c r="Q58" s="260"/>
      <c r="R58" s="260"/>
      <c r="S58" s="283"/>
      <c r="T58" s="283"/>
      <c r="U58" s="283"/>
      <c r="V58" s="283"/>
      <c r="W58" s="310"/>
      <c r="X58" s="310"/>
      <c r="Y58" s="310"/>
      <c r="Z58" s="310"/>
      <c r="AA58" s="257"/>
      <c r="AB58" s="262"/>
      <c r="AC58" s="257"/>
      <c r="AD58" s="262"/>
      <c r="AE58" s="257"/>
      <c r="AF58" s="262"/>
      <c r="AG58" s="257"/>
      <c r="AH58" s="262"/>
      <c r="AI58" s="257"/>
      <c r="AJ58" s="262"/>
      <c r="AK58" s="257"/>
      <c r="AL58" s="262"/>
      <c r="AM58" s="257"/>
      <c r="AN58" s="262"/>
      <c r="AO58" s="257"/>
      <c r="AP58" s="262"/>
      <c r="AQ58" s="257"/>
      <c r="AR58" s="262"/>
      <c r="AS58" s="257"/>
      <c r="AT58" s="262"/>
      <c r="AU58" s="257"/>
      <c r="AV58" s="262"/>
      <c r="AW58" s="257"/>
      <c r="AX58" s="262"/>
      <c r="AY58" s="257"/>
      <c r="AZ58" s="262"/>
      <c r="BA58" s="257"/>
      <c r="BB58" s="262"/>
      <c r="BC58" s="257"/>
      <c r="BD58" s="262"/>
      <c r="BE58" s="257"/>
      <c r="BF58" s="262"/>
      <c r="BG58" s="257"/>
      <c r="BH58" s="262"/>
      <c r="BI58" s="257"/>
      <c r="BJ58" s="262"/>
      <c r="BK58" s="257"/>
      <c r="BL58" s="262"/>
      <c r="BM58" s="159"/>
      <c r="BO58" s="254">
        <f>H58</f>
        <v>0</v>
      </c>
      <c r="BP58" s="254"/>
      <c r="BQ58" s="254"/>
      <c r="BR58" s="254"/>
      <c r="BS58" s="254">
        <f>BO58+BP58+BQ58+BR58</f>
        <v>0</v>
      </c>
      <c r="BT58" s="254"/>
      <c r="BU58" s="254"/>
      <c r="BV58" s="254">
        <f>BT58+BU58</f>
        <v>0</v>
      </c>
      <c r="BW58" s="255">
        <f t="shared" si="15"/>
        <v>0</v>
      </c>
    </row>
    <row r="59" spans="1:75" s="265" customFormat="1" ht="31.5">
      <c r="A59" s="935"/>
      <c r="B59" s="246"/>
      <c r="C59" s="214" t="s">
        <v>915</v>
      </c>
      <c r="D59" s="134" t="s">
        <v>439</v>
      </c>
      <c r="E59" s="159" t="s">
        <v>513</v>
      </c>
      <c r="F59" s="135" t="s">
        <v>349</v>
      </c>
      <c r="G59" s="206">
        <f>BK59</f>
        <v>0</v>
      </c>
      <c r="H59" s="207">
        <f>G59*F59</f>
        <v>0</v>
      </c>
      <c r="I59" s="245"/>
      <c r="J59" s="245">
        <f>H59*0.8</f>
        <v>0</v>
      </c>
      <c r="K59" s="245"/>
      <c r="L59" s="245"/>
      <c r="M59" s="245"/>
      <c r="N59" s="245"/>
      <c r="O59" s="245"/>
      <c r="P59" s="245"/>
      <c r="Q59" s="245">
        <f>H59*0.2</f>
        <v>0</v>
      </c>
      <c r="R59" s="245"/>
      <c r="S59" s="245"/>
      <c r="T59" s="245">
        <f t="shared" ref="T59:Z59" si="78">BX59</f>
        <v>0</v>
      </c>
      <c r="U59" s="245">
        <f t="shared" si="78"/>
        <v>0</v>
      </c>
      <c r="V59" s="245">
        <f t="shared" si="78"/>
        <v>0</v>
      </c>
      <c r="W59" s="245">
        <f t="shared" si="78"/>
        <v>0</v>
      </c>
      <c r="X59" s="245">
        <f t="shared" si="78"/>
        <v>0</v>
      </c>
      <c r="Y59" s="245">
        <f t="shared" si="78"/>
        <v>0</v>
      </c>
      <c r="Z59" s="245">
        <f t="shared" si="78"/>
        <v>0</v>
      </c>
      <c r="AA59" s="245">
        <v>0</v>
      </c>
      <c r="AB59" s="245">
        <f t="shared" si="1"/>
        <v>0</v>
      </c>
      <c r="AC59" s="245">
        <v>0</v>
      </c>
      <c r="AD59" s="245">
        <f t="shared" si="2"/>
        <v>0</v>
      </c>
      <c r="AE59" s="245">
        <v>0</v>
      </c>
      <c r="AF59" s="245">
        <f t="shared" si="3"/>
        <v>0</v>
      </c>
      <c r="AG59" s="245">
        <v>0</v>
      </c>
      <c r="AH59" s="245">
        <f t="shared" si="4"/>
        <v>0</v>
      </c>
      <c r="AI59" s="245">
        <v>0</v>
      </c>
      <c r="AJ59" s="245">
        <f t="shared" si="5"/>
        <v>0</v>
      </c>
      <c r="AK59" s="245">
        <v>0</v>
      </c>
      <c r="AL59" s="245">
        <f t="shared" si="6"/>
        <v>0</v>
      </c>
      <c r="AM59" s="245">
        <v>0</v>
      </c>
      <c r="AN59" s="245">
        <f>AM59*F59</f>
        <v>0</v>
      </c>
      <c r="AO59" s="245">
        <v>0</v>
      </c>
      <c r="AP59" s="245">
        <f t="shared" si="7"/>
        <v>0</v>
      </c>
      <c r="AQ59" s="245">
        <v>0</v>
      </c>
      <c r="AR59" s="245">
        <f>AQ59*F59</f>
        <v>0</v>
      </c>
      <c r="AS59" s="245">
        <v>0</v>
      </c>
      <c r="AT59" s="245">
        <f>AS59*F59</f>
        <v>0</v>
      </c>
      <c r="AU59" s="245">
        <v>0</v>
      </c>
      <c r="AV59" s="245">
        <f>AU59*F59</f>
        <v>0</v>
      </c>
      <c r="AW59" s="245">
        <v>0</v>
      </c>
      <c r="AX59" s="245">
        <f>AW59*F59</f>
        <v>0</v>
      </c>
      <c r="AY59" s="245">
        <v>0</v>
      </c>
      <c r="AZ59" s="245">
        <f>AY59*F59</f>
        <v>0</v>
      </c>
      <c r="BA59" s="245">
        <v>0</v>
      </c>
      <c r="BB59" s="245">
        <f>BA59*F59</f>
        <v>0</v>
      </c>
      <c r="BC59" s="245">
        <v>0</v>
      </c>
      <c r="BD59" s="245">
        <f>BC59*F59</f>
        <v>0</v>
      </c>
      <c r="BE59" s="245">
        <v>0</v>
      </c>
      <c r="BF59" s="245">
        <f>BE59*F59</f>
        <v>0</v>
      </c>
      <c r="BG59" s="245">
        <v>0</v>
      </c>
      <c r="BH59" s="245">
        <f>BG59*F59</f>
        <v>0</v>
      </c>
      <c r="BI59" s="245">
        <v>0</v>
      </c>
      <c r="BJ59" s="202">
        <f>BI59*F59</f>
        <v>0</v>
      </c>
      <c r="BK59" s="255">
        <f>BI59+BG59+BE59+BC59+BA59+AY59+AW59+AU59+AS59+AQ59+AO59+AM59+AK59+AI59+AG59+AE59+AC59+AA59</f>
        <v>0</v>
      </c>
      <c r="BL59" s="255">
        <f>BJ59+BH59+BF59+BD59+BB59+AZ59+AX59+AV59+AT59+AR59+AP59+AN59+AL59+AJ59+AH59+AF59+AD59+AB59</f>
        <v>0</v>
      </c>
      <c r="BM59" s="159" t="s">
        <v>220</v>
      </c>
      <c r="BO59" s="321"/>
      <c r="BP59" s="321">
        <f t="shared" ref="BP59:BV59" si="79">SUM(BP56:BP58)</f>
        <v>0</v>
      </c>
      <c r="BQ59" s="321"/>
      <c r="BR59" s="321">
        <f t="shared" si="79"/>
        <v>0</v>
      </c>
      <c r="BS59" s="321"/>
      <c r="BT59" s="321">
        <f t="shared" si="79"/>
        <v>0</v>
      </c>
      <c r="BU59" s="321">
        <f t="shared" si="79"/>
        <v>0</v>
      </c>
      <c r="BV59" s="321">
        <f t="shared" si="79"/>
        <v>0</v>
      </c>
      <c r="BW59" s="267">
        <f t="shared" si="15"/>
        <v>0</v>
      </c>
    </row>
    <row r="60" spans="1:75" s="265" customFormat="1">
      <c r="A60" s="935"/>
      <c r="B60" s="246"/>
      <c r="C60" s="214"/>
      <c r="D60" s="166" t="s">
        <v>662</v>
      </c>
      <c r="E60" s="159" t="s">
        <v>607</v>
      </c>
      <c r="F60" s="135">
        <v>0</v>
      </c>
      <c r="G60" s="206">
        <f>BK60</f>
        <v>3480</v>
      </c>
      <c r="H60" s="206">
        <f>BL60</f>
        <v>16000</v>
      </c>
      <c r="I60" s="245"/>
      <c r="J60" s="245">
        <f>H60</f>
        <v>16000</v>
      </c>
      <c r="K60" s="245"/>
      <c r="L60" s="245"/>
      <c r="M60" s="245"/>
      <c r="N60" s="245"/>
      <c r="O60" s="245"/>
      <c r="P60" s="245"/>
      <c r="Q60" s="245"/>
      <c r="R60" s="245"/>
      <c r="S60" s="245">
        <f>G60</f>
        <v>3480</v>
      </c>
      <c r="T60" s="245"/>
      <c r="U60" s="245"/>
      <c r="V60" s="245"/>
      <c r="W60" s="245">
        <f>H60</f>
        <v>16000</v>
      </c>
      <c r="X60" s="245"/>
      <c r="Y60" s="245"/>
      <c r="Z60" s="245"/>
      <c r="AA60" s="245">
        <v>200</v>
      </c>
      <c r="AB60" s="245"/>
      <c r="AC60" s="245">
        <v>100</v>
      </c>
      <c r="AD60" s="245"/>
      <c r="AE60" s="245">
        <v>200</v>
      </c>
      <c r="AF60" s="245"/>
      <c r="AG60" s="245">
        <v>250</v>
      </c>
      <c r="AH60" s="245">
        <f t="shared" si="4"/>
        <v>0</v>
      </c>
      <c r="AI60" s="245">
        <v>150</v>
      </c>
      <c r="AJ60" s="245"/>
      <c r="AK60" s="245">
        <v>200</v>
      </c>
      <c r="AL60" s="245"/>
      <c r="AM60" s="245">
        <v>180</v>
      </c>
      <c r="AN60" s="245"/>
      <c r="AO60" s="245">
        <v>250</v>
      </c>
      <c r="AP60" s="245">
        <f t="shared" si="7"/>
        <v>0</v>
      </c>
      <c r="AQ60" s="245">
        <v>50</v>
      </c>
      <c r="AR60" s="245">
        <f>AQ60*F60</f>
        <v>0</v>
      </c>
      <c r="AS60" s="245">
        <v>200</v>
      </c>
      <c r="AT60" s="257">
        <v>16000</v>
      </c>
      <c r="AU60" s="245">
        <v>250</v>
      </c>
      <c r="AV60" s="245">
        <f>AU60*F60</f>
        <v>0</v>
      </c>
      <c r="AW60" s="245">
        <v>200</v>
      </c>
      <c r="AX60" s="245">
        <f>AW60*F60</f>
        <v>0</v>
      </c>
      <c r="AY60" s="245">
        <v>250</v>
      </c>
      <c r="AZ60" s="245"/>
      <c r="BA60" s="245">
        <v>250</v>
      </c>
      <c r="BB60" s="245">
        <f>BA60*F60</f>
        <v>0</v>
      </c>
      <c r="BC60" s="245">
        <v>250</v>
      </c>
      <c r="BD60" s="245"/>
      <c r="BE60" s="245">
        <v>300</v>
      </c>
      <c r="BF60" s="245"/>
      <c r="BG60" s="245">
        <v>200</v>
      </c>
      <c r="BH60" s="245"/>
      <c r="BI60" s="245"/>
      <c r="BJ60" s="245"/>
      <c r="BK60" s="255">
        <f>BI60+BG60+BE60+BC60+BA60+AY60+AW60+AU60+AS60+AQ60+AO60+AM60+AK60+AI60+AG60+AE60+AC60+AA60</f>
        <v>3480</v>
      </c>
      <c r="BL60" s="255">
        <f>BJ60+BH60+BF60+BD60+BB60+AZ60+AX60+AV60+AT60+AR60+AP60+AN60+AL60+AJ60+AH60+AF60+AD60+AB60</f>
        <v>16000</v>
      </c>
      <c r="BM60" s="159" t="s">
        <v>217</v>
      </c>
      <c r="BO60" s="321"/>
      <c r="BP60" s="321">
        <f>BL60</f>
        <v>16000</v>
      </c>
      <c r="BQ60" s="321"/>
      <c r="BR60" s="321"/>
      <c r="BS60" s="321">
        <f>BO60+BP60+BQ60+BR60</f>
        <v>16000</v>
      </c>
      <c r="BT60" s="321"/>
      <c r="BU60" s="321"/>
      <c r="BV60" s="321"/>
      <c r="BW60" s="267">
        <f t="shared" si="15"/>
        <v>16000</v>
      </c>
    </row>
    <row r="61" spans="1:75" s="265" customFormat="1">
      <c r="A61" s="935"/>
      <c r="B61" s="246"/>
      <c r="C61" s="246"/>
      <c r="D61" s="166" t="s">
        <v>608</v>
      </c>
      <c r="E61" s="159"/>
      <c r="F61" s="135"/>
      <c r="G61" s="245">
        <f>SUM(G59:G60)</f>
        <v>3480</v>
      </c>
      <c r="H61" s="245">
        <f t="shared" ref="H61:BS61" si="80">SUM(H59:H60)</f>
        <v>16000</v>
      </c>
      <c r="I61" s="245">
        <f t="shared" si="80"/>
        <v>0</v>
      </c>
      <c r="J61" s="245">
        <f t="shared" si="80"/>
        <v>16000</v>
      </c>
      <c r="K61" s="245">
        <f t="shared" si="80"/>
        <v>0</v>
      </c>
      <c r="L61" s="245">
        <f t="shared" si="80"/>
        <v>0</v>
      </c>
      <c r="M61" s="245">
        <f t="shared" si="80"/>
        <v>0</v>
      </c>
      <c r="N61" s="245">
        <f t="shared" si="80"/>
        <v>0</v>
      </c>
      <c r="O61" s="245">
        <f t="shared" si="80"/>
        <v>0</v>
      </c>
      <c r="P61" s="245">
        <f t="shared" si="80"/>
        <v>0</v>
      </c>
      <c r="Q61" s="245">
        <f t="shared" si="80"/>
        <v>0</v>
      </c>
      <c r="R61" s="245">
        <f t="shared" si="80"/>
        <v>0</v>
      </c>
      <c r="S61" s="245">
        <f t="shared" si="80"/>
        <v>3480</v>
      </c>
      <c r="T61" s="245">
        <f t="shared" si="80"/>
        <v>0</v>
      </c>
      <c r="U61" s="245">
        <f t="shared" si="80"/>
        <v>0</v>
      </c>
      <c r="V61" s="245">
        <f t="shared" si="80"/>
        <v>0</v>
      </c>
      <c r="W61" s="245">
        <f t="shared" si="80"/>
        <v>16000</v>
      </c>
      <c r="X61" s="245">
        <f t="shared" si="80"/>
        <v>0</v>
      </c>
      <c r="Y61" s="245">
        <f t="shared" si="80"/>
        <v>0</v>
      </c>
      <c r="Z61" s="245">
        <f t="shared" si="80"/>
        <v>0</v>
      </c>
      <c r="AA61" s="245">
        <f t="shared" si="80"/>
        <v>200</v>
      </c>
      <c r="AB61" s="245">
        <f t="shared" si="80"/>
        <v>0</v>
      </c>
      <c r="AC61" s="245">
        <f t="shared" si="80"/>
        <v>100</v>
      </c>
      <c r="AD61" s="245">
        <f t="shared" si="80"/>
        <v>0</v>
      </c>
      <c r="AE61" s="245">
        <f t="shared" si="80"/>
        <v>200</v>
      </c>
      <c r="AF61" s="245">
        <f t="shared" si="80"/>
        <v>0</v>
      </c>
      <c r="AG61" s="245">
        <f t="shared" si="80"/>
        <v>250</v>
      </c>
      <c r="AH61" s="245">
        <f t="shared" si="80"/>
        <v>0</v>
      </c>
      <c r="AI61" s="245">
        <f t="shared" si="80"/>
        <v>150</v>
      </c>
      <c r="AJ61" s="245">
        <f t="shared" si="80"/>
        <v>0</v>
      </c>
      <c r="AK61" s="245">
        <f t="shared" si="80"/>
        <v>200</v>
      </c>
      <c r="AL61" s="245">
        <f t="shared" si="80"/>
        <v>0</v>
      </c>
      <c r="AM61" s="245">
        <f t="shared" si="80"/>
        <v>180</v>
      </c>
      <c r="AN61" s="245">
        <f t="shared" si="80"/>
        <v>0</v>
      </c>
      <c r="AO61" s="245">
        <f t="shared" si="80"/>
        <v>250</v>
      </c>
      <c r="AP61" s="245">
        <f t="shared" si="80"/>
        <v>0</v>
      </c>
      <c r="AQ61" s="245">
        <f t="shared" si="80"/>
        <v>50</v>
      </c>
      <c r="AR61" s="245">
        <f t="shared" si="80"/>
        <v>0</v>
      </c>
      <c r="AS61" s="245">
        <f t="shared" si="80"/>
        <v>200</v>
      </c>
      <c r="AT61" s="245">
        <f t="shared" si="80"/>
        <v>16000</v>
      </c>
      <c r="AU61" s="245">
        <f t="shared" si="80"/>
        <v>250</v>
      </c>
      <c r="AV61" s="245">
        <f t="shared" si="80"/>
        <v>0</v>
      </c>
      <c r="AW61" s="245">
        <f t="shared" si="80"/>
        <v>200</v>
      </c>
      <c r="AX61" s="245">
        <f t="shared" si="80"/>
        <v>0</v>
      </c>
      <c r="AY61" s="245">
        <f t="shared" si="80"/>
        <v>250</v>
      </c>
      <c r="AZ61" s="245">
        <f t="shared" si="80"/>
        <v>0</v>
      </c>
      <c r="BA61" s="245">
        <f t="shared" si="80"/>
        <v>250</v>
      </c>
      <c r="BB61" s="245">
        <f t="shared" si="80"/>
        <v>0</v>
      </c>
      <c r="BC61" s="245">
        <f t="shared" si="80"/>
        <v>250</v>
      </c>
      <c r="BD61" s="245">
        <f t="shared" si="80"/>
        <v>0</v>
      </c>
      <c r="BE61" s="245">
        <f t="shared" si="80"/>
        <v>300</v>
      </c>
      <c r="BF61" s="245">
        <f t="shared" si="80"/>
        <v>0</v>
      </c>
      <c r="BG61" s="245">
        <f t="shared" si="80"/>
        <v>200</v>
      </c>
      <c r="BH61" s="245">
        <f t="shared" si="80"/>
        <v>0</v>
      </c>
      <c r="BI61" s="245">
        <f t="shared" si="80"/>
        <v>0</v>
      </c>
      <c r="BJ61" s="245">
        <f t="shared" si="80"/>
        <v>0</v>
      </c>
      <c r="BK61" s="245">
        <f t="shared" si="80"/>
        <v>3480</v>
      </c>
      <c r="BL61" s="245">
        <f t="shared" si="80"/>
        <v>16000</v>
      </c>
      <c r="BM61" s="245">
        <f t="shared" si="80"/>
        <v>0</v>
      </c>
      <c r="BN61" s="245">
        <f t="shared" si="80"/>
        <v>0</v>
      </c>
      <c r="BO61" s="245">
        <f t="shared" si="80"/>
        <v>0</v>
      </c>
      <c r="BP61" s="245">
        <f t="shared" si="80"/>
        <v>16000</v>
      </c>
      <c r="BQ61" s="245">
        <f t="shared" si="80"/>
        <v>0</v>
      </c>
      <c r="BR61" s="245">
        <f t="shared" si="80"/>
        <v>0</v>
      </c>
      <c r="BS61" s="245">
        <f t="shared" si="80"/>
        <v>16000</v>
      </c>
      <c r="BT61" s="245">
        <f>SUM(BT59:BT60)</f>
        <v>0</v>
      </c>
      <c r="BU61" s="245">
        <f>SUM(BU59:BU60)</f>
        <v>0</v>
      </c>
      <c r="BV61" s="245">
        <f>SUM(BV59:BV60)</f>
        <v>0</v>
      </c>
      <c r="BW61" s="245">
        <f>SUM(BW59:BW60)</f>
        <v>16000</v>
      </c>
    </row>
    <row r="62" spans="1:75">
      <c r="A62" s="935"/>
      <c r="B62" s="196">
        <v>23700</v>
      </c>
      <c r="C62" s="196"/>
      <c r="D62" s="158" t="s">
        <v>17</v>
      </c>
      <c r="E62" s="159" t="s">
        <v>115</v>
      </c>
      <c r="F62" s="135" t="s">
        <v>115</v>
      </c>
      <c r="G62" s="231">
        <f t="shared" ref="G62:AL62" si="81">G61+G57+G42+G35+G20+G13</f>
        <v>18051</v>
      </c>
      <c r="H62" s="231">
        <f t="shared" si="81"/>
        <v>160510088</v>
      </c>
      <c r="I62" s="231">
        <f t="shared" si="81"/>
        <v>2673817.6000000001</v>
      </c>
      <c r="J62" s="231">
        <f t="shared" si="81"/>
        <v>32345670.399999999</v>
      </c>
      <c r="K62" s="231">
        <f t="shared" si="81"/>
        <v>220000</v>
      </c>
      <c r="L62" s="231">
        <f t="shared" si="81"/>
        <v>0</v>
      </c>
      <c r="M62" s="231">
        <f t="shared" si="81"/>
        <v>57856600</v>
      </c>
      <c r="N62" s="231">
        <f t="shared" si="81"/>
        <v>0</v>
      </c>
      <c r="O62" s="231">
        <f t="shared" si="81"/>
        <v>60500000</v>
      </c>
      <c r="P62" s="231">
        <f t="shared" si="81"/>
        <v>0</v>
      </c>
      <c r="Q62" s="231">
        <f t="shared" si="81"/>
        <v>6914000</v>
      </c>
      <c r="R62" s="231">
        <f t="shared" si="81"/>
        <v>0</v>
      </c>
      <c r="S62" s="231">
        <f t="shared" si="81"/>
        <v>4452.5</v>
      </c>
      <c r="T62" s="231">
        <f t="shared" si="81"/>
        <v>972.5</v>
      </c>
      <c r="U62" s="231">
        <f t="shared" si="81"/>
        <v>1016</v>
      </c>
      <c r="V62" s="231">
        <f t="shared" si="81"/>
        <v>11219.75</v>
      </c>
      <c r="W62" s="231">
        <f t="shared" si="81"/>
        <v>11146000</v>
      </c>
      <c r="X62" s="231">
        <f t="shared" si="81"/>
        <v>10929000</v>
      </c>
      <c r="Y62" s="231">
        <f t="shared" si="81"/>
        <v>11089944</v>
      </c>
      <c r="Z62" s="231">
        <f t="shared" si="81"/>
        <v>108614744</v>
      </c>
      <c r="AA62" s="231">
        <f t="shared" si="81"/>
        <v>1011</v>
      </c>
      <c r="AB62" s="231">
        <f t="shared" si="81"/>
        <v>6052000</v>
      </c>
      <c r="AC62" s="231">
        <f t="shared" si="81"/>
        <v>921</v>
      </c>
      <c r="AD62" s="231">
        <f t="shared" si="81"/>
        <v>6413000</v>
      </c>
      <c r="AE62" s="231">
        <f t="shared" si="81"/>
        <v>1008</v>
      </c>
      <c r="AF62" s="231">
        <f t="shared" si="81"/>
        <v>9703200</v>
      </c>
      <c r="AG62" s="231">
        <f t="shared" si="81"/>
        <v>1029</v>
      </c>
      <c r="AH62" s="231">
        <f t="shared" si="81"/>
        <v>6488600</v>
      </c>
      <c r="AI62" s="231">
        <f t="shared" si="81"/>
        <v>485</v>
      </c>
      <c r="AJ62" s="231">
        <f t="shared" si="81"/>
        <v>3754200</v>
      </c>
      <c r="AK62" s="231">
        <f t="shared" si="81"/>
        <v>1626</v>
      </c>
      <c r="AL62" s="231">
        <f t="shared" si="81"/>
        <v>8529400</v>
      </c>
      <c r="AM62" s="231">
        <f t="shared" ref="AM62:BR62" si="82">AM61+AM57+AM42+AM35+AM20+AM13</f>
        <v>624</v>
      </c>
      <c r="AN62" s="231">
        <f t="shared" si="82"/>
        <v>42736850</v>
      </c>
      <c r="AO62" s="231">
        <f t="shared" si="82"/>
        <v>997</v>
      </c>
      <c r="AP62" s="231">
        <f t="shared" si="82"/>
        <v>6431400</v>
      </c>
      <c r="AQ62" s="231">
        <f t="shared" si="82"/>
        <v>524</v>
      </c>
      <c r="AR62" s="231">
        <f t="shared" si="82"/>
        <v>4299200</v>
      </c>
      <c r="AS62" s="231">
        <f t="shared" si="82"/>
        <v>1016</v>
      </c>
      <c r="AT62" s="231">
        <f t="shared" si="82"/>
        <v>9759263</v>
      </c>
      <c r="AU62" s="231">
        <f t="shared" si="82"/>
        <v>1430</v>
      </c>
      <c r="AV62" s="231">
        <f t="shared" si="82"/>
        <v>14469500</v>
      </c>
      <c r="AW62" s="231">
        <f t="shared" si="82"/>
        <v>926</v>
      </c>
      <c r="AX62" s="231">
        <f t="shared" si="82"/>
        <v>7973975</v>
      </c>
      <c r="AY62" s="231">
        <f t="shared" si="82"/>
        <v>1038</v>
      </c>
      <c r="AZ62" s="231">
        <f t="shared" si="82"/>
        <v>5858800</v>
      </c>
      <c r="BA62" s="231">
        <f t="shared" si="82"/>
        <v>1046</v>
      </c>
      <c r="BB62" s="231">
        <f t="shared" si="82"/>
        <v>5378200</v>
      </c>
      <c r="BC62" s="231">
        <f t="shared" si="82"/>
        <v>1692</v>
      </c>
      <c r="BD62" s="231">
        <f t="shared" si="82"/>
        <v>8896700</v>
      </c>
      <c r="BE62" s="231">
        <f t="shared" si="82"/>
        <v>1080</v>
      </c>
      <c r="BF62" s="231">
        <f t="shared" si="82"/>
        <v>4722600</v>
      </c>
      <c r="BG62" s="231">
        <f t="shared" si="82"/>
        <v>1598</v>
      </c>
      <c r="BH62" s="231">
        <f t="shared" si="82"/>
        <v>9043200</v>
      </c>
      <c r="BI62" s="231">
        <f t="shared" si="82"/>
        <v>0</v>
      </c>
      <c r="BJ62" s="231">
        <f t="shared" si="82"/>
        <v>0</v>
      </c>
      <c r="BK62" s="231">
        <f t="shared" si="82"/>
        <v>18051</v>
      </c>
      <c r="BL62" s="231">
        <f t="shared" si="82"/>
        <v>160510088</v>
      </c>
      <c r="BM62" s="231">
        <f t="shared" si="82"/>
        <v>0</v>
      </c>
      <c r="BN62" s="231">
        <f t="shared" si="82"/>
        <v>1780000</v>
      </c>
      <c r="BO62" s="231">
        <f t="shared" si="82"/>
        <v>7241888</v>
      </c>
      <c r="BP62" s="231">
        <f t="shared" si="82"/>
        <v>376000</v>
      </c>
      <c r="BQ62" s="231">
        <f t="shared" si="82"/>
        <v>73967200</v>
      </c>
      <c r="BR62" s="231">
        <f t="shared" si="82"/>
        <v>0</v>
      </c>
      <c r="BS62" s="231">
        <f t="shared" ref="BS62:BW62" si="83">BS61+BS57+BS42+BS35+BS20+BS13</f>
        <v>81585088</v>
      </c>
      <c r="BT62" s="231">
        <f t="shared" si="83"/>
        <v>0</v>
      </c>
      <c r="BU62" s="231">
        <f t="shared" si="83"/>
        <v>0</v>
      </c>
      <c r="BV62" s="231">
        <f t="shared" si="83"/>
        <v>0</v>
      </c>
      <c r="BW62" s="231">
        <f t="shared" si="83"/>
        <v>81585088</v>
      </c>
    </row>
    <row r="64" spans="1:75">
      <c r="O64" s="455">
        <f>SUM(I62:R62)</f>
        <v>160510088</v>
      </c>
    </row>
    <row r="65" spans="15:64">
      <c r="O65" s="456">
        <f>O64-H62</f>
        <v>0</v>
      </c>
      <c r="BL65" s="562">
        <f>H62-BL62</f>
        <v>0</v>
      </c>
    </row>
  </sheetData>
  <mergeCells count="45">
    <mergeCell ref="A4:B4"/>
    <mergeCell ref="D4:R4"/>
    <mergeCell ref="A1:B1"/>
    <mergeCell ref="D1:R1"/>
    <mergeCell ref="A2:B2"/>
    <mergeCell ref="D2:R2"/>
    <mergeCell ref="A3:B3"/>
    <mergeCell ref="D3:R3"/>
    <mergeCell ref="S6:V7"/>
    <mergeCell ref="W6:Z7"/>
    <mergeCell ref="E7:E8"/>
    <mergeCell ref="G7:G8"/>
    <mergeCell ref="A5:B5"/>
    <mergeCell ref="D5:R5"/>
    <mergeCell ref="A6:E6"/>
    <mergeCell ref="G6:H6"/>
    <mergeCell ref="I6:R6"/>
    <mergeCell ref="AC6:AD7"/>
    <mergeCell ref="AE6:AF7"/>
    <mergeCell ref="BO7:BS7"/>
    <mergeCell ref="BA6:BB7"/>
    <mergeCell ref="BC6:BD7"/>
    <mergeCell ref="BE6:BF7"/>
    <mergeCell ref="AI6:AJ7"/>
    <mergeCell ref="AO6:AP7"/>
    <mergeCell ref="AQ6:AR7"/>
    <mergeCell ref="AS6:AT7"/>
    <mergeCell ref="AU6:AV7"/>
    <mergeCell ref="AG6:AH7"/>
    <mergeCell ref="BW7:BW8"/>
    <mergeCell ref="A9:A62"/>
    <mergeCell ref="BG6:BH7"/>
    <mergeCell ref="BI6:BJ7"/>
    <mergeCell ref="BK6:BL7"/>
    <mergeCell ref="A7:A8"/>
    <mergeCell ref="B7:B8"/>
    <mergeCell ref="D7:D8"/>
    <mergeCell ref="AW6:AX7"/>
    <mergeCell ref="AK6:AL7"/>
    <mergeCell ref="AY6:AZ7"/>
    <mergeCell ref="AM6:AN7"/>
    <mergeCell ref="BT7:BV7"/>
    <mergeCell ref="F7:F8"/>
    <mergeCell ref="AA6:AB7"/>
    <mergeCell ref="H7:H8"/>
  </mergeCells>
  <phoneticPr fontId="3" type="noConversion"/>
  <pageMargins left="0.47" right="0.54" top="0.75" bottom="0.75" header="0.3" footer="0.3"/>
  <pageSetup paperSize="9" scale="1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Sum, scheme</vt:lpstr>
      <vt:lpstr>Component wise</vt:lpstr>
      <vt:lpstr>Sum , MPA</vt:lpstr>
      <vt:lpstr>Summary </vt:lpstr>
      <vt:lpstr>1.1</vt:lpstr>
      <vt:lpstr>1.2</vt:lpstr>
      <vt:lpstr>2.1</vt:lpstr>
      <vt:lpstr>2.2</vt:lpstr>
      <vt:lpstr>2.3</vt:lpstr>
      <vt:lpstr>3.1</vt:lpstr>
      <vt:lpstr>3.2</vt:lpstr>
      <vt:lpstr>4.1 </vt:lpstr>
      <vt:lpstr>4.2</vt:lpstr>
      <vt:lpstr>4.3 </vt:lpstr>
      <vt:lpstr>'Sum , MPA'!Print_Area</vt:lpstr>
      <vt:lpstr>'Sum , MPA'!Print_Titles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fao</dc:creator>
  <cp:lastModifiedBy>Windows User</cp:lastModifiedBy>
  <cp:lastPrinted>2022-02-16T07:23:01Z</cp:lastPrinted>
  <dcterms:created xsi:type="dcterms:W3CDTF">2000-12-31T18:57:07Z</dcterms:created>
  <dcterms:modified xsi:type="dcterms:W3CDTF">2022-02-21T07:08:20Z</dcterms:modified>
</cp:coreProperties>
</file>